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165" yWindow="-195" windowWidth="21615" windowHeight="9975" tabRatio="762"/>
  </bookViews>
  <sheets>
    <sheet name="Stmt net assets" sheetId="10" r:id="rId1"/>
    <sheet name="Stmt of activities-GA rev" sheetId="9" r:id="rId2"/>
    <sheet name="Stmt of activities-GAexp" sheetId="8" r:id="rId3"/>
    <sheet name="Gen Bal" sheetId="7" r:id="rId4"/>
    <sheet name="GV Fund BS" sheetId="3" r:id="rId5"/>
    <sheet name="Gen rev" sheetId="1" r:id="rId6"/>
    <sheet name="Gen exp" sheetId="2" r:id="rId7"/>
    <sheet name="GVFund Rev" sheetId="4" r:id="rId8"/>
    <sheet name="GVFund Exp" sheetId="5" r:id="rId9"/>
    <sheet name="Water" sheetId="6" r:id="rId10"/>
    <sheet name="Sewer" sheetId="14" r:id="rId11"/>
    <sheet name="Electric" sheetId="13" r:id="rId12"/>
    <sheet name="LT Lia GA" sheetId="12" r:id="rId13"/>
    <sheet name="Sanitation" sheetId="15" r:id="rId14"/>
  </sheets>
  <definedNames>
    <definedName name="_xlnm.Print_Area" localSheetId="11">Electric!$A$11:$W$237,Electric!$Y$11:$AY$237,Electric!$BA$13:$BM$237</definedName>
    <definedName name="_xlnm.Print_Area" localSheetId="3">'Gen Bal'!$A$10:$S$262</definedName>
    <definedName name="_xlnm.Print_Area" localSheetId="6">'Gen exp'!$A$10:$AG$262</definedName>
    <definedName name="_xlnm.Print_Area" localSheetId="5">'Gen rev'!$A$10:$W$263</definedName>
    <definedName name="_xlnm.Print_Area" localSheetId="4">'GV Fund BS'!$A$10:$S$262</definedName>
    <definedName name="_xlnm.Print_Area" localSheetId="8">'GVFund Exp'!$A$10:$AL$261</definedName>
    <definedName name="_xlnm.Print_Area" localSheetId="7">'GVFund Rev'!$A$10:$W$263</definedName>
    <definedName name="_xlnm.Print_Area" localSheetId="12">'LT Lia GA'!$A$10:$U$262</definedName>
    <definedName name="_xlnm.Print_Area" localSheetId="13">Sanitation!$A$14:$W$250,Sanitation!$Y$14:$AY$250,Sanitation!$BA$14:$BM$250</definedName>
    <definedName name="_xlnm.Print_Area" localSheetId="10">Sewer!$A$10:$W$257,Sewer!$Y$10:$AY$257,Sewer!$BA$10:$BM$257</definedName>
    <definedName name="_xlnm.Print_Area" localSheetId="0">'Stmt net assets'!$A$10:$Y$262</definedName>
    <definedName name="_xlnm.Print_Area" localSheetId="1">'Stmt of activities-GA rev'!$A$10:$AC$262</definedName>
    <definedName name="_xlnm.Print_Area" localSheetId="2">'Stmt of activities-GAexp'!$A$10:$AA$262</definedName>
    <definedName name="_xlnm.Print_Area" localSheetId="9">Water!$A$12:$W$261,Water!$Z$12:$AZ$261,Water!$BB$12:$BN$261</definedName>
    <definedName name="_xlnm.Print_Titles" localSheetId="11">Electric!$1:$10</definedName>
    <definedName name="_xlnm.Print_Titles" localSheetId="3">'Gen Bal'!$1:$9</definedName>
    <definedName name="_xlnm.Print_Titles" localSheetId="6">'Gen exp'!$1:$9</definedName>
    <definedName name="_xlnm.Print_Titles" localSheetId="5">'Gen rev'!$1:$9</definedName>
    <definedName name="_xlnm.Print_Titles" localSheetId="4">'GV Fund BS'!$1:$9</definedName>
    <definedName name="_xlnm.Print_Titles" localSheetId="8">'GVFund Exp'!$1:$9</definedName>
    <definedName name="_xlnm.Print_Titles" localSheetId="7">'GVFund Rev'!$1:$9</definedName>
    <definedName name="_xlnm.Print_Titles" localSheetId="12">'LT Lia GA'!$1:$9</definedName>
    <definedName name="_xlnm.Print_Titles" localSheetId="13">Sanitation!$1:$10</definedName>
    <definedName name="_xlnm.Print_Titles" localSheetId="10">Sewer!$1:$9</definedName>
    <definedName name="_xlnm.Print_Titles" localSheetId="0">'Stmt net assets'!$1:$9</definedName>
    <definedName name="_xlnm.Print_Titles" localSheetId="1">'Stmt of activities-GA rev'!$1:$9</definedName>
    <definedName name="_xlnm.Print_Titles" localSheetId="2">'Stmt of activities-GAexp'!$1:$9</definedName>
    <definedName name="_xlnm.Print_Titles" localSheetId="9">Water!$1:$11</definedName>
  </definedNames>
  <calcPr calcId="145621"/>
</workbook>
</file>

<file path=xl/calcChain.xml><?xml version="1.0" encoding="utf-8"?>
<calcChain xmlns="http://schemas.openxmlformats.org/spreadsheetml/2006/main">
  <c r="BM250" i="15" l="1"/>
  <c r="BK250" i="15"/>
  <c r="AS250" i="15"/>
  <c r="AI250" i="15"/>
  <c r="AE250" i="15"/>
  <c r="W250" i="15"/>
  <c r="K250" i="15"/>
  <c r="AY250" i="15" s="1"/>
  <c r="E250" i="15"/>
  <c r="BK249" i="15"/>
  <c r="BE249" i="15"/>
  <c r="BM249" i="15" s="1"/>
  <c r="AK249" i="15"/>
  <c r="AI249" i="15"/>
  <c r="AS249" i="15" s="1"/>
  <c r="AE249" i="15"/>
  <c r="W249" i="15"/>
  <c r="K249" i="15"/>
  <c r="E249" i="15"/>
  <c r="AY249" i="15" s="1"/>
  <c r="BM248" i="15"/>
  <c r="AI248" i="15"/>
  <c r="AS248" i="15" s="1"/>
  <c r="W248" i="15"/>
  <c r="K248" i="15"/>
  <c r="E248" i="15"/>
  <c r="BM247" i="15"/>
  <c r="AI247" i="15"/>
  <c r="AS247" i="15" s="1"/>
  <c r="W247" i="15"/>
  <c r="K247" i="15"/>
  <c r="E247" i="15"/>
  <c r="BM246" i="15"/>
  <c r="AS246" i="15"/>
  <c r="AI246" i="15"/>
  <c r="W246" i="15"/>
  <c r="K246" i="15"/>
  <c r="AY246" i="15" s="1"/>
  <c r="E246" i="15"/>
  <c r="BK245" i="15"/>
  <c r="BM245" i="15" s="1"/>
  <c r="AY245" i="15"/>
  <c r="AE245" i="15"/>
  <c r="AI245" i="15" s="1"/>
  <c r="AS245" i="15" s="1"/>
  <c r="W245" i="15"/>
  <c r="K245" i="15"/>
  <c r="E245" i="15"/>
  <c r="BM244" i="15"/>
  <c r="AS244" i="15"/>
  <c r="AI244" i="15"/>
  <c r="W244" i="15"/>
  <c r="K244" i="15"/>
  <c r="E244" i="15"/>
  <c r="BM243" i="15"/>
  <c r="AI243" i="15"/>
  <c r="AS243" i="15" s="1"/>
  <c r="W243" i="15"/>
  <c r="K243" i="15"/>
  <c r="E243" i="15"/>
  <c r="BM242" i="15"/>
  <c r="AI242" i="15"/>
  <c r="AS242" i="15" s="1"/>
  <c r="W242" i="15"/>
  <c r="K242" i="15"/>
  <c r="E242" i="15"/>
  <c r="AY242" i="15" s="1"/>
  <c r="BM241" i="15"/>
  <c r="AI241" i="15"/>
  <c r="AS241" i="15" s="1"/>
  <c r="W241" i="15"/>
  <c r="K241" i="15"/>
  <c r="E241" i="15"/>
  <c r="BM240" i="15"/>
  <c r="AI240" i="15"/>
  <c r="AS240" i="15" s="1"/>
  <c r="W240" i="15"/>
  <c r="K240" i="15"/>
  <c r="AY240" i="15" s="1"/>
  <c r="E240" i="15"/>
  <c r="BM239" i="15"/>
  <c r="AS239" i="15"/>
  <c r="AI239" i="15"/>
  <c r="W239" i="15"/>
  <c r="K239" i="15"/>
  <c r="E239" i="15"/>
  <c r="AY239" i="15" s="1"/>
  <c r="BM238" i="15"/>
  <c r="AI238" i="15"/>
  <c r="AS238" i="15" s="1"/>
  <c r="W238" i="15"/>
  <c r="K238" i="15"/>
  <c r="E238" i="15"/>
  <c r="BM237" i="15"/>
  <c r="AE237" i="15"/>
  <c r="AI237" i="15" s="1"/>
  <c r="AS237" i="15" s="1"/>
  <c r="W237" i="15"/>
  <c r="K237" i="15"/>
  <c r="E237" i="15"/>
  <c r="AY237" i="15" s="1"/>
  <c r="BM236" i="15"/>
  <c r="BK236" i="15"/>
  <c r="AI236" i="15"/>
  <c r="AS236" i="15" s="1"/>
  <c r="AE236" i="15"/>
  <c r="W236" i="15"/>
  <c r="K236" i="15"/>
  <c r="E236" i="15"/>
  <c r="AY236" i="15" s="1"/>
  <c r="BM235" i="15"/>
  <c r="BK235" i="15"/>
  <c r="AI235" i="15"/>
  <c r="AS235" i="15" s="1"/>
  <c r="W235" i="15"/>
  <c r="K235" i="15"/>
  <c r="E235" i="15"/>
  <c r="AY235" i="15" s="1"/>
  <c r="S262" i="12"/>
  <c r="Q261" i="12"/>
  <c r="K261" i="12"/>
  <c r="E261" i="12"/>
  <c r="S261" i="12" s="1"/>
  <c r="E260" i="12"/>
  <c r="S260" i="12" s="1"/>
  <c r="S259" i="12"/>
  <c r="S258" i="12"/>
  <c r="S257" i="12"/>
  <c r="S256" i="12"/>
  <c r="S255" i="12"/>
  <c r="K255" i="12"/>
  <c r="S254" i="12"/>
  <c r="Q253" i="12"/>
  <c r="S253" i="12" s="1"/>
  <c r="K253" i="12"/>
  <c r="E253" i="12"/>
  <c r="S252" i="12"/>
  <c r="S251" i="12"/>
  <c r="S250" i="12"/>
  <c r="E250" i="12"/>
  <c r="S249" i="12"/>
  <c r="S248" i="12"/>
  <c r="S247" i="12"/>
  <c r="K247" i="12"/>
  <c r="S246" i="12"/>
  <c r="S245" i="12"/>
  <c r="K245" i="12"/>
  <c r="I245" i="12"/>
  <c r="S244" i="12"/>
  <c r="S243" i="12"/>
  <c r="W243" i="12" s="1"/>
  <c r="S242" i="12"/>
  <c r="E242" i="12"/>
  <c r="Q241" i="12"/>
  <c r="S241" i="12" s="1"/>
  <c r="AY247" i="15" l="1"/>
  <c r="AY248" i="15"/>
  <c r="AY241" i="15"/>
  <c r="AY244" i="15"/>
  <c r="AY243" i="15"/>
  <c r="AY238" i="15"/>
  <c r="BK237" i="13" l="1"/>
  <c r="BM237" i="13" s="1"/>
  <c r="BE237" i="13"/>
  <c r="AK237" i="13"/>
  <c r="AE237" i="13"/>
  <c r="AI237" i="13" s="1"/>
  <c r="AS237" i="13" s="1"/>
  <c r="W237" i="13"/>
  <c r="K237" i="13"/>
  <c r="AY237" i="13" s="1"/>
  <c r="E237" i="13"/>
  <c r="BG251" i="14"/>
  <c r="BM257" i="14"/>
  <c r="BK257" i="14"/>
  <c r="AS257" i="14"/>
  <c r="AI257" i="14"/>
  <c r="AE257" i="14"/>
  <c r="W257" i="14"/>
  <c r="K257" i="14"/>
  <c r="AY257" i="14" s="1"/>
  <c r="E257" i="14"/>
  <c r="BK256" i="14"/>
  <c r="BI256" i="14"/>
  <c r="BM256" i="14" s="1"/>
  <c r="AE256" i="14"/>
  <c r="AI256" i="14" s="1"/>
  <c r="AS256" i="14" s="1"/>
  <c r="W256" i="14"/>
  <c r="K256" i="14"/>
  <c r="E256" i="14"/>
  <c r="AY256" i="14" s="1"/>
  <c r="BM255" i="14"/>
  <c r="BK255" i="14"/>
  <c r="BI255" i="14"/>
  <c r="BE255" i="14"/>
  <c r="AY255" i="14"/>
  <c r="AK255" i="14"/>
  <c r="AE255" i="14"/>
  <c r="AI255" i="14" s="1"/>
  <c r="AS255" i="14" s="1"/>
  <c r="W255" i="14"/>
  <c r="K255" i="14"/>
  <c r="E255" i="14"/>
  <c r="BM254" i="14"/>
  <c r="AI254" i="14"/>
  <c r="AS254" i="14" s="1"/>
  <c r="W254" i="14"/>
  <c r="K254" i="14"/>
  <c r="AY254" i="14" s="1"/>
  <c r="E254" i="14"/>
  <c r="BM253" i="14"/>
  <c r="AI253" i="14"/>
  <c r="AS253" i="14" s="1"/>
  <c r="W253" i="14"/>
  <c r="K253" i="14"/>
  <c r="AY253" i="14" s="1"/>
  <c r="E253" i="14"/>
  <c r="BI252" i="14"/>
  <c r="BM252" i="14" s="1"/>
  <c r="AY252" i="14"/>
  <c r="AE252" i="14"/>
  <c r="AI252" i="14" s="1"/>
  <c r="AS252" i="14" s="1"/>
  <c r="W252" i="14"/>
  <c r="K252" i="14"/>
  <c r="E252" i="14"/>
  <c r="BK251" i="14"/>
  <c r="BM251" i="14" s="1"/>
  <c r="BI251" i="14"/>
  <c r="AS251" i="14"/>
  <c r="AI251" i="14"/>
  <c r="AE251" i="14"/>
  <c r="W251" i="14"/>
  <c r="K251" i="14"/>
  <c r="AY251" i="14" s="1"/>
  <c r="E251" i="14"/>
  <c r="BI250" i="14"/>
  <c r="BM250" i="14" s="1"/>
  <c r="AY250" i="14"/>
  <c r="AE250" i="14"/>
  <c r="AI250" i="14" s="1"/>
  <c r="AS250" i="14" s="1"/>
  <c r="W250" i="14"/>
  <c r="K250" i="14"/>
  <c r="E250" i="14"/>
  <c r="BK249" i="14"/>
  <c r="BM249" i="14" s="1"/>
  <c r="BI249" i="14"/>
  <c r="AI249" i="14"/>
  <c r="AS249" i="14" s="1"/>
  <c r="AE249" i="14"/>
  <c r="W249" i="14"/>
  <c r="K249" i="14"/>
  <c r="E249" i="14"/>
  <c r="AY249" i="14" s="1"/>
  <c r="BM248" i="14"/>
  <c r="BE248" i="14"/>
  <c r="AS248" i="14"/>
  <c r="AI248" i="14"/>
  <c r="AE248" i="14"/>
  <c r="W248" i="14"/>
  <c r="K248" i="14"/>
  <c r="AY248" i="14" s="1"/>
  <c r="E248" i="14"/>
  <c r="BK247" i="14"/>
  <c r="BI247" i="14"/>
  <c r="BM247" i="14" s="1"/>
  <c r="AE247" i="14"/>
  <c r="AI247" i="14" s="1"/>
  <c r="AS247" i="14" s="1"/>
  <c r="W247" i="14"/>
  <c r="K247" i="14"/>
  <c r="E247" i="14"/>
  <c r="AY247" i="14" s="1"/>
  <c r="BM246" i="14"/>
  <c r="AI246" i="14"/>
  <c r="AS246" i="14" s="1"/>
  <c r="W246" i="14"/>
  <c r="K246" i="14"/>
  <c r="AY246" i="14" s="1"/>
  <c r="E246" i="14"/>
  <c r="BM245" i="14"/>
  <c r="AE245" i="14"/>
  <c r="AI245" i="14" s="1"/>
  <c r="AS245" i="14" s="1"/>
  <c r="W245" i="14"/>
  <c r="K245" i="14"/>
  <c r="AY245" i="14" s="1"/>
  <c r="E245" i="14"/>
  <c r="BK244" i="14"/>
  <c r="BM244" i="14" s="1"/>
  <c r="BE244" i="14"/>
  <c r="AK244" i="14"/>
  <c r="AS244" i="14" s="1"/>
  <c r="AI244" i="14"/>
  <c r="AE244" i="14"/>
  <c r="W244" i="14"/>
  <c r="K244" i="14"/>
  <c r="E244" i="14"/>
  <c r="AY244" i="14" s="1"/>
  <c r="BK243" i="14"/>
  <c r="BI243" i="14"/>
  <c r="BM243" i="14" s="1"/>
  <c r="AE243" i="14"/>
  <c r="AI243" i="14" s="1"/>
  <c r="AS243" i="14" s="1"/>
  <c r="W243" i="14"/>
  <c r="M243" i="14"/>
  <c r="K243" i="14"/>
  <c r="G243" i="14"/>
  <c r="E243" i="14" s="1"/>
  <c r="AY243" i="14" s="1"/>
  <c r="BK242" i="14"/>
  <c r="BI242" i="14"/>
  <c r="BG242" i="14"/>
  <c r="BM242" i="14" s="1"/>
  <c r="AI242" i="14"/>
  <c r="AS242" i="14" s="1"/>
  <c r="AE242" i="14"/>
  <c r="W242" i="14"/>
  <c r="K242" i="14"/>
  <c r="E242" i="14"/>
  <c r="AY242" i="14" s="1"/>
  <c r="BK241" i="14"/>
  <c r="BI241" i="14"/>
  <c r="BM241" i="14" s="1"/>
  <c r="AY241" i="14"/>
  <c r="AE241" i="14"/>
  <c r="AI241" i="14" s="1"/>
  <c r="AS241" i="14" s="1"/>
  <c r="W241" i="14"/>
  <c r="K241" i="14"/>
  <c r="E241" i="14"/>
  <c r="BM239" i="14"/>
  <c r="BK239" i="14"/>
  <c r="AI239" i="14"/>
  <c r="AS239" i="14" s="1"/>
  <c r="AE239" i="14"/>
  <c r="W239" i="14"/>
  <c r="K239" i="14"/>
  <c r="E239" i="14"/>
  <c r="AY239" i="14" s="1"/>
  <c r="BM238" i="14"/>
  <c r="BK238" i="14"/>
  <c r="BI238" i="14"/>
  <c r="AY238" i="14"/>
  <c r="AE238" i="14"/>
  <c r="AI238" i="14" s="1"/>
  <c r="AS238" i="14" s="1"/>
  <c r="W238" i="14"/>
  <c r="K238" i="14"/>
  <c r="E238" i="14"/>
  <c r="BK237" i="14"/>
  <c r="BI237" i="14"/>
  <c r="BM237" i="14" s="1"/>
  <c r="AI237" i="14"/>
  <c r="AS237" i="14" s="1"/>
  <c r="AE237" i="14"/>
  <c r="W237" i="14"/>
  <c r="K237" i="14"/>
  <c r="E237" i="14"/>
  <c r="AY237" i="14" s="1"/>
  <c r="BM236" i="14"/>
  <c r="AI236" i="14"/>
  <c r="AS236" i="14" s="1"/>
  <c r="W236" i="14"/>
  <c r="K236" i="14"/>
  <c r="E236" i="14"/>
  <c r="AY236" i="14" s="1"/>
  <c r="BL261" i="6"/>
  <c r="BJ261" i="6"/>
  <c r="BN261" i="6" s="1"/>
  <c r="AZ261" i="6"/>
  <c r="AF261" i="6"/>
  <c r="AJ261" i="6" s="1"/>
  <c r="AT261" i="6" s="1"/>
  <c r="W261" i="6"/>
  <c r="K261" i="6"/>
  <c r="E261" i="6"/>
  <c r="BL260" i="6"/>
  <c r="BN260" i="6" s="1"/>
  <c r="BJ260" i="6"/>
  <c r="AJ260" i="6"/>
  <c r="AT260" i="6" s="1"/>
  <c r="AF260" i="6"/>
  <c r="W260" i="6"/>
  <c r="K260" i="6"/>
  <c r="E260" i="6"/>
  <c r="AZ260" i="6" s="1"/>
  <c r="BL259" i="6"/>
  <c r="BF259" i="6"/>
  <c r="BN259" i="6" s="1"/>
  <c r="AZ259" i="6"/>
  <c r="AL259" i="6"/>
  <c r="AF259" i="6"/>
  <c r="AJ259" i="6" s="1"/>
  <c r="AT259" i="6" s="1"/>
  <c r="W259" i="6"/>
  <c r="K259" i="6"/>
  <c r="E259" i="6"/>
  <c r="BN258" i="6"/>
  <c r="BJ258" i="6"/>
  <c r="BF258" i="6"/>
  <c r="AZ258" i="6"/>
  <c r="AL258" i="6"/>
  <c r="AF258" i="6"/>
  <c r="AJ258" i="6" s="1"/>
  <c r="AT258" i="6" s="1"/>
  <c r="W258" i="6"/>
  <c r="K258" i="6"/>
  <c r="E258" i="6"/>
  <c r="BL257" i="6"/>
  <c r="BN257" i="6" s="1"/>
  <c r="BJ257" i="6"/>
  <c r="BF257" i="6"/>
  <c r="AJ257" i="6"/>
  <c r="AT257" i="6" s="1"/>
  <c r="W257" i="6"/>
  <c r="K257" i="6"/>
  <c r="E257" i="6"/>
  <c r="BN256" i="6"/>
  <c r="AJ256" i="6"/>
  <c r="AT256" i="6" s="1"/>
  <c r="AF256" i="6"/>
  <c r="W256" i="6"/>
  <c r="K256" i="6"/>
  <c r="E256" i="6"/>
  <c r="AZ256" i="6" s="1"/>
  <c r="BL255" i="6"/>
  <c r="BH255" i="6"/>
  <c r="BN255" i="6" s="1"/>
  <c r="AZ255" i="6"/>
  <c r="AF255" i="6"/>
  <c r="AJ255" i="6" s="1"/>
  <c r="AT255" i="6" s="1"/>
  <c r="W255" i="6"/>
  <c r="K255" i="6"/>
  <c r="E255" i="6"/>
  <c r="BN254" i="6"/>
  <c r="AJ254" i="6"/>
  <c r="AT254" i="6" s="1"/>
  <c r="W254" i="6"/>
  <c r="K254" i="6"/>
  <c r="E254" i="6"/>
  <c r="BN253" i="6"/>
  <c r="AT253" i="6"/>
  <c r="AJ253" i="6"/>
  <c r="W253" i="6"/>
  <c r="K253" i="6"/>
  <c r="E253" i="6"/>
  <c r="AZ253" i="6" s="1"/>
  <c r="BN252" i="6"/>
  <c r="AJ252" i="6"/>
  <c r="AT252" i="6" s="1"/>
  <c r="W252" i="6"/>
  <c r="K252" i="6"/>
  <c r="E252" i="6"/>
  <c r="BN251" i="6"/>
  <c r="BL251" i="6"/>
  <c r="BJ251" i="6"/>
  <c r="AT251" i="6"/>
  <c r="AJ251" i="6"/>
  <c r="AF251" i="6"/>
  <c r="W251" i="6"/>
  <c r="K251" i="6"/>
  <c r="E251" i="6"/>
  <c r="AZ251" i="6" s="1"/>
  <c r="BN250" i="6"/>
  <c r="AT250" i="6"/>
  <c r="AJ250" i="6"/>
  <c r="W250" i="6"/>
  <c r="K250" i="6"/>
  <c r="E250" i="6"/>
  <c r="AZ250" i="6" s="1"/>
  <c r="BN249" i="6"/>
  <c r="AJ249" i="6"/>
  <c r="AT249" i="6" s="1"/>
  <c r="W249" i="6"/>
  <c r="K249" i="6"/>
  <c r="E249" i="6"/>
  <c r="BN248" i="6"/>
  <c r="AJ248" i="6"/>
  <c r="AT248" i="6" s="1"/>
  <c r="W248" i="6"/>
  <c r="K248" i="6"/>
  <c r="AZ248" i="6" s="1"/>
  <c r="E248" i="6"/>
  <c r="BL247" i="6"/>
  <c r="BN247" i="6" s="1"/>
  <c r="BJ247" i="6"/>
  <c r="BF247" i="6"/>
  <c r="AZ247" i="6"/>
  <c r="AL247" i="6"/>
  <c r="AF247" i="6"/>
  <c r="AJ247" i="6" s="1"/>
  <c r="AT247" i="6" s="1"/>
  <c r="W247" i="6"/>
  <c r="K247" i="6"/>
  <c r="E247" i="6"/>
  <c r="BL246" i="6"/>
  <c r="BN246" i="6" s="1"/>
  <c r="BJ246" i="6"/>
  <c r="AJ246" i="6"/>
  <c r="AT246" i="6" s="1"/>
  <c r="AF246" i="6"/>
  <c r="W246" i="6"/>
  <c r="M246" i="6"/>
  <c r="K246" i="6"/>
  <c r="G246" i="6"/>
  <c r="E246" i="6" s="1"/>
  <c r="AZ246" i="6" s="1"/>
  <c r="BL245" i="6"/>
  <c r="BN245" i="6" s="1"/>
  <c r="BJ245" i="6"/>
  <c r="AJ245" i="6"/>
  <c r="AT245" i="6" s="1"/>
  <c r="AF245" i="6"/>
  <c r="W245" i="6"/>
  <c r="K245" i="6"/>
  <c r="E245" i="6"/>
  <c r="AZ245" i="6" s="1"/>
  <c r="BN244" i="6"/>
  <c r="BJ244" i="6"/>
  <c r="AT244" i="6"/>
  <c r="AJ244" i="6"/>
  <c r="AF244" i="6"/>
  <c r="W244" i="6"/>
  <c r="K244" i="6"/>
  <c r="E244" i="6"/>
  <c r="AZ244" i="6" s="1"/>
  <c r="BN242" i="6"/>
  <c r="BL242" i="6"/>
  <c r="BJ242" i="6"/>
  <c r="AF242" i="6"/>
  <c r="AJ242" i="6" s="1"/>
  <c r="AT242" i="6" s="1"/>
  <c r="W242" i="6"/>
  <c r="K242" i="6"/>
  <c r="AZ242" i="6" s="1"/>
  <c r="E242" i="6"/>
  <c r="BL241" i="6"/>
  <c r="BN241" i="6" s="1"/>
  <c r="BJ241" i="6"/>
  <c r="AJ241" i="6"/>
  <c r="AT241" i="6" s="1"/>
  <c r="AF241" i="6"/>
  <c r="W241" i="6"/>
  <c r="K241" i="6"/>
  <c r="E241" i="6"/>
  <c r="AZ241" i="6" s="1"/>
  <c r="BL240" i="6"/>
  <c r="BJ240" i="6"/>
  <c r="BF240" i="6"/>
  <c r="BN240" i="6" s="1"/>
  <c r="AF240" i="6"/>
  <c r="AJ240" i="6" s="1"/>
  <c r="AT240" i="6" s="1"/>
  <c r="W240" i="6"/>
  <c r="K240" i="6"/>
  <c r="E240" i="6"/>
  <c r="AZ240" i="6" s="1"/>
  <c r="BN239" i="6"/>
  <c r="AJ239" i="6"/>
  <c r="AT239" i="6" s="1"/>
  <c r="W239" i="6"/>
  <c r="K239" i="6"/>
  <c r="E239" i="6"/>
  <c r="AZ239" i="6" s="1"/>
  <c r="AH261" i="5"/>
  <c r="G261" i="5"/>
  <c r="E261" i="5"/>
  <c r="AH260" i="5"/>
  <c r="AH259" i="5"/>
  <c r="I259" i="5"/>
  <c r="AH258" i="5"/>
  <c r="AL257" i="5"/>
  <c r="AH257" i="5"/>
  <c r="AH256" i="5"/>
  <c r="AH255" i="5"/>
  <c r="AH254" i="5"/>
  <c r="AL253" i="5"/>
  <c r="AB253" i="5"/>
  <c r="G253" i="5"/>
  <c r="AH253" i="5" s="1"/>
  <c r="AH252" i="5"/>
  <c r="AH251" i="5"/>
  <c r="AH250" i="5"/>
  <c r="AH249" i="5"/>
  <c r="AH248" i="5"/>
  <c r="AD248" i="5"/>
  <c r="AD247" i="5"/>
  <c r="AH247" i="5" s="1"/>
  <c r="AH246" i="5"/>
  <c r="AH245" i="5"/>
  <c r="AH244" i="5"/>
  <c r="AL243" i="5"/>
  <c r="AH243" i="5"/>
  <c r="AB242" i="5"/>
  <c r="G242" i="5"/>
  <c r="AH242" i="5" s="1"/>
  <c r="AR242" i="5" s="1"/>
  <c r="AL241" i="5"/>
  <c r="AD241" i="5"/>
  <c r="AH241" i="5" s="1"/>
  <c r="AL240" i="5"/>
  <c r="AH240" i="5"/>
  <c r="AD240" i="5"/>
  <c r="G240" i="5"/>
  <c r="W262" i="4"/>
  <c r="I262" i="4"/>
  <c r="S262" i="4" s="1"/>
  <c r="W261" i="4"/>
  <c r="S261" i="4"/>
  <c r="Q261" i="4"/>
  <c r="I261" i="4"/>
  <c r="W260" i="4"/>
  <c r="S260" i="4"/>
  <c r="M260" i="4"/>
  <c r="W259" i="4"/>
  <c r="S259" i="4"/>
  <c r="S258" i="4"/>
  <c r="Q258" i="4"/>
  <c r="S257" i="4"/>
  <c r="S256" i="4"/>
  <c r="Q256" i="4"/>
  <c r="W255" i="4"/>
  <c r="Q255" i="4"/>
  <c r="S255" i="4" s="1"/>
  <c r="W254" i="4"/>
  <c r="Q254" i="4"/>
  <c r="I254" i="4"/>
  <c r="S254" i="4" s="1"/>
  <c r="W253" i="4"/>
  <c r="Q253" i="4"/>
  <c r="S253" i="4" s="1"/>
  <c r="W252" i="4"/>
  <c r="S252" i="4"/>
  <c r="Q252" i="4"/>
  <c r="W251" i="4"/>
  <c r="S251" i="4"/>
  <c r="Q251" i="4"/>
  <c r="M251" i="4"/>
  <c r="W250" i="4"/>
  <c r="S250" i="4"/>
  <c r="Q250" i="4"/>
  <c r="W249" i="4"/>
  <c r="Q249" i="4"/>
  <c r="I249" i="4"/>
  <c r="S249" i="4" s="1"/>
  <c r="W248" i="4"/>
  <c r="Q248" i="4"/>
  <c r="I248" i="4"/>
  <c r="S248" i="4" s="1"/>
  <c r="Q247" i="4"/>
  <c r="S247" i="4" s="1"/>
  <c r="W246" i="4"/>
  <c r="S246" i="4"/>
  <c r="Q246" i="4"/>
  <c r="W245" i="4"/>
  <c r="S245" i="4"/>
  <c r="Q245" i="4"/>
  <c r="W244" i="4"/>
  <c r="Q244" i="4"/>
  <c r="S244" i="4" s="1"/>
  <c r="W243" i="4"/>
  <c r="Q243" i="4"/>
  <c r="S243" i="4" s="1"/>
  <c r="W242" i="4"/>
  <c r="S242" i="4"/>
  <c r="W241" i="4"/>
  <c r="Q241" i="4"/>
  <c r="S241" i="4" s="1"/>
  <c r="AC262" i="2"/>
  <c r="E262" i="2"/>
  <c r="AC261" i="2"/>
  <c r="I260" i="2"/>
  <c r="AC260" i="2" s="1"/>
  <c r="AC259" i="2"/>
  <c r="AG258" i="2"/>
  <c r="AC258" i="2"/>
  <c r="AC257" i="2"/>
  <c r="AC256" i="2"/>
  <c r="AC255" i="2"/>
  <c r="AC254" i="2"/>
  <c r="AC253" i="2"/>
  <c r="AC252" i="2"/>
  <c r="AC250" i="2"/>
  <c r="AC249" i="2"/>
  <c r="AC248" i="2"/>
  <c r="AC247" i="2"/>
  <c r="AC246" i="2"/>
  <c r="AC245" i="2"/>
  <c r="AC244" i="2"/>
  <c r="AC243" i="2"/>
  <c r="AC242" i="2"/>
  <c r="AM242" i="2" s="1"/>
  <c r="G242" i="2"/>
  <c r="AC241" i="2"/>
  <c r="AG240" i="2"/>
  <c r="AC240" i="2"/>
  <c r="G240" i="2"/>
  <c r="S262" i="1"/>
  <c r="W261" i="1"/>
  <c r="Q261" i="1"/>
  <c r="S261" i="1" s="1"/>
  <c r="I261" i="1"/>
  <c r="M260" i="1"/>
  <c r="S260" i="1" s="1"/>
  <c r="S259" i="1"/>
  <c r="S258" i="1"/>
  <c r="Q258" i="1"/>
  <c r="S257" i="1"/>
  <c r="Q256" i="1"/>
  <c r="S256" i="1" s="1"/>
  <c r="Q255" i="1"/>
  <c r="S255" i="1" s="1"/>
  <c r="Q254" i="1"/>
  <c r="S254" i="1" s="1"/>
  <c r="I254" i="1"/>
  <c r="Q253" i="1"/>
  <c r="S253" i="1" s="1"/>
  <c r="S252" i="1"/>
  <c r="Q252" i="1"/>
  <c r="Q251" i="1"/>
  <c r="M251" i="1"/>
  <c r="S251" i="1" s="1"/>
  <c r="Q250" i="1"/>
  <c r="S250" i="1" s="1"/>
  <c r="Q249" i="1"/>
  <c r="S249" i="1" s="1"/>
  <c r="I249" i="1"/>
  <c r="Q248" i="1"/>
  <c r="S248" i="1" s="1"/>
  <c r="S247" i="1"/>
  <c r="Q247" i="1"/>
  <c r="Q246" i="1"/>
  <c r="S246" i="1" s="1"/>
  <c r="S245" i="1"/>
  <c r="Q245" i="1"/>
  <c r="W244" i="1"/>
  <c r="Q244" i="1"/>
  <c r="S244" i="1" s="1"/>
  <c r="Q243" i="1"/>
  <c r="S243" i="1" s="1"/>
  <c r="S242" i="1"/>
  <c r="W241" i="1"/>
  <c r="Q241" i="1"/>
  <c r="S241" i="1" s="1"/>
  <c r="S262" i="3"/>
  <c r="M262" i="3"/>
  <c r="E262" i="3"/>
  <c r="M261" i="3"/>
  <c r="S261" i="3" s="1"/>
  <c r="E261" i="3"/>
  <c r="M260" i="3"/>
  <c r="S260" i="3" s="1"/>
  <c r="E260" i="3"/>
  <c r="M259" i="3"/>
  <c r="S259" i="3" s="1"/>
  <c r="M258" i="3"/>
  <c r="S258" i="3" s="1"/>
  <c r="E258" i="3"/>
  <c r="M257" i="3"/>
  <c r="S257" i="3" s="1"/>
  <c r="S256" i="3"/>
  <c r="M256" i="3"/>
  <c r="M255" i="3"/>
  <c r="S255" i="3" s="1"/>
  <c r="S254" i="3"/>
  <c r="M254" i="3"/>
  <c r="E254" i="3"/>
  <c r="M253" i="3"/>
  <c r="S253" i="3" s="1"/>
  <c r="M252" i="3"/>
  <c r="S252" i="3" s="1"/>
  <c r="M251" i="3"/>
  <c r="S251" i="3" s="1"/>
  <c r="E251" i="3"/>
  <c r="M250" i="3"/>
  <c r="S250" i="3" s="1"/>
  <c r="E250" i="3"/>
  <c r="M249" i="3"/>
  <c r="S249" i="3" s="1"/>
  <c r="E249" i="3"/>
  <c r="S248" i="3"/>
  <c r="M248" i="3"/>
  <c r="E248" i="3"/>
  <c r="S247" i="3"/>
  <c r="S246" i="3"/>
  <c r="M246" i="3"/>
  <c r="M245" i="3"/>
  <c r="S245" i="3" s="1"/>
  <c r="S244" i="3"/>
  <c r="M244" i="3"/>
  <c r="E244" i="3"/>
  <c r="M243" i="3"/>
  <c r="S243" i="3" s="1"/>
  <c r="U243" i="3" s="1"/>
  <c r="M242" i="3"/>
  <c r="S242" i="3" s="1"/>
  <c r="E242" i="3"/>
  <c r="S241" i="3"/>
  <c r="M241" i="3"/>
  <c r="V243" i="7"/>
  <c r="S262" i="7"/>
  <c r="E262" i="7"/>
  <c r="S261" i="7"/>
  <c r="M260" i="7"/>
  <c r="S260" i="7" s="1"/>
  <c r="E260" i="7"/>
  <c r="S259" i="7"/>
  <c r="M258" i="7"/>
  <c r="S258" i="7" s="1"/>
  <c r="S257" i="7"/>
  <c r="S256" i="7"/>
  <c r="M255" i="7"/>
  <c r="S255" i="7" s="1"/>
  <c r="M254" i="7"/>
  <c r="S254" i="7" s="1"/>
  <c r="E254" i="7"/>
  <c r="S253" i="7"/>
  <c r="S252" i="7"/>
  <c r="M251" i="7"/>
  <c r="S251" i="7" s="1"/>
  <c r="E251" i="7"/>
  <c r="M250" i="7"/>
  <c r="S250" i="7" s="1"/>
  <c r="M249" i="7"/>
  <c r="S249" i="7" s="1"/>
  <c r="E249" i="7"/>
  <c r="M248" i="7"/>
  <c r="S248" i="7" s="1"/>
  <c r="S247" i="7"/>
  <c r="S246" i="7"/>
  <c r="S245" i="7"/>
  <c r="S244" i="7"/>
  <c r="E244" i="7"/>
  <c r="S243" i="7"/>
  <c r="S242" i="7"/>
  <c r="E242" i="7"/>
  <c r="S241" i="7"/>
  <c r="Q262" i="8"/>
  <c r="W262" i="8" s="1"/>
  <c r="E262" i="8"/>
  <c r="W261" i="8"/>
  <c r="K260" i="8"/>
  <c r="W260" i="8" s="1"/>
  <c r="W259" i="8"/>
  <c r="W258" i="8"/>
  <c r="S257" i="8"/>
  <c r="Q257" i="8"/>
  <c r="M257" i="8"/>
  <c r="K257" i="8"/>
  <c r="I257" i="8"/>
  <c r="E257" i="8"/>
  <c r="W257" i="8" s="1"/>
  <c r="W256" i="8"/>
  <c r="W255" i="8"/>
  <c r="E254" i="8"/>
  <c r="W254" i="8" s="1"/>
  <c r="W253" i="8"/>
  <c r="W252" i="8"/>
  <c r="W251" i="8"/>
  <c r="W250" i="8"/>
  <c r="W249" i="8"/>
  <c r="W248" i="8"/>
  <c r="W247" i="8"/>
  <c r="W246" i="8"/>
  <c r="W245" i="8"/>
  <c r="W244" i="8"/>
  <c r="E243" i="8"/>
  <c r="W243" i="8" s="1"/>
  <c r="W242" i="8"/>
  <c r="E241" i="8"/>
  <c r="W241" i="8" s="1"/>
  <c r="AA243" i="8"/>
  <c r="AC261" i="9"/>
  <c r="U261" i="9"/>
  <c r="O261" i="9"/>
  <c r="M261" i="9"/>
  <c r="K261" i="9"/>
  <c r="AA261" i="9" s="1"/>
  <c r="M260" i="9"/>
  <c r="AC260" i="9" s="1"/>
  <c r="K260" i="9"/>
  <c r="O259" i="9"/>
  <c r="AC259" i="9" s="1"/>
  <c r="AC258" i="9"/>
  <c r="AA258" i="9"/>
  <c r="AC257" i="9"/>
  <c r="AA257" i="9"/>
  <c r="AA256" i="9"/>
  <c r="O256" i="9"/>
  <c r="AC256" i="9" s="1"/>
  <c r="K255" i="9"/>
  <c r="AC255" i="9" s="1"/>
  <c r="AC254" i="9"/>
  <c r="AA254" i="9"/>
  <c r="O253" i="9"/>
  <c r="K253" i="9"/>
  <c r="AC253" i="9" s="1"/>
  <c r="AC252" i="9"/>
  <c r="AA252" i="9"/>
  <c r="K252" i="9"/>
  <c r="M251" i="9"/>
  <c r="AC251" i="9" s="1"/>
  <c r="K251" i="9"/>
  <c r="AC250" i="9"/>
  <c r="AA250" i="9"/>
  <c r="AC249" i="9"/>
  <c r="O249" i="9"/>
  <c r="AA249" i="9" s="1"/>
  <c r="U248" i="9"/>
  <c r="O248" i="9"/>
  <c r="M248" i="9"/>
  <c r="K248" i="9"/>
  <c r="AC248" i="9" s="1"/>
  <c r="O247" i="9"/>
  <c r="M247" i="9"/>
  <c r="AA247" i="9" s="1"/>
  <c r="K247" i="9"/>
  <c r="AC247" i="9" s="1"/>
  <c r="K246" i="9"/>
  <c r="AC246" i="9" s="1"/>
  <c r="U245" i="9"/>
  <c r="K245" i="9"/>
  <c r="AC245" i="9" s="1"/>
  <c r="AA244" i="9"/>
  <c r="K244" i="9"/>
  <c r="AC244" i="9" s="1"/>
  <c r="AC243" i="9"/>
  <c r="AA243" i="9"/>
  <c r="K242" i="9"/>
  <c r="AC242" i="9" s="1"/>
  <c r="Q241" i="9"/>
  <c r="AC241" i="9" s="1"/>
  <c r="AC240" i="9"/>
  <c r="K240" i="9"/>
  <c r="AA240" i="9" s="1"/>
  <c r="U262" i="10"/>
  <c r="Y262" i="10" s="1"/>
  <c r="M262" i="10"/>
  <c r="G262" i="10"/>
  <c r="E262" i="10" s="1"/>
  <c r="U261" i="10"/>
  <c r="Y261" i="10" s="1"/>
  <c r="M261" i="10"/>
  <c r="G261" i="10"/>
  <c r="E261" i="10"/>
  <c r="U260" i="10"/>
  <c r="Y260" i="10" s="1"/>
  <c r="M260" i="10"/>
  <c r="G260" i="10"/>
  <c r="E260" i="10"/>
  <c r="U259" i="10"/>
  <c r="Y259" i="10" s="1"/>
  <c r="M259" i="10"/>
  <c r="G259" i="10"/>
  <c r="E259" i="10" s="1"/>
  <c r="U258" i="10"/>
  <c r="Y258" i="10" s="1"/>
  <c r="M258" i="10"/>
  <c r="G258" i="10"/>
  <c r="E258" i="10" s="1"/>
  <c r="U257" i="10"/>
  <c r="Y257" i="10" s="1"/>
  <c r="M257" i="10"/>
  <c r="E257" i="10"/>
  <c r="U256" i="10"/>
  <c r="Y256" i="10" s="1"/>
  <c r="M256" i="10"/>
  <c r="G256" i="10"/>
  <c r="E256" i="10" s="1"/>
  <c r="U255" i="10"/>
  <c r="Y255" i="10" s="1"/>
  <c r="M255" i="10"/>
  <c r="G255" i="10"/>
  <c r="E255" i="10" s="1"/>
  <c r="U254" i="10"/>
  <c r="Y254" i="10" s="1"/>
  <c r="M254" i="10"/>
  <c r="G254" i="10"/>
  <c r="E254" i="10" s="1"/>
  <c r="U253" i="10"/>
  <c r="Y253" i="10" s="1"/>
  <c r="M253" i="10"/>
  <c r="G253" i="10"/>
  <c r="E253" i="10"/>
  <c r="U252" i="10"/>
  <c r="Y252" i="10" s="1"/>
  <c r="M252" i="10"/>
  <c r="G252" i="10"/>
  <c r="E252" i="10"/>
  <c r="U251" i="10"/>
  <c r="Y251" i="10" s="1"/>
  <c r="M251" i="10"/>
  <c r="G251" i="10"/>
  <c r="E251" i="10"/>
  <c r="U250" i="10"/>
  <c r="Y250" i="10" s="1"/>
  <c r="M250" i="10"/>
  <c r="G250" i="10"/>
  <c r="E250" i="10" s="1"/>
  <c r="U249" i="10"/>
  <c r="Y249" i="10" s="1"/>
  <c r="M249" i="10"/>
  <c r="G249" i="10"/>
  <c r="E249" i="10" s="1"/>
  <c r="U248" i="10"/>
  <c r="Y248" i="10" s="1"/>
  <c r="M248" i="10"/>
  <c r="G248" i="10"/>
  <c r="E248" i="10"/>
  <c r="U247" i="10"/>
  <c r="Y247" i="10" s="1"/>
  <c r="M247" i="10"/>
  <c r="G247" i="10"/>
  <c r="E247" i="10"/>
  <c r="U246" i="10"/>
  <c r="Y246" i="10" s="1"/>
  <c r="M246" i="10"/>
  <c r="G246" i="10"/>
  <c r="E246" i="10" s="1"/>
  <c r="U245" i="10"/>
  <c r="Y245" i="10" s="1"/>
  <c r="M245" i="10"/>
  <c r="G245" i="10"/>
  <c r="E245" i="10" s="1"/>
  <c r="Y244" i="10"/>
  <c r="M244" i="10"/>
  <c r="G244" i="10"/>
  <c r="E244" i="10"/>
  <c r="U243" i="10"/>
  <c r="Y243" i="10" s="1"/>
  <c r="AB243" i="10" s="1"/>
  <c r="M243" i="10"/>
  <c r="G243" i="10"/>
  <c r="E243" i="10" s="1"/>
  <c r="U242" i="10"/>
  <c r="Y242" i="10" s="1"/>
  <c r="M242" i="10"/>
  <c r="G242" i="10"/>
  <c r="E242" i="10" s="1"/>
  <c r="U241" i="10"/>
  <c r="Y241" i="10" s="1"/>
  <c r="M241" i="10"/>
  <c r="G241" i="10"/>
  <c r="E241" i="10" s="1"/>
  <c r="AC243" i="8" l="1"/>
  <c r="AZ257" i="6"/>
  <c r="AZ252" i="6"/>
  <c r="AZ254" i="6"/>
  <c r="AZ249" i="6"/>
  <c r="AA259" i="9"/>
  <c r="AA260" i="9"/>
  <c r="AA248" i="9"/>
  <c r="AA253" i="9"/>
  <c r="AA246" i="9"/>
  <c r="AA251" i="9"/>
  <c r="AA255" i="9"/>
  <c r="AA245" i="9"/>
  <c r="AA242" i="9"/>
  <c r="AA241" i="9"/>
  <c r="E214" i="12"/>
  <c r="BK205" i="15"/>
  <c r="BG205" i="15"/>
  <c r="AE205" i="15"/>
  <c r="BK210" i="14"/>
  <c r="BI210" i="14"/>
  <c r="BE210" i="14"/>
  <c r="AE210" i="14"/>
  <c r="AF213" i="6"/>
  <c r="BL213" i="6"/>
  <c r="BJ213" i="6"/>
  <c r="BF213" i="6"/>
  <c r="Q214" i="4"/>
  <c r="Q215" i="1"/>
  <c r="M214" i="3"/>
  <c r="M214" i="9"/>
  <c r="K214" i="9"/>
  <c r="U214" i="10" l="1"/>
  <c r="AF214" i="6" l="1"/>
  <c r="BL214" i="6"/>
  <c r="BJ214" i="6"/>
  <c r="BF214" i="6"/>
  <c r="AL215" i="5"/>
  <c r="W215" i="4"/>
  <c r="Q215" i="4"/>
  <c r="Q216" i="1"/>
  <c r="M215" i="3"/>
  <c r="M215" i="7"/>
  <c r="K215" i="9"/>
  <c r="U215" i="10"/>
  <c r="Q216" i="12"/>
  <c r="E216" i="12"/>
  <c r="AF215" i="6"/>
  <c r="BL215" i="6"/>
  <c r="BJ215" i="6"/>
  <c r="I216" i="5"/>
  <c r="W216" i="4"/>
  <c r="Q216" i="4"/>
  <c r="Q217" i="1"/>
  <c r="M216" i="3"/>
  <c r="M216" i="7"/>
  <c r="K216" i="8"/>
  <c r="M216" i="9"/>
  <c r="K216" i="9"/>
  <c r="U216" i="10"/>
  <c r="E217" i="12"/>
  <c r="AQ213" i="14"/>
  <c r="AE213" i="14"/>
  <c r="BK213" i="14"/>
  <c r="BI213" i="14"/>
  <c r="BE213" i="14"/>
  <c r="AL217" i="5"/>
  <c r="AF217" i="5"/>
  <c r="W217" i="4"/>
  <c r="Q217" i="4"/>
  <c r="I217" i="4"/>
  <c r="Q218" i="1"/>
  <c r="M217" i="3"/>
  <c r="M217" i="7"/>
  <c r="O217" i="9"/>
  <c r="M217" i="9"/>
  <c r="K217" i="9"/>
  <c r="U217" i="10"/>
  <c r="G217" i="10"/>
  <c r="AE214" i="14"/>
  <c r="AF217" i="6"/>
  <c r="BF217" i="6"/>
  <c r="W218" i="4"/>
  <c r="AL218" i="5"/>
  <c r="Q218" i="4"/>
  <c r="Q219" i="1"/>
  <c r="M218" i="3"/>
  <c r="E218" i="3"/>
  <c r="E218" i="7"/>
  <c r="U218" i="10"/>
  <c r="G218" i="10"/>
  <c r="E219" i="12"/>
  <c r="BK215" i="14"/>
  <c r="AE215" i="14"/>
  <c r="AF218" i="6"/>
  <c r="BL218" i="6"/>
  <c r="BJ218" i="6"/>
  <c r="G219" i="5"/>
  <c r="W219" i="4"/>
  <c r="G219" i="2"/>
  <c r="M220" i="3"/>
  <c r="E219" i="8"/>
  <c r="K219" i="9"/>
  <c r="U219" i="10"/>
  <c r="E220" i="12"/>
  <c r="AE216" i="14"/>
  <c r="BK216" i="14"/>
  <c r="BE216" i="14"/>
  <c r="I220" i="5"/>
  <c r="W220" i="4"/>
  <c r="Q220" i="4"/>
  <c r="Q221" i="1"/>
  <c r="M221" i="3"/>
  <c r="M221" i="7"/>
  <c r="K220" i="8"/>
  <c r="U220" i="9"/>
  <c r="K220" i="9"/>
  <c r="U220" i="10"/>
  <c r="G220" i="10"/>
  <c r="AE212" i="13"/>
  <c r="BK212" i="13"/>
  <c r="BE212" i="13"/>
  <c r="BK217" i="14"/>
  <c r="BE217" i="14"/>
  <c r="AE217" i="14"/>
  <c r="AF220" i="6"/>
  <c r="BL220" i="6"/>
  <c r="BJ220" i="6"/>
  <c r="Q221" i="4"/>
  <c r="Q222" i="1"/>
  <c r="M222" i="3"/>
  <c r="E222" i="3"/>
  <c r="E222" i="7"/>
  <c r="U221" i="10"/>
  <c r="G221" i="10"/>
  <c r="M222" i="12"/>
  <c r="K222" i="12"/>
  <c r="E222" i="12"/>
  <c r="AE218" i="14"/>
  <c r="AF221" i="6"/>
  <c r="BK218" i="14"/>
  <c r="BE218" i="14"/>
  <c r="BL221" i="6"/>
  <c r="BF221" i="6"/>
  <c r="W222" i="4"/>
  <c r="Q222" i="4"/>
  <c r="W223" i="1"/>
  <c r="Q223" i="1"/>
  <c r="M223" i="3"/>
  <c r="S223" i="3" s="1"/>
  <c r="U223" i="3" s="1"/>
  <c r="E223" i="3"/>
  <c r="M223" i="7"/>
  <c r="E223" i="7"/>
  <c r="U222" i="9"/>
  <c r="O222" i="10"/>
  <c r="G222" i="10"/>
  <c r="K223" i="12"/>
  <c r="AE214" i="15"/>
  <c r="AE219" i="14"/>
  <c r="AL222" i="6"/>
  <c r="AF222" i="6"/>
  <c r="BK214" i="15"/>
  <c r="BK219" i="14"/>
  <c r="BI219" i="14"/>
  <c r="BL222" i="6"/>
  <c r="BJ222" i="6"/>
  <c r="W224" i="4"/>
  <c r="Q224" i="4"/>
  <c r="Q224" i="1" l="1"/>
  <c r="M224" i="3"/>
  <c r="M224" i="7"/>
  <c r="K223" i="9"/>
  <c r="U223" i="10"/>
  <c r="G223" i="10"/>
  <c r="E224" i="12"/>
  <c r="AE215" i="15"/>
  <c r="AE220" i="14"/>
  <c r="AF223" i="6"/>
  <c r="BK215" i="15"/>
  <c r="BK220" i="14"/>
  <c r="BI220" i="14"/>
  <c r="BL223" i="6"/>
  <c r="BH223" i="6"/>
  <c r="Q225" i="4"/>
  <c r="AM224" i="2"/>
  <c r="Q225" i="1"/>
  <c r="M225" i="3"/>
  <c r="V225" i="7"/>
  <c r="M225" i="7"/>
  <c r="O224" i="9"/>
  <c r="U224" i="10"/>
  <c r="G224" i="10"/>
  <c r="E225" i="12"/>
  <c r="BK216" i="15"/>
  <c r="BK221" i="14"/>
  <c r="G221" i="14"/>
  <c r="AE221" i="14"/>
  <c r="AF224" i="6"/>
  <c r="BL224" i="6"/>
  <c r="K225" i="9"/>
  <c r="U225" i="10"/>
  <c r="G225" i="10"/>
  <c r="BK222" i="14"/>
  <c r="BE222" i="14"/>
  <c r="AE222" i="14"/>
  <c r="AF225" i="6"/>
  <c r="BL225" i="6"/>
  <c r="BF225" i="6"/>
  <c r="AL226" i="5"/>
  <c r="W227" i="4"/>
  <c r="E227" i="3"/>
  <c r="E227" i="7"/>
  <c r="U226" i="9"/>
  <c r="K226" i="9"/>
  <c r="U226" i="10"/>
  <c r="G226" i="10"/>
  <c r="K227" i="12"/>
  <c r="AE223" i="14"/>
  <c r="AL227" i="5"/>
  <c r="W228" i="4"/>
  <c r="Q228" i="4"/>
  <c r="Q228" i="1"/>
  <c r="M228" i="3"/>
  <c r="E228" i="3"/>
  <c r="E228" i="7"/>
  <c r="K227" i="9"/>
  <c r="U227" i="10"/>
  <c r="G227" i="10"/>
  <c r="K228" i="12"/>
  <c r="W229" i="4"/>
  <c r="Q229" i="4"/>
  <c r="Q229" i="1"/>
  <c r="M229" i="3"/>
  <c r="M228" i="9"/>
  <c r="K228" i="9"/>
  <c r="U228" i="10"/>
  <c r="G228" i="10"/>
  <c r="BK225" i="14"/>
  <c r="BI225" i="14"/>
  <c r="AE225" i="14"/>
  <c r="AF228" i="6"/>
  <c r="BL228" i="6"/>
  <c r="BJ228" i="6"/>
  <c r="BF228" i="6"/>
  <c r="W230" i="4"/>
  <c r="M230" i="3"/>
  <c r="M230" i="7"/>
  <c r="U229" i="10"/>
  <c r="G229" i="10"/>
  <c r="W231" i="4"/>
  <c r="I231" i="4"/>
  <c r="I231" i="1"/>
  <c r="M231" i="3"/>
  <c r="M231" i="7"/>
  <c r="U230" i="9"/>
  <c r="O230" i="9"/>
  <c r="K230" i="9"/>
  <c r="U230" i="10"/>
  <c r="G230" i="10"/>
  <c r="BM224" i="15" l="1"/>
  <c r="BM225" i="15"/>
  <c r="BM226" i="15"/>
  <c r="BM227" i="15"/>
  <c r="BM228" i="15"/>
  <c r="AE223" i="15"/>
  <c r="BK223" i="15"/>
  <c r="BK229" i="14"/>
  <c r="BI229" i="14"/>
  <c r="BE229" i="14"/>
  <c r="BK228" i="14"/>
  <c r="BI228" i="14"/>
  <c r="BK227" i="14"/>
  <c r="BI227" i="14"/>
  <c r="AE227" i="14"/>
  <c r="AF230" i="6"/>
  <c r="BL230" i="6"/>
  <c r="BJ230" i="6"/>
  <c r="AL231" i="5"/>
  <c r="W232" i="4"/>
  <c r="Q232" i="4"/>
  <c r="I232" i="4"/>
  <c r="Q232" i="1"/>
  <c r="M232" i="3"/>
  <c r="M232" i="7"/>
  <c r="U231" i="10"/>
  <c r="O231" i="10"/>
  <c r="G231" i="10"/>
  <c r="K233" i="12"/>
  <c r="AE228" i="14"/>
  <c r="AF231" i="6"/>
  <c r="BL231" i="6"/>
  <c r="BJ231" i="6"/>
  <c r="E232" i="5"/>
  <c r="W233" i="4"/>
  <c r="Q233" i="4"/>
  <c r="E232" i="2"/>
  <c r="Q233" i="1"/>
  <c r="M233" i="3"/>
  <c r="Q233" i="8"/>
  <c r="U233" i="10"/>
  <c r="G233" i="10"/>
  <c r="Q234" i="12"/>
  <c r="AE229" i="14"/>
  <c r="AF232" i="6"/>
  <c r="BL232" i="6"/>
  <c r="BJ232" i="6"/>
  <c r="BF232" i="6"/>
  <c r="W234" i="4"/>
  <c r="O234" i="3"/>
  <c r="M234" i="3"/>
  <c r="O234" i="7"/>
  <c r="M234" i="7"/>
  <c r="U233" i="9"/>
  <c r="U234" i="10"/>
  <c r="G234" i="10"/>
  <c r="BK230" i="14"/>
  <c r="AE230" i="14"/>
  <c r="AF233" i="6"/>
  <c r="BL233" i="6"/>
  <c r="M234" i="5"/>
  <c r="G234" i="5"/>
  <c r="E234" i="5"/>
  <c r="Q235" i="4"/>
  <c r="M234" i="2"/>
  <c r="G234" i="2"/>
  <c r="E234" i="2"/>
  <c r="Q235" i="1"/>
  <c r="M235" i="3"/>
  <c r="E235" i="3"/>
  <c r="M235" i="7"/>
  <c r="E235" i="7"/>
  <c r="Q235" i="8"/>
  <c r="M235" i="8"/>
  <c r="E235" i="8"/>
  <c r="U234" i="9"/>
  <c r="U235" i="10"/>
  <c r="G235" i="10"/>
  <c r="Q236" i="12"/>
  <c r="BK231" i="14"/>
  <c r="BI231" i="14"/>
  <c r="BE231" i="14"/>
  <c r="BL234" i="6"/>
  <c r="BJ234" i="6"/>
  <c r="BF234" i="6"/>
  <c r="W236" i="4"/>
  <c r="G235" i="5"/>
  <c r="Q236" i="4"/>
  <c r="Q236" i="1"/>
  <c r="Q236" i="3"/>
  <c r="M236" i="3"/>
  <c r="E236" i="3"/>
  <c r="M236" i="7"/>
  <c r="E236" i="8"/>
  <c r="U235" i="9"/>
  <c r="K235" i="9"/>
  <c r="U236" i="10"/>
  <c r="G236" i="10"/>
  <c r="AF235" i="6"/>
  <c r="BL235" i="6"/>
  <c r="BF235" i="6"/>
  <c r="M235" i="6"/>
  <c r="Q237" i="4"/>
  <c r="Q237" i="1"/>
  <c r="M237" i="3"/>
  <c r="U237" i="10" l="1"/>
  <c r="G237" i="10"/>
  <c r="E232" i="14"/>
  <c r="K232" i="14"/>
  <c r="S237" i="12"/>
  <c r="W237" i="12" s="1"/>
  <c r="BM232" i="14"/>
  <c r="AS232" i="14"/>
  <c r="AI232" i="14"/>
  <c r="W232" i="14"/>
  <c r="BN235" i="6"/>
  <c r="AJ235" i="6"/>
  <c r="AT235" i="6" s="1"/>
  <c r="W235" i="6"/>
  <c r="K235" i="6"/>
  <c r="E235" i="6"/>
  <c r="AH236" i="5"/>
  <c r="S237" i="4"/>
  <c r="AC236" i="2"/>
  <c r="S237" i="1"/>
  <c r="S237" i="3"/>
  <c r="AR236" i="5" s="1"/>
  <c r="S237" i="7"/>
  <c r="V237" i="7" s="1"/>
  <c r="W237" i="8"/>
  <c r="AC236" i="9"/>
  <c r="AA236" i="9"/>
  <c r="AY232" i="14" l="1"/>
  <c r="AZ235" i="6"/>
  <c r="U237" i="3"/>
  <c r="AM236" i="2"/>
  <c r="Y237" i="10"/>
  <c r="AA237" i="8" s="1"/>
  <c r="AC237" i="8" s="1"/>
  <c r="M237" i="10"/>
  <c r="E237" i="10"/>
  <c r="E238" i="12"/>
  <c r="Q238" i="12"/>
  <c r="BK228" i="15"/>
  <c r="AE228" i="15"/>
  <c r="AE228" i="13"/>
  <c r="BK228" i="13"/>
  <c r="BG228" i="13"/>
  <c r="BE228" i="13"/>
  <c r="BK233" i="14"/>
  <c r="BE233" i="14"/>
  <c r="AE233" i="14"/>
  <c r="AF236" i="6"/>
  <c r="BL236" i="6"/>
  <c r="BF236" i="6"/>
  <c r="W238" i="4"/>
  <c r="Q238" i="4"/>
  <c r="W238" i="1"/>
  <c r="Q238" i="1"/>
  <c r="M238" i="3"/>
  <c r="E238" i="3"/>
  <c r="M238" i="7"/>
  <c r="E238" i="7"/>
  <c r="U237" i="9"/>
  <c r="K237" i="9"/>
  <c r="U238" i="10"/>
  <c r="G238" i="10"/>
  <c r="K239" i="12"/>
  <c r="BK229" i="15"/>
  <c r="BI229" i="15"/>
  <c r="AE229" i="15"/>
  <c r="AE229" i="13"/>
  <c r="BK229" i="13"/>
  <c r="BK234" i="14"/>
  <c r="BI234" i="14"/>
  <c r="BG234" i="14"/>
  <c r="S234" i="14"/>
  <c r="AE234" i="14"/>
  <c r="AF237" i="6"/>
  <c r="BL237" i="6"/>
  <c r="G238" i="5"/>
  <c r="Q239" i="4"/>
  <c r="G238" i="2"/>
  <c r="Q239" i="1"/>
  <c r="M239" i="3"/>
  <c r="E239" i="3"/>
  <c r="M239" i="7"/>
  <c r="E239" i="7"/>
  <c r="E239" i="8"/>
  <c r="U238" i="9"/>
  <c r="O238" i="9"/>
  <c r="K238" i="9"/>
  <c r="U239" i="10"/>
  <c r="G239" i="10"/>
  <c r="Q240" i="12"/>
  <c r="K240" i="12"/>
  <c r="E240" i="12"/>
  <c r="AE230" i="15"/>
  <c r="BK230" i="15"/>
  <c r="BK235" i="14"/>
  <c r="BI235" i="14"/>
  <c r="BE235" i="14"/>
  <c r="AE235" i="14"/>
  <c r="AF238" i="6"/>
  <c r="BL238" i="6"/>
  <c r="BJ238" i="6"/>
  <c r="BH238" i="6"/>
  <c r="I239" i="5"/>
  <c r="Q240" i="4"/>
  <c r="Q240" i="1"/>
  <c r="M240" i="3"/>
  <c r="E240" i="3"/>
  <c r="M240" i="7"/>
  <c r="E240" i="7"/>
  <c r="K240" i="8"/>
  <c r="K239" i="9"/>
  <c r="U240" i="10"/>
  <c r="AB237" i="10" l="1"/>
  <c r="E210" i="12"/>
  <c r="AE206" i="14"/>
  <c r="BK206" i="14"/>
  <c r="BE206" i="14"/>
  <c r="AF209" i="6"/>
  <c r="BL209" i="6"/>
  <c r="BF209" i="6"/>
  <c r="W210" i="4"/>
  <c r="Q210" i="4"/>
  <c r="I210" i="4"/>
  <c r="Q210" i="1"/>
  <c r="I210" i="1"/>
  <c r="M210" i="3"/>
  <c r="E210" i="3"/>
  <c r="M210" i="7"/>
  <c r="E210" i="7"/>
  <c r="Q210" i="9"/>
  <c r="U210" i="10"/>
  <c r="G210" i="10"/>
  <c r="W209" i="4"/>
  <c r="Q209" i="4"/>
  <c r="Q209" i="1"/>
  <c r="M209" i="3"/>
  <c r="E209" i="3"/>
  <c r="E209" i="7"/>
  <c r="O209" i="9"/>
  <c r="U209" i="10"/>
  <c r="G209" i="10"/>
  <c r="BK199" i="15"/>
  <c r="BK204" i="14"/>
  <c r="BG204" i="14"/>
  <c r="AE204" i="14"/>
  <c r="AF207" i="6"/>
  <c r="BL207" i="6"/>
  <c r="BF207" i="6"/>
  <c r="AL208" i="5"/>
  <c r="M208" i="3"/>
  <c r="E208" i="3"/>
  <c r="E208" i="7"/>
  <c r="U208" i="9"/>
  <c r="O208" i="9"/>
  <c r="U208" i="10"/>
  <c r="G208" i="10"/>
  <c r="K207" i="12"/>
  <c r="AF207" i="5"/>
  <c r="Q207" i="5"/>
  <c r="G207" i="5"/>
  <c r="E207" i="5"/>
  <c r="W207" i="4"/>
  <c r="Q207" i="4"/>
  <c r="Q207" i="2"/>
  <c r="G207" i="2"/>
  <c r="E207" i="2"/>
  <c r="Q207" i="1"/>
  <c r="M207" i="3"/>
  <c r="E207" i="3"/>
  <c r="M207" i="7"/>
  <c r="E207" i="7"/>
  <c r="S207" i="8"/>
  <c r="Q207" i="8"/>
  <c r="E207" i="8"/>
  <c r="U207" i="9"/>
  <c r="K207" i="9"/>
  <c r="U207" i="10"/>
  <c r="G207" i="10"/>
  <c r="Q206" i="12"/>
  <c r="K206" i="12"/>
  <c r="AF205" i="6"/>
  <c r="BL205" i="6"/>
  <c r="BJ205" i="6"/>
  <c r="G206" i="5"/>
  <c r="W206" i="4"/>
  <c r="Q206" i="4"/>
  <c r="G206" i="2"/>
  <c r="Q206" i="1"/>
  <c r="M206" i="3"/>
  <c r="E206" i="3"/>
  <c r="M206" i="7"/>
  <c r="E206" i="7"/>
  <c r="E206" i="8"/>
  <c r="U206" i="9"/>
  <c r="M206" i="9"/>
  <c r="K206" i="9"/>
  <c r="U206" i="10"/>
  <c r="G206" i="10"/>
  <c r="E204" i="12"/>
  <c r="BK200" i="14"/>
  <c r="BE200" i="14"/>
  <c r="AE200" i="14"/>
  <c r="AF203" i="6"/>
  <c r="BL203" i="6"/>
  <c r="BF203" i="6"/>
  <c r="AL204" i="5"/>
  <c r="M204" i="5"/>
  <c r="I204" i="5"/>
  <c r="G204" i="5"/>
  <c r="E204" i="5"/>
  <c r="W204" i="4"/>
  <c r="E204" i="2"/>
  <c r="I204" i="2"/>
  <c r="G204" i="2"/>
  <c r="W204" i="1"/>
  <c r="M204" i="3"/>
  <c r="E204" i="3"/>
  <c r="M204" i="7"/>
  <c r="E204" i="7"/>
  <c r="Q204" i="8"/>
  <c r="M204" i="8"/>
  <c r="K204" i="8"/>
  <c r="E204" i="8"/>
  <c r="U204" i="9"/>
  <c r="U204" i="10"/>
  <c r="G204" i="10"/>
  <c r="BK194" i="13"/>
  <c r="BE194" i="13"/>
  <c r="BK199" i="14"/>
  <c r="BE199" i="14"/>
  <c r="AE194" i="13"/>
  <c r="AE199" i="14"/>
  <c r="AF202" i="6"/>
  <c r="BL202" i="6"/>
  <c r="BF202" i="6"/>
  <c r="W203" i="4"/>
  <c r="M203" i="3"/>
  <c r="K203" i="9"/>
  <c r="U203" i="10"/>
  <c r="G203" i="10"/>
  <c r="I202" i="12"/>
  <c r="BK198" i="14"/>
  <c r="AE198" i="14"/>
  <c r="AF201" i="6"/>
  <c r="BL201" i="6"/>
  <c r="AB202" i="5"/>
  <c r="W202" i="4"/>
  <c r="W202" i="2"/>
  <c r="M202" i="3"/>
  <c r="M202" i="9"/>
  <c r="K202" i="9"/>
  <c r="U202" i="10"/>
  <c r="G202" i="10"/>
  <c r="W201" i="4"/>
  <c r="Q201" i="4"/>
  <c r="Q201" i="1"/>
  <c r="M201" i="3"/>
  <c r="M201" i="7"/>
  <c r="O201" i="9"/>
  <c r="U201" i="10"/>
  <c r="G201" i="10"/>
  <c r="Q199" i="5"/>
  <c r="O199" i="5"/>
  <c r="G199" i="5"/>
  <c r="E199" i="5"/>
  <c r="W200" i="4"/>
  <c r="Q200" i="4"/>
  <c r="Q200" i="2"/>
  <c r="O200" i="2"/>
  <c r="G200" i="2" l="1"/>
  <c r="E200" i="2"/>
  <c r="Q200" i="1"/>
  <c r="M200" i="3"/>
  <c r="M200" i="7"/>
  <c r="Q200" i="8"/>
  <c r="I200" i="8"/>
  <c r="E200" i="8"/>
  <c r="K199" i="9"/>
  <c r="U200" i="10"/>
  <c r="G200" i="10"/>
  <c r="E199" i="12"/>
  <c r="K199" i="12"/>
  <c r="AL198" i="5"/>
  <c r="AF198" i="5"/>
  <c r="W199" i="4"/>
  <c r="M199" i="3"/>
  <c r="K198" i="9"/>
  <c r="U199" i="10"/>
  <c r="G199" i="10"/>
  <c r="AE194" i="14"/>
  <c r="BK194" i="14"/>
  <c r="BI194" i="14"/>
  <c r="BE194" i="14"/>
  <c r="AF197" i="6" l="1"/>
  <c r="BL197" i="6"/>
  <c r="BJ197" i="6"/>
  <c r="BF197" i="6"/>
  <c r="G197" i="5"/>
  <c r="E197" i="5"/>
  <c r="W198" i="4"/>
  <c r="Q198" i="4"/>
  <c r="I198" i="4"/>
  <c r="G198" i="2"/>
  <c r="E198" i="2"/>
  <c r="I198" i="1"/>
  <c r="Q198" i="1"/>
  <c r="M198" i="3"/>
  <c r="E198" i="3"/>
  <c r="E198" i="7"/>
  <c r="Q198" i="8"/>
  <c r="E198" i="8"/>
  <c r="O197" i="9"/>
  <c r="M197" i="9"/>
  <c r="K197" i="9"/>
  <c r="U198" i="10"/>
  <c r="G198" i="10"/>
  <c r="AE193" i="14"/>
  <c r="BK193" i="14"/>
  <c r="AF196" i="6"/>
  <c r="BL196" i="6"/>
  <c r="BJ196" i="6"/>
  <c r="W197" i="4"/>
  <c r="Q197" i="4"/>
  <c r="Q197" i="1"/>
  <c r="M197" i="3"/>
  <c r="E197" i="3"/>
  <c r="M197" i="7"/>
  <c r="E197" i="7"/>
  <c r="U196" i="9"/>
  <c r="M196" i="9"/>
  <c r="K196" i="9"/>
  <c r="U197" i="10"/>
  <c r="G197" i="10"/>
  <c r="AE204" i="15"/>
  <c r="BK204" i="15"/>
  <c r="AK204" i="13"/>
  <c r="AE204" i="13"/>
  <c r="BK204" i="13"/>
  <c r="BE204" i="13"/>
  <c r="AE209" i="14"/>
  <c r="BK209" i="14"/>
  <c r="BI209" i="14"/>
  <c r="AF212" i="6"/>
  <c r="BL212" i="6"/>
  <c r="W213" i="4"/>
  <c r="Q213" i="4"/>
  <c r="Q214" i="1"/>
  <c r="M213" i="3"/>
  <c r="E213" i="3"/>
  <c r="M213" i="9"/>
  <c r="K213" i="9"/>
  <c r="U213" i="10"/>
  <c r="K212" i="12"/>
  <c r="AE203" i="13"/>
  <c r="BK203" i="13"/>
  <c r="BE203" i="13"/>
  <c r="BK208" i="14"/>
  <c r="BI208" i="14"/>
  <c r="BE208" i="14"/>
  <c r="AE208" i="14"/>
  <c r="AF211" i="6"/>
  <c r="BL211" i="6"/>
  <c r="BJ211" i="6"/>
  <c r="BF211" i="6"/>
  <c r="W212" i="4"/>
  <c r="Q212" i="4"/>
  <c r="Q213" i="1"/>
  <c r="M212" i="3"/>
  <c r="E212" i="3"/>
  <c r="M212" i="9"/>
  <c r="K212" i="9"/>
  <c r="U212" i="10"/>
  <c r="G212" i="10"/>
  <c r="E217" i="10"/>
  <c r="BN223" i="6"/>
  <c r="BN224" i="6"/>
  <c r="BN225" i="6"/>
  <c r="BN226" i="6"/>
  <c r="BN227" i="6"/>
  <c r="W211" i="4"/>
  <c r="Q211" i="4"/>
  <c r="Q212" i="1"/>
  <c r="M211" i="3"/>
  <c r="E211" i="3"/>
  <c r="E211" i="7"/>
  <c r="U211" i="10"/>
  <c r="G211" i="10"/>
  <c r="AE192" i="14"/>
  <c r="BE192" i="14"/>
  <c r="AF195" i="6"/>
  <c r="BF195" i="6"/>
  <c r="M196" i="3"/>
  <c r="O195" i="9"/>
  <c r="K195" i="9"/>
  <c r="U196" i="10"/>
  <c r="G196" i="10"/>
  <c r="AE191" i="14"/>
  <c r="BK191" i="14"/>
  <c r="BI191" i="14"/>
  <c r="AL194" i="5"/>
  <c r="W195" i="4"/>
  <c r="M195" i="3"/>
  <c r="O194" i="9"/>
  <c r="K194" i="9"/>
  <c r="U195" i="10"/>
  <c r="G195" i="10"/>
  <c r="W195" i="8"/>
  <c r="W194" i="4"/>
  <c r="Q194" i="4"/>
  <c r="I194" i="4"/>
  <c r="M194" i="3"/>
  <c r="E194" i="3"/>
  <c r="O193" i="9"/>
  <c r="M193" i="9"/>
  <c r="K193" i="9"/>
  <c r="U194" i="10"/>
  <c r="G194" i="10"/>
  <c r="BK189" i="14"/>
  <c r="BI189" i="14"/>
  <c r="BG189" i="14"/>
  <c r="AE189" i="14"/>
  <c r="AF192" i="6"/>
  <c r="BL192" i="6"/>
  <c r="BJ192" i="6"/>
  <c r="BF192" i="6"/>
  <c r="M193" i="3"/>
  <c r="E193" i="3"/>
  <c r="M193" i="7"/>
  <c r="M192" i="9"/>
  <c r="K192" i="9"/>
  <c r="U193" i="10"/>
  <c r="G193" i="10"/>
  <c r="Q192" i="12"/>
  <c r="W192" i="4"/>
  <c r="Q192" i="3"/>
  <c r="E192" i="3"/>
  <c r="U191" i="9"/>
  <c r="K191" i="9"/>
  <c r="U192" i="10"/>
  <c r="G192" i="10"/>
  <c r="K191" i="12"/>
  <c r="BK187" i="14"/>
  <c r="BI187" i="14"/>
  <c r="BE187" i="14"/>
  <c r="AQ187" i="14"/>
  <c r="AE187" i="14"/>
  <c r="AR190" i="6"/>
  <c r="AF190" i="6"/>
  <c r="BL190" i="6"/>
  <c r="BJ190" i="6"/>
  <c r="BF190" i="6"/>
  <c r="Q191" i="4"/>
  <c r="Q191" i="1"/>
  <c r="M191" i="3"/>
  <c r="E191" i="3"/>
  <c r="M191" i="7"/>
  <c r="E191" i="7"/>
  <c r="K190" i="9"/>
  <c r="U191" i="10"/>
  <c r="G191" i="10"/>
  <c r="AF189" i="6"/>
  <c r="BL189" i="6"/>
  <c r="G189" i="6"/>
  <c r="W190" i="4"/>
  <c r="W190" i="1"/>
  <c r="M190" i="3"/>
  <c r="U189" i="9"/>
  <c r="K189" i="9"/>
  <c r="U190" i="10"/>
  <c r="G190" i="10"/>
  <c r="BK185" i="14"/>
  <c r="BI185" i="14"/>
  <c r="AE185" i="14"/>
  <c r="AF188" i="6"/>
  <c r="BL188" i="6"/>
  <c r="BJ188" i="6"/>
  <c r="I188" i="5"/>
  <c r="G188" i="5"/>
  <c r="W189" i="4"/>
  <c r="Q189" i="4"/>
  <c r="G188" i="2"/>
  <c r="Q189" i="1"/>
  <c r="M189" i="3"/>
  <c r="E189" i="3"/>
  <c r="E189" i="7"/>
  <c r="K189" i="8"/>
  <c r="E189" i="8"/>
  <c r="U188" i="9"/>
  <c r="M188" i="9"/>
  <c r="U189" i="10"/>
  <c r="G189" i="10"/>
  <c r="AL187" i="5"/>
  <c r="W188" i="4"/>
  <c r="Q188" i="4"/>
  <c r="M188" i="4"/>
  <c r="Q188" i="1"/>
  <c r="M188" i="3"/>
  <c r="M188" i="7"/>
  <c r="U188" i="10"/>
  <c r="O188" i="10"/>
  <c r="G188" i="10"/>
  <c r="AE178" i="15"/>
  <c r="BK178" i="15"/>
  <c r="BK183" i="14"/>
  <c r="BI183" i="14"/>
  <c r="AE183" i="14"/>
  <c r="AF186" i="6"/>
  <c r="BL186" i="6"/>
  <c r="BJ186" i="6"/>
  <c r="BH186" i="6"/>
  <c r="W187" i="4"/>
  <c r="Q187" i="4"/>
  <c r="Q187" i="1"/>
  <c r="M187" i="3"/>
  <c r="E187" i="3"/>
  <c r="K186" i="9"/>
  <c r="U187" i="10"/>
  <c r="G187" i="10"/>
  <c r="BK182" i="14"/>
  <c r="BI182" i="14"/>
  <c r="BE182" i="14"/>
  <c r="AE182" i="14"/>
  <c r="AL185" i="6"/>
  <c r="AF185" i="6"/>
  <c r="BL185" i="6"/>
  <c r="BJ185" i="6"/>
  <c r="G185" i="5"/>
  <c r="W186" i="4"/>
  <c r="Q186" i="4"/>
  <c r="I186" i="4"/>
  <c r="Q186" i="1"/>
  <c r="M186" i="3"/>
  <c r="E186" i="3"/>
  <c r="E186" i="7"/>
  <c r="E186" i="8"/>
  <c r="O185" i="9"/>
  <c r="K185" i="9"/>
  <c r="U186" i="10"/>
  <c r="G186" i="10"/>
  <c r="Q185" i="12"/>
  <c r="BK176" i="15"/>
  <c r="AE176" i="15"/>
  <c r="AE176" i="13"/>
  <c r="BK176" i="13"/>
  <c r="BK181" i="14"/>
  <c r="BE181" i="14"/>
  <c r="AE181" i="14"/>
  <c r="AF184" i="6"/>
  <c r="BL184" i="6"/>
  <c r="BF184" i="6"/>
  <c r="W185" i="4"/>
  <c r="M185" i="4"/>
  <c r="I185" i="4"/>
  <c r="I185" i="1"/>
  <c r="O184" i="9"/>
  <c r="M185" i="1"/>
  <c r="M185" i="3"/>
  <c r="E185" i="3"/>
  <c r="M185" i="7"/>
  <c r="E185" i="7"/>
  <c r="U185" i="10"/>
  <c r="G185" i="10"/>
  <c r="BK180" i="14"/>
  <c r="BI180" i="14"/>
  <c r="BE180" i="14"/>
  <c r="AE180" i="14"/>
  <c r="AF183" i="6"/>
  <c r="BL183" i="6"/>
  <c r="BJ183" i="6"/>
  <c r="BF183" i="6"/>
  <c r="AL183" i="5"/>
  <c r="AB183" i="5"/>
  <c r="W184" i="4"/>
  <c r="Q184" i="4"/>
  <c r="I184" i="4"/>
  <c r="Q184" i="1"/>
  <c r="M184" i="3"/>
  <c r="E184" i="3"/>
  <c r="E184" i="7"/>
  <c r="U183" i="9"/>
  <c r="O183" i="9"/>
  <c r="K183" i="9"/>
  <c r="U184" i="10"/>
  <c r="G184" i="10"/>
  <c r="AE179" i="14"/>
  <c r="BK179" i="14"/>
  <c r="BI179" i="14"/>
  <c r="BE179" i="14"/>
  <c r="M179" i="14"/>
  <c r="AF182" i="6"/>
  <c r="BL182" i="6"/>
  <c r="M182" i="6"/>
  <c r="Q183" i="4"/>
  <c r="Q183" i="1"/>
  <c r="M183" i="3"/>
  <c r="E183" i="3"/>
  <c r="E183" i="7"/>
  <c r="U183" i="10"/>
  <c r="G183" i="10"/>
  <c r="G181" i="5"/>
  <c r="Q182" i="4"/>
  <c r="I182" i="4"/>
  <c r="Q182" i="1"/>
  <c r="I182" i="1"/>
  <c r="M182" i="3"/>
  <c r="E182" i="8"/>
  <c r="O181" i="9"/>
  <c r="K181" i="9"/>
  <c r="U182" i="10"/>
  <c r="G182" i="10"/>
  <c r="K181" i="12"/>
  <c r="BK177" i="14"/>
  <c r="BE177" i="14"/>
  <c r="AE177" i="14"/>
  <c r="BL180" i="6"/>
  <c r="BF180" i="6"/>
  <c r="AF180" i="6"/>
  <c r="I180" i="5"/>
  <c r="W181" i="4"/>
  <c r="Q181" i="4"/>
  <c r="Q181" i="1"/>
  <c r="M181" i="3"/>
  <c r="E181" i="3"/>
  <c r="M181" i="7"/>
  <c r="K181" i="8"/>
  <c r="M180" i="9"/>
  <c r="U181" i="10"/>
  <c r="K180" i="12"/>
  <c r="W180" i="4"/>
  <c r="M180" i="3"/>
  <c r="M180" i="7"/>
  <c r="S180" i="7" s="1"/>
  <c r="K179" i="9"/>
  <c r="U180" i="10"/>
  <c r="G180" i="10"/>
  <c r="K179" i="12"/>
  <c r="W179" i="4"/>
  <c r="Q179" i="4"/>
  <c r="Q179" i="1"/>
  <c r="Q179" i="3"/>
  <c r="M179" i="3"/>
  <c r="E179" i="3"/>
  <c r="M179" i="7"/>
  <c r="E179" i="7"/>
  <c r="M178" i="9"/>
  <c r="K178" i="9"/>
  <c r="G179" i="10"/>
  <c r="Q178" i="12"/>
  <c r="K178" i="12"/>
  <c r="BK169" i="13"/>
  <c r="BG169" i="13"/>
  <c r="AE169" i="13"/>
  <c r="AE174" i="14"/>
  <c r="BK174" i="14"/>
  <c r="BI174" i="14"/>
  <c r="AF177" i="6"/>
  <c r="BL177" i="6"/>
  <c r="BJ177" i="6"/>
  <c r="BF177" i="6"/>
  <c r="W178" i="4"/>
  <c r="Q178" i="4"/>
  <c r="W178" i="1"/>
  <c r="Q178" i="1"/>
  <c r="M178" i="3"/>
  <c r="E178" i="3"/>
  <c r="U178" i="10"/>
  <c r="G178" i="10"/>
  <c r="E176" i="12"/>
  <c r="BK168" i="15"/>
  <c r="BE168" i="15"/>
  <c r="AE168" i="15"/>
  <c r="AE173" i="14"/>
  <c r="BK173" i="14"/>
  <c r="BI173" i="14"/>
  <c r="AF176" i="6"/>
  <c r="BL176" i="6"/>
  <c r="BF176" i="6"/>
  <c r="M177" i="3"/>
  <c r="Q177" i="4"/>
  <c r="Q177" i="1"/>
  <c r="M176" i="9"/>
  <c r="U176" i="10"/>
  <c r="G176" i="10"/>
  <c r="BL175" i="6"/>
  <c r="BJ175" i="6"/>
  <c r="BH175" i="6"/>
  <c r="S175" i="6"/>
  <c r="BK167" i="13"/>
  <c r="BK172" i="14"/>
  <c r="BI172" i="14"/>
  <c r="E180" i="14"/>
  <c r="E179" i="14"/>
  <c r="AE167" i="13"/>
  <c r="AE172" i="14"/>
  <c r="AJ175" i="6"/>
  <c r="AF175" i="6"/>
  <c r="G175" i="5"/>
  <c r="G175" i="2"/>
  <c r="M176" i="3"/>
  <c r="E175" i="8"/>
  <c r="M175" i="9"/>
  <c r="U175" i="10"/>
  <c r="G175" i="10"/>
  <c r="Q174" i="12"/>
  <c r="I174" i="12"/>
  <c r="K174" i="12"/>
  <c r="BI171" i="14"/>
  <c r="BE171" i="14"/>
  <c r="AE171" i="14"/>
  <c r="AF174" i="6"/>
  <c r="W175" i="4"/>
  <c r="Q175" i="4"/>
  <c r="W175" i="1"/>
  <c r="Q175" i="1"/>
  <c r="M175" i="3"/>
  <c r="E175" i="3"/>
  <c r="M175" i="7"/>
  <c r="E175" i="7"/>
  <c r="U174" i="10"/>
  <c r="G174" i="10"/>
  <c r="M173" i="12"/>
  <c r="E173" i="12"/>
  <c r="BK170" i="14"/>
  <c r="BI170" i="14"/>
  <c r="AE170" i="14"/>
  <c r="AF173" i="6"/>
  <c r="BL173" i="6"/>
  <c r="BJ173" i="6"/>
  <c r="W174" i="4"/>
  <c r="M174" i="3"/>
  <c r="E174" i="3"/>
  <c r="U173" i="9"/>
  <c r="M173" i="9"/>
  <c r="K173" i="9"/>
  <c r="U173" i="10"/>
  <c r="K172" i="12"/>
  <c r="I172" i="12"/>
  <c r="I172" i="5"/>
  <c r="Q173" i="4"/>
  <c r="I172" i="2"/>
  <c r="Q173" i="1"/>
  <c r="M173" i="3"/>
  <c r="M173" i="7"/>
  <c r="K172" i="8"/>
  <c r="M172" i="9"/>
  <c r="K172" i="9"/>
  <c r="U172" i="10"/>
  <c r="BK163" i="15"/>
  <c r="BK163" i="13"/>
  <c r="M163" i="13"/>
  <c r="G163" i="13"/>
  <c r="BK168" i="14"/>
  <c r="BI168" i="14"/>
  <c r="M168" i="14"/>
  <c r="BL171" i="6"/>
  <c r="M171" i="6"/>
  <c r="AE163" i="15"/>
  <c r="AE163" i="13"/>
  <c r="AE168" i="14"/>
  <c r="AF171" i="6"/>
  <c r="W172" i="4"/>
  <c r="Q172" i="4"/>
  <c r="W172" i="1"/>
  <c r="Q172" i="1"/>
  <c r="M172" i="3"/>
  <c r="E172" i="3"/>
  <c r="E172" i="7"/>
  <c r="U171" i="10"/>
  <c r="G171" i="10"/>
  <c r="BK167" i="14"/>
  <c r="BI167" i="14"/>
  <c r="AE167" i="14"/>
  <c r="AF170" i="6"/>
  <c r="BL170" i="6"/>
  <c r="M171" i="3"/>
  <c r="E171" i="3"/>
  <c r="M171" i="7"/>
  <c r="E171" i="7"/>
  <c r="K170" i="9"/>
  <c r="U170" i="10"/>
  <c r="G170" i="10"/>
  <c r="Q169" i="12"/>
  <c r="K169" i="12"/>
  <c r="AF169" i="6"/>
  <c r="BL169" i="6"/>
  <c r="BJ169" i="6"/>
  <c r="G169" i="5"/>
  <c r="I169" i="4"/>
  <c r="G169" i="2"/>
  <c r="M170" i="3"/>
  <c r="E170" i="3"/>
  <c r="E169" i="8"/>
  <c r="U169" i="9"/>
  <c r="O169" i="9"/>
  <c r="U169" i="10"/>
  <c r="G169" i="10"/>
  <c r="K168" i="12"/>
  <c r="BK160" i="15"/>
  <c r="BK165" i="14"/>
  <c r="BI165" i="14"/>
  <c r="AE160" i="15"/>
  <c r="AE165" i="14"/>
  <c r="AF168" i="6"/>
  <c r="BL168" i="6"/>
  <c r="BJ168" i="6"/>
  <c r="BF168" i="6"/>
  <c r="W168" i="4"/>
  <c r="M168" i="4"/>
  <c r="Q168" i="4"/>
  <c r="M169" i="1"/>
  <c r="Q169" i="1"/>
  <c r="M169" i="3"/>
  <c r="E169" i="3"/>
  <c r="E169" i="7"/>
  <c r="Q168" i="9"/>
  <c r="K168" i="9"/>
  <c r="U168" i="10"/>
  <c r="G168" i="10"/>
  <c r="W167" i="4"/>
  <c r="Q167" i="4"/>
  <c r="W168" i="1"/>
  <c r="Q168" i="1"/>
  <c r="M167" i="3"/>
  <c r="E167" i="3"/>
  <c r="M167" i="7"/>
  <c r="E167" i="7"/>
  <c r="M167" i="9"/>
  <c r="K167" i="9"/>
  <c r="U167" i="10"/>
  <c r="G167" i="10"/>
  <c r="Q166" i="4"/>
  <c r="Q167" i="1"/>
  <c r="M166" i="3"/>
  <c r="E166" i="3"/>
  <c r="E166" i="7"/>
  <c r="U166" i="10"/>
  <c r="G166" i="10"/>
  <c r="AE161" i="14" l="1"/>
  <c r="BK161" i="14"/>
  <c r="BI161" i="14"/>
  <c r="W165" i="4"/>
  <c r="Q165" i="4"/>
  <c r="W166" i="1"/>
  <c r="Q166" i="1"/>
  <c r="M165" i="3"/>
  <c r="M165" i="7"/>
  <c r="K165" i="9"/>
  <c r="U165" i="10"/>
  <c r="I165" i="10"/>
  <c r="G165" i="10"/>
  <c r="K164" i="12"/>
  <c r="BK160" i="14"/>
  <c r="BI160" i="14"/>
  <c r="BE160" i="14"/>
  <c r="AE160" i="14"/>
  <c r="AF163" i="6"/>
  <c r="BL163" i="6"/>
  <c r="BJ163" i="6"/>
  <c r="BF163" i="6"/>
  <c r="W164" i="4"/>
  <c r="M164" i="3"/>
  <c r="M164" i="7"/>
  <c r="K164" i="9"/>
  <c r="U164" i="10"/>
  <c r="G164" i="10"/>
  <c r="Q163" i="12"/>
  <c r="AE159" i="14"/>
  <c r="BK159" i="14"/>
  <c r="BI159" i="14"/>
  <c r="BE159" i="14"/>
  <c r="W163" i="4"/>
  <c r="W164" i="1"/>
  <c r="M163" i="3"/>
  <c r="M163" i="9"/>
  <c r="K163" i="9"/>
  <c r="U163" i="10"/>
  <c r="G163" i="10"/>
  <c r="E162" i="12"/>
  <c r="AE158" i="14"/>
  <c r="AF161" i="6"/>
  <c r="BJ161" i="6"/>
  <c r="BF161" i="6"/>
  <c r="K176" i="6"/>
  <c r="E176" i="6"/>
  <c r="E177" i="6"/>
  <c r="E178" i="6"/>
  <c r="E179" i="6"/>
  <c r="G162" i="5"/>
  <c r="W162" i="4"/>
  <c r="Q162" i="4"/>
  <c r="W163" i="1"/>
  <c r="Q163" i="1"/>
  <c r="M162" i="3"/>
  <c r="E162" i="3"/>
  <c r="M162" i="7"/>
  <c r="E162" i="7"/>
  <c r="E162" i="8"/>
  <c r="M162" i="9"/>
  <c r="K162" i="9"/>
  <c r="U162" i="10"/>
  <c r="Q161" i="12"/>
  <c r="E161" i="12"/>
  <c r="BK153" i="13"/>
  <c r="BK157" i="14"/>
  <c r="BI157" i="14"/>
  <c r="BE157" i="14"/>
  <c r="AE153" i="13"/>
  <c r="AE157" i="14"/>
  <c r="AF160" i="6"/>
  <c r="BL160" i="6"/>
  <c r="BJ160" i="6"/>
  <c r="BF160" i="6"/>
  <c r="W161" i="4"/>
  <c r="Q161" i="4"/>
  <c r="W161" i="1"/>
  <c r="Q161" i="1"/>
  <c r="M161" i="3"/>
  <c r="K161" i="9"/>
  <c r="M161" i="9"/>
  <c r="U161" i="10"/>
  <c r="G161" i="10"/>
  <c r="Q160" i="12"/>
  <c r="BK156" i="14"/>
  <c r="BI156" i="14"/>
  <c r="AE156" i="14"/>
  <c r="AF159" i="6"/>
  <c r="BL159" i="6"/>
  <c r="BF159" i="6"/>
  <c r="BN159" i="6" s="1"/>
  <c r="W160" i="4"/>
  <c r="Q160" i="4"/>
  <c r="Q160" i="1"/>
  <c r="M160" i="3"/>
  <c r="E160" i="3"/>
  <c r="K160" i="9"/>
  <c r="U160" i="10"/>
  <c r="G160" i="10"/>
  <c r="AE151" i="15"/>
  <c r="BK151" i="15"/>
  <c r="AE155" i="14"/>
  <c r="AI155" i="14" s="1"/>
  <c r="BK155" i="14"/>
  <c r="BI155" i="14"/>
  <c r="AF158" i="6"/>
  <c r="BL158" i="6"/>
  <c r="BJ158" i="6"/>
  <c r="BN158" i="6" s="1"/>
  <c r="Q159" i="4"/>
  <c r="Q159" i="1"/>
  <c r="M159" i="3"/>
  <c r="E159" i="3"/>
  <c r="M159" i="9"/>
  <c r="K159" i="9"/>
  <c r="U159" i="10"/>
  <c r="G159" i="10"/>
  <c r="W158" i="4"/>
  <c r="Q158" i="4"/>
  <c r="Q158" i="1"/>
  <c r="M158" i="3"/>
  <c r="M158" i="9"/>
  <c r="K158" i="9"/>
  <c r="U158" i="10"/>
  <c r="G158" i="10"/>
  <c r="I157" i="12"/>
  <c r="E157" i="12"/>
  <c r="AE154" i="14"/>
  <c r="BK154" i="14"/>
  <c r="BI154" i="14"/>
  <c r="AF157" i="6"/>
  <c r="BL157" i="6"/>
  <c r="BJ157" i="6"/>
  <c r="W157" i="4"/>
  <c r="Q157" i="4"/>
  <c r="Q157" i="1"/>
  <c r="M157" i="3"/>
  <c r="E157" i="3"/>
  <c r="U157" i="10"/>
  <c r="G157" i="10"/>
  <c r="E156" i="12"/>
  <c r="I156" i="5"/>
  <c r="W156" i="4"/>
  <c r="Q156" i="4"/>
  <c r="W156" i="1"/>
  <c r="Q156" i="1"/>
  <c r="M156" i="3"/>
  <c r="E156" i="3"/>
  <c r="M156" i="7"/>
  <c r="E156" i="7"/>
  <c r="K156" i="8"/>
  <c r="M156" i="9"/>
  <c r="U156" i="10"/>
  <c r="BM149" i="15"/>
  <c r="AI149" i="15"/>
  <c r="AS149" i="15" s="1"/>
  <c r="W149" i="15"/>
  <c r="K149" i="15"/>
  <c r="AY149" i="15" s="1"/>
  <c r="E149" i="15"/>
  <c r="S156" i="12"/>
  <c r="W156" i="12" s="1"/>
  <c r="E149" i="13"/>
  <c r="K149" i="13"/>
  <c r="AY149" i="13" s="1"/>
  <c r="W149" i="13"/>
  <c r="AI149" i="13"/>
  <c r="AS149" i="13" s="1"/>
  <c r="BM149" i="13"/>
  <c r="E153" i="14"/>
  <c r="K153" i="14"/>
  <c r="AY153" i="14" s="1"/>
  <c r="W153" i="14"/>
  <c r="AI153" i="14"/>
  <c r="AS153" i="14" s="1"/>
  <c r="BM153" i="14"/>
  <c r="AJ156" i="6"/>
  <c r="AT156" i="6"/>
  <c r="BN156" i="6"/>
  <c r="E156" i="6"/>
  <c r="AZ156" i="6" s="1"/>
  <c r="K156" i="6"/>
  <c r="W156" i="6"/>
  <c r="AH156" i="5"/>
  <c r="S156" i="4"/>
  <c r="AC156" i="2"/>
  <c r="S156" i="1"/>
  <c r="S156" i="3"/>
  <c r="U156" i="3" s="1"/>
  <c r="S156" i="7"/>
  <c r="V156" i="7" s="1"/>
  <c r="W156" i="8"/>
  <c r="AC156" i="9"/>
  <c r="AA156" i="9"/>
  <c r="Y156" i="10"/>
  <c r="AA156" i="8" s="1"/>
  <c r="M156" i="10"/>
  <c r="E156" i="10"/>
  <c r="K155" i="12"/>
  <c r="BK152" i="14"/>
  <c r="BI152" i="14"/>
  <c r="AE152" i="14"/>
  <c r="AF155" i="6"/>
  <c r="BL155" i="6"/>
  <c r="BJ155" i="6"/>
  <c r="AL155" i="5"/>
  <c r="G155" i="5"/>
  <c r="W155" i="4"/>
  <c r="G155" i="2"/>
  <c r="M155" i="3"/>
  <c r="E155" i="3"/>
  <c r="M155" i="7"/>
  <c r="E155" i="7"/>
  <c r="E155" i="8"/>
  <c r="U155" i="9"/>
  <c r="M155" i="9"/>
  <c r="K155" i="9"/>
  <c r="U155" i="10"/>
  <c r="G155" i="10"/>
  <c r="AR156" i="5" l="1"/>
  <c r="U156" i="7"/>
  <c r="AM156" i="2"/>
  <c r="AC156" i="8"/>
  <c r="AB156" i="10"/>
  <c r="BK147" i="15"/>
  <c r="BK147" i="13"/>
  <c r="AE147" i="15"/>
  <c r="AE147" i="13"/>
  <c r="AE151" i="14"/>
  <c r="BK151" i="14"/>
  <c r="BI151" i="14"/>
  <c r="BG151" i="14"/>
  <c r="AF154" i="6"/>
  <c r="BL154" i="6"/>
  <c r="BJ154" i="6"/>
  <c r="BH154" i="6"/>
  <c r="BF154" i="6"/>
  <c r="W154" i="4"/>
  <c r="Q154" i="4"/>
  <c r="W154" i="1"/>
  <c r="Q154" i="1"/>
  <c r="M154" i="3"/>
  <c r="M154" i="7"/>
  <c r="U154" i="10"/>
  <c r="G154" i="10"/>
  <c r="E153" i="12"/>
  <c r="AF153" i="6"/>
  <c r="BF153" i="6"/>
  <c r="W153" i="4"/>
  <c r="M153" i="3"/>
  <c r="M153" i="7"/>
  <c r="M153" i="9"/>
  <c r="K153" i="9"/>
  <c r="U153" i="10"/>
  <c r="G153" i="10"/>
  <c r="AE149" i="14"/>
  <c r="BK149" i="14"/>
  <c r="BE149" i="14"/>
  <c r="AF152" i="6"/>
  <c r="BL152" i="6"/>
  <c r="BJ152" i="6"/>
  <c r="BH152" i="6"/>
  <c r="BF152" i="6"/>
  <c r="S152" i="6"/>
  <c r="W152" i="4"/>
  <c r="Q152" i="4"/>
  <c r="Q152" i="1"/>
  <c r="M152" i="3"/>
  <c r="E152" i="3"/>
  <c r="M152" i="7"/>
  <c r="E152" i="7"/>
  <c r="K152" i="9"/>
  <c r="U152" i="10"/>
  <c r="G152" i="10"/>
  <c r="AL151" i="5"/>
  <c r="M151" i="5"/>
  <c r="W151" i="4"/>
  <c r="M151" i="3"/>
  <c r="M151" i="8"/>
  <c r="K151" i="9"/>
  <c r="U151" i="10"/>
  <c r="G151" i="10"/>
  <c r="E150" i="12"/>
  <c r="S150" i="5"/>
  <c r="W150" i="4"/>
  <c r="Q150" i="4"/>
  <c r="I150" i="4"/>
  <c r="Q150" i="1"/>
  <c r="O150" i="3"/>
  <c r="M150" i="3"/>
  <c r="O150" i="7"/>
  <c r="M150" i="7"/>
  <c r="U150" i="9"/>
  <c r="O150" i="9"/>
  <c r="K150" i="9"/>
  <c r="U150" i="10"/>
  <c r="G150" i="10"/>
  <c r="W149" i="4"/>
  <c r="Q149" i="4"/>
  <c r="Q149" i="1"/>
  <c r="M149" i="3"/>
  <c r="E149" i="3"/>
  <c r="M149" i="7"/>
  <c r="E149" i="7"/>
  <c r="U149" i="10"/>
  <c r="G149" i="10"/>
  <c r="AE145" i="14"/>
  <c r="AF148" i="6"/>
  <c r="BJ148" i="6"/>
  <c r="BH148" i="6"/>
  <c r="Q148" i="5"/>
  <c r="Q148" i="4"/>
  <c r="Q148" i="1"/>
  <c r="M148" i="3"/>
  <c r="O148" i="9"/>
  <c r="K148" i="9"/>
  <c r="U148" i="10" l="1"/>
  <c r="G148" i="10"/>
  <c r="AE144" i="14" l="1"/>
  <c r="BI144" i="14" l="1"/>
  <c r="BK144" i="14"/>
  <c r="AF147" i="6"/>
  <c r="BL147" i="6"/>
  <c r="BJ147" i="6"/>
  <c r="Q147" i="4"/>
  <c r="Q147" i="1"/>
  <c r="M147" i="3"/>
  <c r="O147" i="9" l="1"/>
  <c r="U147" i="10"/>
  <c r="G147" i="10"/>
  <c r="Q146" i="12"/>
  <c r="AE139" i="15"/>
  <c r="BE139" i="15"/>
  <c r="AE143" i="14"/>
  <c r="BK143" i="14"/>
  <c r="BE143" i="14"/>
  <c r="AF146" i="6"/>
  <c r="BL146" i="6"/>
  <c r="BF146" i="6"/>
  <c r="W146" i="4"/>
  <c r="Q146" i="4"/>
  <c r="Q146" i="1"/>
  <c r="M146" i="3"/>
  <c r="E146" i="3"/>
  <c r="M146" i="7"/>
  <c r="E146" i="7"/>
  <c r="O146" i="9"/>
  <c r="U146" i="10"/>
  <c r="G146" i="10"/>
  <c r="M145" i="12"/>
  <c r="I145" i="5"/>
  <c r="G145" i="5"/>
  <c r="W145" i="4"/>
  <c r="I145" i="2"/>
  <c r="G145" i="2"/>
  <c r="M145" i="3"/>
  <c r="K145" i="8"/>
  <c r="E145" i="8"/>
  <c r="M145" i="9"/>
  <c r="K145" i="9"/>
  <c r="U145" i="10"/>
  <c r="G145" i="10"/>
  <c r="BK141" i="14"/>
  <c r="BE141" i="14"/>
  <c r="AE141" i="14"/>
  <c r="AF144" i="6"/>
  <c r="BL144" i="6"/>
  <c r="BF144" i="6"/>
  <c r="W144" i="4"/>
  <c r="M144" i="3"/>
  <c r="E144" i="3"/>
  <c r="M144" i="7"/>
  <c r="E144" i="7"/>
  <c r="M144" i="9"/>
  <c r="K144" i="9"/>
  <c r="U144" i="10"/>
  <c r="G144" i="10"/>
  <c r="K143" i="12"/>
  <c r="Q143" i="4"/>
  <c r="Q143" i="1"/>
  <c r="M143" i="3"/>
  <c r="M143" i="7"/>
  <c r="K143" i="9"/>
  <c r="U143" i="10"/>
  <c r="G143" i="10"/>
  <c r="E142" i="12"/>
  <c r="G142" i="5"/>
  <c r="W142" i="4"/>
  <c r="Q142" i="4"/>
  <c r="I142" i="4"/>
  <c r="Q142" i="1"/>
  <c r="G142" i="2"/>
  <c r="M142" i="3"/>
  <c r="M142" i="7"/>
  <c r="E142" i="8"/>
  <c r="O142" i="9"/>
  <c r="K142" i="9"/>
  <c r="U142" i="10"/>
  <c r="G142" i="10"/>
  <c r="BK134" i="15"/>
  <c r="AE134" i="15"/>
  <c r="AF141" i="6"/>
  <c r="BL141" i="6"/>
  <c r="BJ141" i="6"/>
  <c r="BF141" i="6"/>
  <c r="W141" i="4"/>
  <c r="Q141" i="4"/>
  <c r="I141" i="4"/>
  <c r="Q141" i="1"/>
  <c r="I141" i="1"/>
  <c r="M141" i="3"/>
  <c r="E141" i="3"/>
  <c r="M141" i="9"/>
  <c r="K141" i="9"/>
  <c r="U141" i="10"/>
  <c r="G141" i="10"/>
  <c r="AL140" i="5"/>
  <c r="W140" i="4"/>
  <c r="M140" i="3"/>
  <c r="E140" i="3"/>
  <c r="M140" i="7"/>
  <c r="E140" i="7"/>
  <c r="U140" i="9"/>
  <c r="K140" i="9"/>
  <c r="U140" i="10"/>
  <c r="G140" i="10"/>
  <c r="Q139" i="12"/>
  <c r="AE136" i="14"/>
  <c r="AF139" i="6"/>
  <c r="W139" i="4"/>
  <c r="Q139" i="4"/>
  <c r="W139" i="1"/>
  <c r="Q139" i="1"/>
  <c r="M139" i="3"/>
  <c r="E139" i="3"/>
  <c r="E139" i="7"/>
  <c r="U139" i="10"/>
  <c r="G139" i="10"/>
  <c r="Q138" i="12"/>
  <c r="AE131" i="15"/>
  <c r="BK131" i="15"/>
  <c r="AE135" i="14"/>
  <c r="BK135" i="14"/>
  <c r="BI135" i="14"/>
  <c r="I137" i="5"/>
  <c r="W138" i="4"/>
  <c r="Q138" i="4"/>
  <c r="Q138" i="1"/>
  <c r="M138" i="3"/>
  <c r="E138" i="3"/>
  <c r="E138" i="7"/>
  <c r="K138" i="8"/>
  <c r="U137" i="9"/>
  <c r="M137" i="9"/>
  <c r="K137" i="9"/>
  <c r="U138" i="10"/>
  <c r="G138" i="10"/>
  <c r="AE134" i="14"/>
  <c r="BK134" i="14"/>
  <c r="BE134" i="14"/>
  <c r="AL136" i="5"/>
  <c r="W137" i="4"/>
  <c r="M137" i="3"/>
  <c r="E137" i="3"/>
  <c r="K136" i="9"/>
  <c r="U137" i="10"/>
  <c r="G137" i="10"/>
  <c r="AE129" i="15"/>
  <c r="BK133" i="14"/>
  <c r="BK129" i="15"/>
  <c r="BI133" i="14"/>
  <c r="BG133" i="14"/>
  <c r="BE133" i="14"/>
  <c r="AE133" i="14"/>
  <c r="AF136" i="6"/>
  <c r="BL136" i="6"/>
  <c r="BJ136" i="6"/>
  <c r="BH136" i="6"/>
  <c r="BF136" i="6"/>
  <c r="G135" i="5"/>
  <c r="W136" i="4"/>
  <c r="Q136" i="4"/>
  <c r="I136" i="4"/>
  <c r="G136" i="2"/>
  <c r="Q136" i="1"/>
  <c r="M136" i="3"/>
  <c r="E136" i="3"/>
  <c r="M136" i="7"/>
  <c r="E136" i="7"/>
  <c r="E136" i="8"/>
  <c r="O135" i="9"/>
  <c r="K135" i="9"/>
  <c r="U136" i="10"/>
  <c r="G136" i="10"/>
  <c r="I135" i="12"/>
  <c r="AE128" i="15"/>
  <c r="BK128" i="15"/>
  <c r="AF135" i="6"/>
  <c r="BL135" i="6"/>
  <c r="BJ135" i="6"/>
  <c r="W135" i="4"/>
  <c r="Q135" i="4"/>
  <c r="Q135" i="1"/>
  <c r="M135" i="3"/>
  <c r="E135" i="3"/>
  <c r="K134" i="9"/>
  <c r="U135" i="10"/>
  <c r="G135" i="10"/>
  <c r="K134" i="12"/>
  <c r="AE127" i="15"/>
  <c r="BK127" i="15"/>
  <c r="AE131" i="14"/>
  <c r="BK131" i="14"/>
  <c r="BI131" i="14"/>
  <c r="BE131" i="14"/>
  <c r="M133" i="5"/>
  <c r="G133" i="5"/>
  <c r="E133" i="5"/>
  <c r="Q134" i="4"/>
  <c r="G134" i="2"/>
  <c r="E134" i="2"/>
  <c r="Q134" i="1"/>
  <c r="M134" i="3"/>
  <c r="Q134" i="8"/>
  <c r="M134" i="8"/>
  <c r="E134" i="8"/>
  <c r="O133" i="9"/>
  <c r="M133" i="9"/>
  <c r="K133" i="9"/>
  <c r="AL132" i="5"/>
  <c r="U134" i="10"/>
  <c r="Y134" i="10" s="1"/>
  <c r="M134" i="10"/>
  <c r="G134" i="10"/>
  <c r="E134" i="10"/>
  <c r="K133" i="12"/>
  <c r="AE130" i="14"/>
  <c r="BK130" i="14"/>
  <c r="BI130" i="14"/>
  <c r="AF133" i="6"/>
  <c r="BL133" i="6"/>
  <c r="BJ133" i="6"/>
  <c r="BF133" i="6"/>
  <c r="G132" i="5"/>
  <c r="E132" i="5"/>
  <c r="W133" i="4"/>
  <c r="I133" i="4"/>
  <c r="G133" i="2"/>
  <c r="E133" i="2"/>
  <c r="I133" i="1"/>
  <c r="M133" i="3"/>
  <c r="E133" i="3"/>
  <c r="E133" i="7"/>
  <c r="K133" i="8"/>
  <c r="M133" i="8"/>
  <c r="Q133" i="8"/>
  <c r="E133" i="8"/>
  <c r="O132" i="9"/>
  <c r="M132" i="9"/>
  <c r="K132" i="9"/>
  <c r="U133" i="10"/>
  <c r="G133" i="10"/>
  <c r="K132" i="12"/>
  <c r="W132" i="4" l="1"/>
  <c r="M132" i="3"/>
  <c r="U131" i="9"/>
  <c r="K131" i="9"/>
  <c r="U132" i="10"/>
  <c r="G132" i="10"/>
  <c r="AE128" i="14"/>
  <c r="BK128" i="14"/>
  <c r="BE128" i="14"/>
  <c r="AF131" i="6"/>
  <c r="BL131" i="6"/>
  <c r="BF131" i="6"/>
  <c r="W131" i="4"/>
  <c r="Q131" i="4"/>
  <c r="Q131" i="1"/>
  <c r="M131" i="3"/>
  <c r="E131" i="3"/>
  <c r="M131" i="7"/>
  <c r="U130" i="9"/>
  <c r="M130" i="9"/>
  <c r="K130" i="9"/>
  <c r="U131" i="10"/>
  <c r="Q130" i="4"/>
  <c r="Q130" i="1"/>
  <c r="M130" i="3"/>
  <c r="G130" i="10"/>
  <c r="E129" i="12"/>
  <c r="Q129" i="4"/>
  <c r="Q129" i="1"/>
  <c r="M129" i="3"/>
  <c r="M129" i="7"/>
  <c r="M128" i="9"/>
  <c r="K128" i="9"/>
  <c r="U129" i="10"/>
  <c r="G129" i="10"/>
  <c r="W128" i="4"/>
  <c r="Q128" i="4"/>
  <c r="Q128" i="1"/>
  <c r="M128" i="3"/>
  <c r="E128" i="3"/>
  <c r="E128" i="7"/>
  <c r="U128" i="10"/>
  <c r="G128" i="10"/>
  <c r="BE121" i="15"/>
  <c r="M121" i="15"/>
  <c r="AE121" i="15"/>
  <c r="AE125" i="14"/>
  <c r="BE125" i="14"/>
  <c r="G125" i="14"/>
  <c r="AF128" i="6"/>
  <c r="BL128" i="6"/>
  <c r="BJ128" i="6"/>
  <c r="BF128" i="6"/>
  <c r="M128" i="6"/>
  <c r="G128" i="6"/>
  <c r="W127" i="4"/>
  <c r="Q127" i="4"/>
  <c r="Q127" i="1"/>
  <c r="M127" i="3"/>
  <c r="E127" i="3"/>
  <c r="U127" i="10"/>
  <c r="G127" i="10"/>
  <c r="AE124" i="14"/>
  <c r="BK124" i="14"/>
  <c r="BE124" i="14"/>
  <c r="M124" i="14"/>
  <c r="AF127" i="6"/>
  <c r="BL127" i="6"/>
  <c r="BJ127" i="6"/>
  <c r="BF127" i="6"/>
  <c r="M127" i="6"/>
  <c r="Q126" i="4"/>
  <c r="Q126" i="1"/>
  <c r="M126" i="3"/>
  <c r="U126" i="10"/>
  <c r="G126" i="10"/>
  <c r="K125" i="12"/>
  <c r="AE123" i="14"/>
  <c r="BK123" i="14"/>
  <c r="BI123" i="14"/>
  <c r="BE123" i="14"/>
  <c r="AF126" i="6"/>
  <c r="BL126" i="6"/>
  <c r="BJ126" i="6"/>
  <c r="BF126" i="6"/>
  <c r="W125" i="4"/>
  <c r="AL124" i="5"/>
  <c r="I124" i="5"/>
  <c r="Q125" i="4"/>
  <c r="I124" i="2"/>
  <c r="Q125" i="1"/>
  <c r="M125" i="3"/>
  <c r="E125" i="3"/>
  <c r="M125" i="7"/>
  <c r="E125" i="7"/>
  <c r="K125" i="8"/>
  <c r="U124" i="9"/>
  <c r="M124" i="9"/>
  <c r="K124" i="9"/>
  <c r="U125" i="10"/>
  <c r="G125" i="10"/>
  <c r="Q124" i="12"/>
  <c r="K124" i="12"/>
  <c r="AE118" i="15"/>
  <c r="BK118" i="15"/>
  <c r="BK122" i="14"/>
  <c r="BI122" i="14"/>
  <c r="AE122" i="14"/>
  <c r="AF125" i="6"/>
  <c r="BL125" i="6"/>
  <c r="BJ125" i="6"/>
  <c r="W124" i="4"/>
  <c r="O124" i="3"/>
  <c r="E124" i="3"/>
  <c r="O124" i="7"/>
  <c r="M124" i="7"/>
  <c r="M123" i="9"/>
  <c r="K123" i="9"/>
  <c r="U124" i="10"/>
  <c r="G124" i="10"/>
  <c r="E122" i="12"/>
  <c r="AE121" i="14"/>
  <c r="BK121" i="14"/>
  <c r="BI121" i="14"/>
  <c r="AF124" i="6"/>
  <c r="BL124" i="6"/>
  <c r="BH124" i="6"/>
  <c r="BF124" i="6"/>
  <c r="M123" i="3"/>
  <c r="E123" i="3"/>
  <c r="G122" i="5"/>
  <c r="W123" i="4"/>
  <c r="G122" i="2"/>
  <c r="E122" i="8"/>
  <c r="M122" i="9"/>
  <c r="K122" i="9"/>
  <c r="U122" i="10"/>
  <c r="G122" i="10"/>
  <c r="M121" i="12"/>
  <c r="AE120" i="14"/>
  <c r="BK120" i="14"/>
  <c r="BI120" i="14"/>
  <c r="BE120" i="14"/>
  <c r="AF123" i="6"/>
  <c r="BL123" i="6"/>
  <c r="BJ123" i="6"/>
  <c r="W122" i="4"/>
  <c r="Q122" i="4"/>
  <c r="W122" i="1"/>
  <c r="Q122" i="1"/>
  <c r="M122" i="3"/>
  <c r="U121" i="9"/>
  <c r="U121" i="10"/>
  <c r="G121" i="10"/>
  <c r="AE114" i="15"/>
  <c r="AI115" i="15"/>
  <c r="AS115" i="15" s="1"/>
  <c r="AE115" i="15"/>
  <c r="BK115" i="15"/>
  <c r="BK115" i="13"/>
  <c r="BI115" i="13"/>
  <c r="BG115" i="13"/>
  <c r="S115" i="13"/>
  <c r="AE115" i="13"/>
  <c r="AE119" i="14"/>
  <c r="BK119" i="14"/>
  <c r="BG119" i="14"/>
  <c r="S119" i="14"/>
  <c r="AF122" i="6"/>
  <c r="BL122" i="6"/>
  <c r="BH122" i="6"/>
  <c r="S122" i="6"/>
  <c r="G120" i="5"/>
  <c r="W121" i="4"/>
  <c r="I121" i="4"/>
  <c r="M121" i="3" l="1"/>
  <c r="E120" i="8"/>
  <c r="U120" i="9"/>
  <c r="O120" i="9"/>
  <c r="K120" i="9"/>
  <c r="U120" i="10"/>
  <c r="G120" i="10"/>
  <c r="K119" i="12" l="1"/>
  <c r="BK114" i="15"/>
  <c r="BI114" i="15"/>
  <c r="AE118" i="14" l="1"/>
  <c r="BK118" i="14"/>
  <c r="BG118" i="14"/>
  <c r="BI118" i="14"/>
  <c r="AF121" i="6"/>
  <c r="BL121" i="6"/>
  <c r="BJ121" i="6"/>
  <c r="BH121" i="6"/>
  <c r="W120" i="4"/>
  <c r="Q120" i="4"/>
  <c r="Q120" i="1"/>
  <c r="M120" i="3"/>
  <c r="E120" i="3"/>
  <c r="E120" i="7"/>
  <c r="K119" i="9"/>
  <c r="U119" i="10"/>
  <c r="G119" i="10"/>
  <c r="AE117" i="14"/>
  <c r="BK117" i="14"/>
  <c r="BI117" i="14"/>
  <c r="BE117" i="14"/>
  <c r="AF120" i="6"/>
  <c r="BL120" i="6"/>
  <c r="BJ120" i="6"/>
  <c r="BF120" i="6"/>
  <c r="S120" i="6"/>
  <c r="W119" i="4"/>
  <c r="AL118" i="5"/>
  <c r="G118" i="5"/>
  <c r="Q119" i="4"/>
  <c r="G118" i="2"/>
  <c r="W119" i="1"/>
  <c r="Q119" i="1"/>
  <c r="M119" i="3"/>
  <c r="E119" i="3"/>
  <c r="E119" i="7"/>
  <c r="E118" i="8"/>
  <c r="U118" i="9"/>
  <c r="K118" i="9"/>
  <c r="U118" i="10"/>
  <c r="G118" i="10"/>
  <c r="AE116" i="14"/>
  <c r="BI116" i="14"/>
  <c r="BE116" i="14"/>
  <c r="AL117" i="5"/>
  <c r="AB117" i="5"/>
  <c r="W117" i="4"/>
  <c r="Q117" i="4"/>
  <c r="AG117" i="2"/>
  <c r="W118" i="1"/>
  <c r="Q118" i="1"/>
  <c r="M118" i="3"/>
  <c r="M118" i="7"/>
  <c r="K117" i="9"/>
  <c r="U117" i="10"/>
  <c r="G117" i="10"/>
  <c r="G116" i="5"/>
  <c r="W116" i="4"/>
  <c r="Q116" i="4"/>
  <c r="G116" i="2"/>
  <c r="Q117" i="1"/>
  <c r="M117" i="3"/>
  <c r="M117" i="7"/>
  <c r="E116" i="8"/>
  <c r="K116" i="9"/>
  <c r="U116" i="10"/>
  <c r="G116" i="10"/>
  <c r="K114" i="12"/>
  <c r="AE110" i="15"/>
  <c r="BK110" i="15"/>
  <c r="AE113" i="14"/>
  <c r="BK113" i="14"/>
  <c r="BI113" i="14"/>
  <c r="AR116" i="6"/>
  <c r="AF116" i="6"/>
  <c r="BL116" i="6"/>
  <c r="BJ116" i="6"/>
  <c r="AE109" i="13"/>
  <c r="AE112" i="14"/>
  <c r="AF115" i="6"/>
  <c r="W114" i="4"/>
  <c r="Q114" i="4"/>
  <c r="Q115" i="1"/>
  <c r="M114" i="3"/>
  <c r="E114" i="3"/>
  <c r="K114" i="9"/>
  <c r="U114" i="10"/>
  <c r="G114" i="10"/>
  <c r="BK109" i="13"/>
  <c r="BG109" i="13"/>
  <c r="BK112" i="14"/>
  <c r="BI112" i="14"/>
  <c r="BL115" i="6"/>
  <c r="BJ115" i="6"/>
  <c r="Q113" i="4"/>
  <c r="Q114" i="1"/>
  <c r="M113" i="3"/>
  <c r="K113" i="9"/>
  <c r="U113" i="10"/>
  <c r="BK108" i="15"/>
  <c r="BK111" i="14"/>
  <c r="BI111" i="14"/>
  <c r="BE111" i="14"/>
  <c r="M111" i="14"/>
  <c r="G111" i="14"/>
  <c r="BL114" i="6"/>
  <c r="BJ114" i="6"/>
  <c r="BF114" i="6"/>
  <c r="BN114" i="6" s="1"/>
  <c r="M114" i="6"/>
  <c r="G114" i="6"/>
  <c r="E114" i="6" s="1"/>
  <c r="W112" i="4"/>
  <c r="Q112" i="4"/>
  <c r="Q113" i="1"/>
  <c r="S113" i="1" s="1"/>
  <c r="M112" i="3"/>
  <c r="M112" i="7"/>
  <c r="BM108" i="15"/>
  <c r="AI108" i="15"/>
  <c r="AS108" i="15" s="1"/>
  <c r="W108" i="15"/>
  <c r="K108" i="15"/>
  <c r="E108" i="15"/>
  <c r="S112" i="12"/>
  <c r="W112" i="12" s="1"/>
  <c r="BM108" i="13"/>
  <c r="AI108" i="13"/>
  <c r="AS108" i="13" s="1"/>
  <c r="W108" i="13"/>
  <c r="K108" i="13"/>
  <c r="AY108" i="13" s="1"/>
  <c r="E108" i="13"/>
  <c r="BM111" i="14"/>
  <c r="AI111" i="14"/>
  <c r="AS111" i="14" s="1"/>
  <c r="W111" i="14"/>
  <c r="K111" i="14"/>
  <c r="E111" i="14"/>
  <c r="AY111" i="14" s="1"/>
  <c r="AJ114" i="6"/>
  <c r="AT114" i="6" s="1"/>
  <c r="W114" i="6"/>
  <c r="K114" i="6"/>
  <c r="AH112" i="5"/>
  <c r="AH113" i="5"/>
  <c r="S112" i="4"/>
  <c r="AC112" i="2"/>
  <c r="S112" i="3"/>
  <c r="AR112" i="5" s="1"/>
  <c r="S112" i="7"/>
  <c r="U112" i="7" s="1"/>
  <c r="W112" i="8"/>
  <c r="AC112" i="9"/>
  <c r="AA112" i="9"/>
  <c r="U112" i="10"/>
  <c r="Y112" i="10" s="1"/>
  <c r="M112" i="10"/>
  <c r="G112" i="10"/>
  <c r="E112" i="10" s="1"/>
  <c r="AF113" i="6"/>
  <c r="BL113" i="6"/>
  <c r="BF113" i="6"/>
  <c r="Q111" i="4"/>
  <c r="Q112" i="1"/>
  <c r="M111" i="3"/>
  <c r="U111" i="10"/>
  <c r="G111" i="10"/>
  <c r="Q110" i="12"/>
  <c r="K110" i="12"/>
  <c r="AL110" i="5"/>
  <c r="W110" i="4"/>
  <c r="Q110" i="4"/>
  <c r="I110" i="4"/>
  <c r="Q111" i="1"/>
  <c r="I111" i="1"/>
  <c r="M110" i="3"/>
  <c r="E110" i="3"/>
  <c r="E110" i="7"/>
  <c r="O110" i="9"/>
  <c r="K110" i="9"/>
  <c r="U110" i="10"/>
  <c r="G110" i="10"/>
  <c r="AE105" i="13"/>
  <c r="AF111" i="6"/>
  <c r="BL111" i="6"/>
  <c r="BJ111" i="6"/>
  <c r="BF111" i="6"/>
  <c r="G109" i="5"/>
  <c r="W109" i="4"/>
  <c r="Q109" i="4"/>
  <c r="Q109" i="1"/>
  <c r="M109" i="3"/>
  <c r="E109" i="3"/>
  <c r="E109" i="8"/>
  <c r="U109" i="9"/>
  <c r="M109" i="9"/>
  <c r="K109" i="9"/>
  <c r="U109" i="10"/>
  <c r="G109" i="10"/>
  <c r="AE104" i="13"/>
  <c r="AE108" i="14"/>
  <c r="AF110" i="6"/>
  <c r="BK104" i="13"/>
  <c r="BE104" i="13"/>
  <c r="BK108" i="14"/>
  <c r="BI108" i="14"/>
  <c r="BE108" i="14"/>
  <c r="BL110" i="6"/>
  <c r="BF110" i="6"/>
  <c r="AL108" i="5"/>
  <c r="W108" i="4"/>
  <c r="M108" i="3"/>
  <c r="E108" i="3"/>
  <c r="U108" i="10"/>
  <c r="G108" i="10"/>
  <c r="K107" i="12"/>
  <c r="M107" i="12"/>
  <c r="G107" i="12"/>
  <c r="E107" i="12"/>
  <c r="AE107" i="14"/>
  <c r="AF109" i="6"/>
  <c r="BK107" i="14"/>
  <c r="BE107" i="14"/>
  <c r="BL109" i="6"/>
  <c r="BF109" i="6"/>
  <c r="S109" i="6"/>
  <c r="W107" i="4"/>
  <c r="M107" i="3"/>
  <c r="E107" i="3"/>
  <c r="O107" i="9"/>
  <c r="K107" i="9"/>
  <c r="U107" i="10"/>
  <c r="G107" i="10"/>
  <c r="AE102" i="13"/>
  <c r="AE106" i="14"/>
  <c r="AF108" i="6"/>
  <c r="BK102" i="13"/>
  <c r="BK106" i="14"/>
  <c r="BI106" i="14"/>
  <c r="BG106" i="14"/>
  <c r="BL108" i="6"/>
  <c r="BJ108" i="6"/>
  <c r="Q106" i="4"/>
  <c r="Q106" i="1"/>
  <c r="M106" i="3"/>
  <c r="E106" i="3"/>
  <c r="E106" i="7"/>
  <c r="K106" i="9"/>
  <c r="U106" i="10"/>
  <c r="AE105" i="14"/>
  <c r="AF107" i="6"/>
  <c r="BK105" i="14"/>
  <c r="BI105" i="14"/>
  <c r="BH107" i="6"/>
  <c r="BL107" i="6"/>
  <c r="E105" i="5"/>
  <c r="W105" i="4"/>
  <c r="Q105" i="4"/>
  <c r="E105" i="2"/>
  <c r="W105" i="1"/>
  <c r="Q105" i="1"/>
  <c r="M105" i="3"/>
  <c r="Q105" i="8"/>
  <c r="K105" i="9"/>
  <c r="U105" i="10"/>
  <c r="G105" i="10"/>
  <c r="E104" i="12"/>
  <c r="W104" i="4"/>
  <c r="Q104" i="4"/>
  <c r="Q104" i="1"/>
  <c r="M104" i="3"/>
  <c r="E104" i="3"/>
  <c r="M104" i="7"/>
  <c r="M104" i="9"/>
  <c r="U104" i="10"/>
  <c r="G104" i="10"/>
  <c r="E103" i="12"/>
  <c r="AL103" i="5"/>
  <c r="AF103" i="5"/>
  <c r="W103" i="4"/>
  <c r="M103" i="3"/>
  <c r="U103" i="9"/>
  <c r="M103" i="9"/>
  <c r="K103" i="9"/>
  <c r="U103" i="10"/>
  <c r="G103" i="10"/>
  <c r="AE102" i="14"/>
  <c r="AF104" i="6"/>
  <c r="BK102" i="14"/>
  <c r="BI102" i="14"/>
  <c r="BL104" i="6"/>
  <c r="BF104" i="6"/>
  <c r="AL102" i="5"/>
  <c r="W102" i="4"/>
  <c r="Q102" i="4"/>
  <c r="Q102" i="1"/>
  <c r="M102" i="3"/>
  <c r="E102" i="3"/>
  <c r="E102" i="7"/>
  <c r="U102" i="10"/>
  <c r="G102" i="10"/>
  <c r="K101" i="12"/>
  <c r="E101" i="12"/>
  <c r="AE101" i="14"/>
  <c r="AF103" i="6"/>
  <c r="BK101" i="14"/>
  <c r="BI101" i="14"/>
  <c r="BG101" i="14"/>
  <c r="BE101" i="14"/>
  <c r="BL103" i="6"/>
  <c r="BJ103" i="6"/>
  <c r="W101" i="4"/>
  <c r="Q101" i="4"/>
  <c r="Q101" i="1"/>
  <c r="M101" i="3"/>
  <c r="E101" i="3"/>
  <c r="U101" i="9"/>
  <c r="K101" i="9"/>
  <c r="U101" i="10"/>
  <c r="G101" i="10"/>
  <c r="E100" i="12"/>
  <c r="AE96" i="13"/>
  <c r="AE100" i="14"/>
  <c r="AF102" i="6"/>
  <c r="BK96" i="13"/>
  <c r="BG96" i="13"/>
  <c r="S96" i="13"/>
  <c r="BK100" i="14"/>
  <c r="BI100" i="14"/>
  <c r="BG100" i="14"/>
  <c r="S100" i="14"/>
  <c r="BL102" i="6"/>
  <c r="BH102" i="6"/>
  <c r="S102" i="6"/>
  <c r="AL100" i="5"/>
  <c r="W100" i="4"/>
  <c r="Q100" i="4"/>
  <c r="Q100" i="1"/>
  <c r="M100" i="3"/>
  <c r="AB112" i="10" l="1"/>
  <c r="AA112" i="8"/>
  <c r="AC112" i="8" s="1"/>
  <c r="AZ114" i="6"/>
  <c r="AY108" i="15"/>
  <c r="U112" i="3"/>
  <c r="AM112" i="2"/>
  <c r="V112" i="7"/>
  <c r="K100" i="9"/>
  <c r="U100" i="10"/>
  <c r="G100" i="10"/>
  <c r="K99" i="12"/>
  <c r="E99" i="12"/>
  <c r="AE99" i="14"/>
  <c r="AF101" i="6"/>
  <c r="BL101" i="6"/>
  <c r="I99" i="5"/>
  <c r="AH99" i="5" s="1"/>
  <c r="W99" i="4"/>
  <c r="I99" i="2"/>
  <c r="M99" i="3"/>
  <c r="E99" i="3"/>
  <c r="M99" i="7"/>
  <c r="K99" i="8"/>
  <c r="M99" i="9"/>
  <c r="U99" i="10"/>
  <c r="Y99" i="10" s="1"/>
  <c r="AB99" i="10" s="1"/>
  <c r="E99" i="10"/>
  <c r="M99" i="10"/>
  <c r="AC99" i="9"/>
  <c r="AA99" i="9"/>
  <c r="W99" i="8"/>
  <c r="S99" i="7"/>
  <c r="U99" i="7" s="1"/>
  <c r="S99" i="3"/>
  <c r="U99" i="3" s="1"/>
  <c r="S99" i="1"/>
  <c r="AC99" i="2"/>
  <c r="S99" i="4"/>
  <c r="E101" i="6"/>
  <c r="AZ101" i="6" s="1"/>
  <c r="K101" i="6"/>
  <c r="W101" i="6"/>
  <c r="AJ101" i="6"/>
  <c r="AT101" i="6" s="1"/>
  <c r="BN101" i="6"/>
  <c r="E99" i="14"/>
  <c r="E100" i="14"/>
  <c r="K99" i="14"/>
  <c r="AY99" i="14" s="1"/>
  <c r="W99" i="14"/>
  <c r="AI99" i="14"/>
  <c r="AS99" i="14" s="1"/>
  <c r="BM99" i="14"/>
  <c r="E95" i="13"/>
  <c r="K95" i="13"/>
  <c r="W95" i="13"/>
  <c r="AI95" i="13"/>
  <c r="AS95" i="13" s="1"/>
  <c r="AY95" i="13"/>
  <c r="BM95" i="13"/>
  <c r="S99" i="12"/>
  <c r="W99" i="12" s="1"/>
  <c r="K96" i="15"/>
  <c r="E96" i="15"/>
  <c r="W96" i="15"/>
  <c r="AI96" i="15"/>
  <c r="AS96" i="15" s="1"/>
  <c r="AY96" i="15"/>
  <c r="BM96" i="15"/>
  <c r="AE98" i="14"/>
  <c r="AF100" i="6"/>
  <c r="BK98" i="14"/>
  <c r="BI98" i="14"/>
  <c r="BJ100" i="6"/>
  <c r="E98" i="5"/>
  <c r="W98" i="4"/>
  <c r="Q98" i="4"/>
  <c r="I98" i="4"/>
  <c r="Q98" i="1"/>
  <c r="M98" i="3"/>
  <c r="E98" i="3"/>
  <c r="Q98" i="8"/>
  <c r="O98" i="9"/>
  <c r="K98" i="9"/>
  <c r="U98" i="10"/>
  <c r="G98" i="10"/>
  <c r="M97" i="12"/>
  <c r="Q97" i="12"/>
  <c r="E97" i="12"/>
  <c r="AE97" i="14"/>
  <c r="AF99" i="6"/>
  <c r="BK97" i="14"/>
  <c r="BG97" i="14"/>
  <c r="BL99" i="6"/>
  <c r="W97" i="4"/>
  <c r="AL97" i="5"/>
  <c r="Q97" i="4"/>
  <c r="AG97" i="2"/>
  <c r="Q97" i="1"/>
  <c r="M97" i="3"/>
  <c r="M97" i="7"/>
  <c r="K97" i="9"/>
  <c r="U97" i="10"/>
  <c r="AL96" i="5"/>
  <c r="W96" i="4"/>
  <c r="Q96" i="4"/>
  <c r="I96" i="4"/>
  <c r="Q96" i="1"/>
  <c r="M96" i="3"/>
  <c r="O96" i="9"/>
  <c r="M96" i="9"/>
  <c r="K96" i="9"/>
  <c r="U96" i="10"/>
  <c r="G96" i="10"/>
  <c r="W95" i="4"/>
  <c r="Q95" i="4"/>
  <c r="W95" i="1"/>
  <c r="Q95" i="1"/>
  <c r="M95" i="3"/>
  <c r="O95" i="3"/>
  <c r="O95" i="7"/>
  <c r="M95" i="7"/>
  <c r="U95" i="9"/>
  <c r="M95" i="9"/>
  <c r="K95" i="9"/>
  <c r="U95" i="10"/>
  <c r="G95" i="10"/>
  <c r="AI94" i="14"/>
  <c r="AE94" i="14"/>
  <c r="AF96" i="6"/>
  <c r="BK94" i="14"/>
  <c r="BI94" i="14"/>
  <c r="BL96" i="6"/>
  <c r="BJ96" i="6"/>
  <c r="Q94" i="4"/>
  <c r="Q94" i="1"/>
  <c r="M94" i="3"/>
  <c r="E94" i="3"/>
  <c r="M94" i="7"/>
  <c r="E94" i="7"/>
  <c r="M94" i="9"/>
  <c r="K94" i="9"/>
  <c r="U94" i="10"/>
  <c r="G94" i="10"/>
  <c r="AF95" i="6"/>
  <c r="AE93" i="14"/>
  <c r="BJ95" i="6"/>
  <c r="K95" i="6"/>
  <c r="BK93" i="14"/>
  <c r="BI93" i="14"/>
  <c r="W93" i="4"/>
  <c r="W93" i="1"/>
  <c r="M93" i="3"/>
  <c r="E93" i="3"/>
  <c r="K93" i="9"/>
  <c r="U93" i="10"/>
  <c r="G93" i="10"/>
  <c r="Q92" i="12"/>
  <c r="Q92" i="4"/>
  <c r="I92" i="4"/>
  <c r="Q92" i="1"/>
  <c r="M92" i="3"/>
  <c r="E92" i="3"/>
  <c r="O92" i="9"/>
  <c r="M92" i="9"/>
  <c r="K92" i="9"/>
  <c r="U92" i="10"/>
  <c r="G92" i="10"/>
  <c r="Q91" i="12"/>
  <c r="AE87" i="13"/>
  <c r="AE91" i="14"/>
  <c r="AF93" i="6"/>
  <c r="BK87" i="13"/>
  <c r="BE87" i="13"/>
  <c r="BK91" i="14"/>
  <c r="BI91" i="14"/>
  <c r="BL93" i="6"/>
  <c r="BJ93" i="6"/>
  <c r="G91" i="5"/>
  <c r="W91" i="4"/>
  <c r="Q91" i="4"/>
  <c r="G91" i="2"/>
  <c r="Q91" i="1"/>
  <c r="M91" i="3"/>
  <c r="M91" i="7"/>
  <c r="E91" i="8"/>
  <c r="O91" i="9"/>
  <c r="M91" i="9"/>
  <c r="K91" i="9"/>
  <c r="U91" i="10"/>
  <c r="G91" i="10"/>
  <c r="K90" i="12"/>
  <c r="AE90" i="14"/>
  <c r="AF92" i="6"/>
  <c r="BI90" i="14"/>
  <c r="BE90" i="14"/>
  <c r="BF92" i="6"/>
  <c r="W90" i="4"/>
  <c r="Q90" i="4"/>
  <c r="I90" i="4"/>
  <c r="Q90" i="1"/>
  <c r="M90" i="3"/>
  <c r="E90" i="3"/>
  <c r="M90" i="7"/>
  <c r="U90" i="9"/>
  <c r="O90" i="9"/>
  <c r="K90" i="9"/>
  <c r="U90" i="10"/>
  <c r="G90" i="10"/>
  <c r="E90" i="10" s="1"/>
  <c r="E89" i="12"/>
  <c r="AE89" i="14"/>
  <c r="AF91" i="6"/>
  <c r="BK89" i="14"/>
  <c r="BI89" i="14"/>
  <c r="BL91" i="6"/>
  <c r="BF91" i="6"/>
  <c r="I89" i="5"/>
  <c r="Q89" i="4"/>
  <c r="I89" i="2"/>
  <c r="Q89" i="1"/>
  <c r="M89" i="3"/>
  <c r="K89" i="8"/>
  <c r="K89" i="9"/>
  <c r="U89" i="10"/>
  <c r="M89" i="10"/>
  <c r="G89" i="10"/>
  <c r="E89" i="10" s="1"/>
  <c r="Q88" i="12"/>
  <c r="AE88" i="14"/>
  <c r="AF90" i="6"/>
  <c r="BK88" i="14"/>
  <c r="BL90" i="6"/>
  <c r="BJ90" i="6"/>
  <c r="BH90" i="6"/>
  <c r="S90" i="6"/>
  <c r="AL88" i="5"/>
  <c r="G88" i="5"/>
  <c r="W88" i="4"/>
  <c r="I88" i="4"/>
  <c r="AG88" i="2"/>
  <c r="G88" i="2"/>
  <c r="M88" i="3"/>
  <c r="E88" i="8"/>
  <c r="U88" i="9"/>
  <c r="O88" i="9"/>
  <c r="K88" i="9"/>
  <c r="U88" i="10"/>
  <c r="G88" i="10"/>
  <c r="AE87" i="14"/>
  <c r="AF89" i="6"/>
  <c r="BK87" i="14"/>
  <c r="BI87" i="14"/>
  <c r="BL89" i="6"/>
  <c r="BJ89" i="6"/>
  <c r="W87" i="4"/>
  <c r="Q87" i="4"/>
  <c r="Q87" i="1"/>
  <c r="M87" i="3"/>
  <c r="E87" i="3"/>
  <c r="U87" i="9"/>
  <c r="K87" i="9"/>
  <c r="U87" i="10"/>
  <c r="E86" i="12"/>
  <c r="AL86" i="5"/>
  <c r="W86" i="4"/>
  <c r="M86" i="3"/>
  <c r="K86" i="9"/>
  <c r="U86" i="10"/>
  <c r="G86" i="10"/>
  <c r="E85" i="12"/>
  <c r="AF87" i="6"/>
  <c r="BL87" i="6"/>
  <c r="BJ87" i="6"/>
  <c r="BF87" i="6"/>
  <c r="Q85" i="4"/>
  <c r="W85" i="4"/>
  <c r="AP85" i="5"/>
  <c r="W85" i="1"/>
  <c r="Q85" i="1"/>
  <c r="M85" i="3"/>
  <c r="E85" i="3"/>
  <c r="M85" i="7"/>
  <c r="E85" i="7"/>
  <c r="U85" i="9"/>
  <c r="K85" i="9"/>
  <c r="U85" i="10"/>
  <c r="K84" i="12"/>
  <c r="AE84" i="14"/>
  <c r="BI84" i="14"/>
  <c r="AL84" i="5"/>
  <c r="W84" i="4"/>
  <c r="M84" i="3"/>
  <c r="E84" i="3"/>
  <c r="E84" i="7"/>
  <c r="U84" i="9"/>
  <c r="M84" i="9"/>
  <c r="K84" i="9"/>
  <c r="U84" i="10"/>
  <c r="G84" i="10"/>
  <c r="W83" i="4"/>
  <c r="Q83" i="4"/>
  <c r="Q83" i="1"/>
  <c r="M83" i="3"/>
  <c r="E83" i="3"/>
  <c r="M83" i="7"/>
  <c r="E83" i="7"/>
  <c r="M83" i="9"/>
  <c r="K83" i="9"/>
  <c r="U83" i="10"/>
  <c r="AE82" i="14"/>
  <c r="BM108" i="14"/>
  <c r="BM109" i="14"/>
  <c r="BM110" i="14"/>
  <c r="BM112" i="14"/>
  <c r="BM113" i="14"/>
  <c r="BM114" i="14"/>
  <c r="BM115" i="14"/>
  <c r="BM116" i="14"/>
  <c r="BM117" i="14"/>
  <c r="AF84" i="6"/>
  <c r="AE79" i="15"/>
  <c r="BK79" i="15"/>
  <c r="BK82" i="14"/>
  <c r="BE82" i="14"/>
  <c r="BL84" i="6"/>
  <c r="BF84" i="6"/>
  <c r="W82" i="4"/>
  <c r="K82" i="9"/>
  <c r="U82" i="10"/>
  <c r="G82" i="10"/>
  <c r="Q81" i="12"/>
  <c r="AE78" i="15"/>
  <c r="AK80" i="14"/>
  <c r="AE80" i="14"/>
  <c r="AF82" i="6"/>
  <c r="BK78" i="15"/>
  <c r="BK80" i="14"/>
  <c r="BI80" i="14"/>
  <c r="BE80" i="14"/>
  <c r="BL82" i="6"/>
  <c r="BJ82" i="6"/>
  <c r="BF82" i="6"/>
  <c r="W81" i="4"/>
  <c r="I81" i="4"/>
  <c r="W81" i="1"/>
  <c r="M81" i="3"/>
  <c r="O81" i="9"/>
  <c r="M81" i="9"/>
  <c r="K81" i="9"/>
  <c r="U81" i="10"/>
  <c r="G81" i="10"/>
  <c r="E88" i="10"/>
  <c r="Q80" i="12"/>
  <c r="G80" i="12"/>
  <c r="BJ81" i="6"/>
  <c r="BF81" i="6"/>
  <c r="BK79" i="14"/>
  <c r="BI79" i="14"/>
  <c r="BE79" i="14"/>
  <c r="AI79" i="14"/>
  <c r="AS79" i="14" s="1"/>
  <c r="AE79" i="14"/>
  <c r="W79" i="14"/>
  <c r="K79" i="14"/>
  <c r="E79" i="14"/>
  <c r="AL80" i="5"/>
  <c r="AF80" i="5"/>
  <c r="W80" i="4"/>
  <c r="Q80" i="4"/>
  <c r="AG80" i="2"/>
  <c r="AA80" i="2"/>
  <c r="W80" i="1"/>
  <c r="Q80" i="1"/>
  <c r="M80" i="3"/>
  <c r="E80" i="3"/>
  <c r="M80" i="7"/>
  <c r="E80" i="7"/>
  <c r="U80" i="9"/>
  <c r="U80" i="10"/>
  <c r="G80" i="10"/>
  <c r="AE76" i="15"/>
  <c r="AE78" i="14"/>
  <c r="AF80" i="6"/>
  <c r="BK76" i="15"/>
  <c r="BK78" i="14"/>
  <c r="BL80" i="6"/>
  <c r="W79" i="4"/>
  <c r="Q79" i="4"/>
  <c r="W79" i="1"/>
  <c r="Q79" i="1"/>
  <c r="M79" i="3"/>
  <c r="K78" i="12"/>
  <c r="AE75" i="15"/>
  <c r="AE77" i="14"/>
  <c r="AF79" i="6"/>
  <c r="BK77" i="14"/>
  <c r="BI77" i="14"/>
  <c r="BE77" i="14"/>
  <c r="BJ79" i="6"/>
  <c r="BF79" i="6"/>
  <c r="AL78" i="5"/>
  <c r="W78" i="4"/>
  <c r="Q78" i="4"/>
  <c r="Q78" i="1"/>
  <c r="M78" i="3"/>
  <c r="O78" i="9"/>
  <c r="U78" i="10"/>
  <c r="G78" i="10"/>
  <c r="K79" i="9"/>
  <c r="U79" i="10"/>
  <c r="K77" i="12"/>
  <c r="AE76" i="14"/>
  <c r="AF78" i="6"/>
  <c r="BK74" i="15"/>
  <c r="BK76" i="14"/>
  <c r="BL78" i="6"/>
  <c r="BJ78" i="6"/>
  <c r="W77" i="4"/>
  <c r="Q77" i="4"/>
  <c r="Q77" i="1"/>
  <c r="M77" i="3"/>
  <c r="E77" i="3"/>
  <c r="M77" i="7"/>
  <c r="U77" i="9"/>
  <c r="K77" i="9"/>
  <c r="U77" i="10"/>
  <c r="G77" i="10"/>
  <c r="Q76" i="12"/>
  <c r="AE75" i="14"/>
  <c r="BK75" i="14"/>
  <c r="BI75" i="14"/>
  <c r="AL76" i="5"/>
  <c r="W76" i="4"/>
  <c r="Q76" i="4"/>
  <c r="I76" i="4"/>
  <c r="Q76" i="1"/>
  <c r="M76" i="3"/>
  <c r="E76" i="3"/>
  <c r="E76" i="7"/>
  <c r="O76" i="9"/>
  <c r="K76" i="9"/>
  <c r="U76" i="10"/>
  <c r="Y76" i="10" s="1"/>
  <c r="M76" i="10"/>
  <c r="G76" i="10"/>
  <c r="E76" i="10" s="1"/>
  <c r="K75" i="12"/>
  <c r="AE74" i="14"/>
  <c r="AF76" i="6"/>
  <c r="BK74" i="14"/>
  <c r="BI74" i="14"/>
  <c r="BE74" i="14"/>
  <c r="BL76" i="6"/>
  <c r="BJ76" i="6"/>
  <c r="BF76" i="6"/>
  <c r="W75" i="4"/>
  <c r="Q75" i="4"/>
  <c r="Q75" i="1"/>
  <c r="Q75" i="3"/>
  <c r="M75" i="3"/>
  <c r="E75" i="3"/>
  <c r="E75" i="7"/>
  <c r="K75" i="9"/>
  <c r="K74" i="12"/>
  <c r="AE73" i="14"/>
  <c r="AF75" i="6"/>
  <c r="BK73" i="14"/>
  <c r="BI73" i="14"/>
  <c r="BJ75" i="6"/>
  <c r="W74" i="4"/>
  <c r="Q74" i="4"/>
  <c r="Q74" i="1"/>
  <c r="M74" i="3"/>
  <c r="E74" i="3"/>
  <c r="M74" i="9"/>
  <c r="K74" i="9"/>
  <c r="U74" i="10"/>
  <c r="G74" i="10"/>
  <c r="Q73" i="12"/>
  <c r="AE72" i="14"/>
  <c r="AF74" i="6"/>
  <c r="BK72" i="14"/>
  <c r="BJ74" i="6"/>
  <c r="K74" i="6"/>
  <c r="Q73" i="4"/>
  <c r="Q73" i="1"/>
  <c r="M73" i="3"/>
  <c r="E73" i="3"/>
  <c r="K72" i="9"/>
  <c r="U73" i="10"/>
  <c r="G73" i="10"/>
  <c r="Q72" i="12"/>
  <c r="AE71" i="14"/>
  <c r="AF73" i="6"/>
  <c r="BK71" i="14"/>
  <c r="BE71" i="14"/>
  <c r="BL73" i="6"/>
  <c r="BF73" i="6"/>
  <c r="U71" i="9"/>
  <c r="O71" i="9"/>
  <c r="M72" i="3"/>
  <c r="E72" i="3"/>
  <c r="M71" i="9"/>
  <c r="K71" i="9"/>
  <c r="U72" i="10"/>
  <c r="G72" i="10"/>
  <c r="K71" i="12"/>
  <c r="E71" i="12"/>
  <c r="AE68" i="13"/>
  <c r="AE70" i="14"/>
  <c r="AF72" i="6"/>
  <c r="BK68" i="13"/>
  <c r="BG68" i="13"/>
  <c r="BE68" i="13"/>
  <c r="S68" i="13"/>
  <c r="BH72" i="6"/>
  <c r="S72" i="6"/>
  <c r="W71" i="4"/>
  <c r="M71" i="3"/>
  <c r="E71" i="3"/>
  <c r="M70" i="9"/>
  <c r="K70" i="9"/>
  <c r="U71" i="10"/>
  <c r="G71" i="10"/>
  <c r="AE69" i="14"/>
  <c r="AF71" i="6"/>
  <c r="BK69" i="14"/>
  <c r="BI69" i="14"/>
  <c r="BL71" i="6"/>
  <c r="BJ71" i="6"/>
  <c r="BF71" i="6"/>
  <c r="W70" i="4"/>
  <c r="Q70" i="4"/>
  <c r="M70" i="3"/>
  <c r="M69" i="9"/>
  <c r="K69" i="9"/>
  <c r="U70" i="10"/>
  <c r="G70" i="10"/>
  <c r="Q69" i="12"/>
  <c r="E69" i="12"/>
  <c r="AE67" i="15"/>
  <c r="AE68" i="14"/>
  <c r="AF70" i="6"/>
  <c r="BK67" i="15"/>
  <c r="BK68" i="14"/>
  <c r="BI68" i="14"/>
  <c r="BE68" i="14"/>
  <c r="BL70" i="6"/>
  <c r="BJ70" i="6"/>
  <c r="BF70" i="6"/>
  <c r="G68" i="5"/>
  <c r="W69" i="4"/>
  <c r="Q69" i="4"/>
  <c r="I69" i="4"/>
  <c r="G68" i="2"/>
  <c r="W69" i="1"/>
  <c r="Q69" i="1"/>
  <c r="M69" i="3"/>
  <c r="M69" i="7"/>
  <c r="E69" i="8"/>
  <c r="U68" i="9"/>
  <c r="O68" i="9"/>
  <c r="M68" i="9"/>
  <c r="K68" i="9"/>
  <c r="U69" i="10"/>
  <c r="G69" i="10"/>
  <c r="E68" i="12"/>
  <c r="Q67" i="12"/>
  <c r="AF69" i="6"/>
  <c r="AE67" i="14"/>
  <c r="BL69" i="6"/>
  <c r="BJ69" i="6"/>
  <c r="BF69" i="6"/>
  <c r="BK67" i="14"/>
  <c r="BI67" i="14"/>
  <c r="I67" i="5"/>
  <c r="W68" i="4"/>
  <c r="Q68" i="4"/>
  <c r="I67" i="2"/>
  <c r="Q68" i="1"/>
  <c r="M68" i="3"/>
  <c r="E68" i="3"/>
  <c r="AM99" i="2" l="1"/>
  <c r="V99" i="7"/>
  <c r="AR99" i="5"/>
  <c r="AA99" i="8"/>
  <c r="AC99" i="8" s="1"/>
  <c r="E68" i="7"/>
  <c r="K68" i="8"/>
  <c r="M67" i="9"/>
  <c r="K67" i="9"/>
  <c r="U68" i="10"/>
  <c r="G68" i="10"/>
  <c r="AE65" i="15"/>
  <c r="M67" i="3" l="1"/>
  <c r="K66" i="9"/>
  <c r="U67" i="10"/>
  <c r="G67" i="10"/>
  <c r="Q66" i="12"/>
  <c r="E66" i="12"/>
  <c r="K66" i="12"/>
  <c r="AE65" i="14"/>
  <c r="AF67" i="6"/>
  <c r="BK65" i="14"/>
  <c r="BI65" i="14"/>
  <c r="BL67" i="6"/>
  <c r="I65" i="5"/>
  <c r="W66" i="4"/>
  <c r="Q66" i="4"/>
  <c r="I66" i="4"/>
  <c r="I65" i="2"/>
  <c r="Q66" i="1"/>
  <c r="M66" i="3"/>
  <c r="E66" i="3"/>
  <c r="M66" i="7"/>
  <c r="E66" i="7"/>
  <c r="K66" i="8"/>
  <c r="K65" i="9"/>
  <c r="U66" i="10"/>
  <c r="AE63" i="15"/>
  <c r="BK63" i="15"/>
  <c r="W63" i="15"/>
  <c r="AE62" i="13"/>
  <c r="BK62" i="13"/>
  <c r="AE64" i="14"/>
  <c r="BK64" i="14"/>
  <c r="BE64" i="14"/>
  <c r="AF66" i="6"/>
  <c r="BL66" i="6"/>
  <c r="BF66" i="6"/>
  <c r="AP64" i="5"/>
  <c r="Q65" i="4"/>
  <c r="I65" i="4"/>
  <c r="AK64" i="2"/>
  <c r="Q65" i="1"/>
  <c r="I65" i="1"/>
  <c r="M65" i="3"/>
  <c r="E65" i="3"/>
  <c r="M65" i="7"/>
  <c r="M64" i="9"/>
  <c r="K64" i="9"/>
  <c r="U64" i="10"/>
  <c r="G64" i="10"/>
  <c r="AE62" i="14"/>
  <c r="BK62" i="14"/>
  <c r="AF64" i="6"/>
  <c r="BL64" i="6"/>
  <c r="BJ64" i="6"/>
  <c r="I62" i="5"/>
  <c r="Q63" i="4"/>
  <c r="Q63" i="1"/>
  <c r="M63" i="3"/>
  <c r="O62" i="9"/>
  <c r="M62" i="9"/>
  <c r="K62" i="9"/>
  <c r="U62" i="10"/>
  <c r="G62" i="10"/>
  <c r="BK61" i="14"/>
  <c r="BI61" i="14"/>
  <c r="AE61" i="14"/>
  <c r="AF63" i="6"/>
  <c r="BL63" i="6"/>
  <c r="BJ63" i="6"/>
  <c r="W61" i="4"/>
  <c r="Q61" i="4"/>
  <c r="Q62" i="1"/>
  <c r="M62" i="3"/>
  <c r="U61" i="9"/>
  <c r="K61" i="9"/>
  <c r="U61" i="10"/>
  <c r="G61" i="10"/>
  <c r="K60" i="12"/>
  <c r="BK60" i="14"/>
  <c r="BI60" i="14"/>
  <c r="AE60" i="14"/>
  <c r="AF62" i="6"/>
  <c r="BL62" i="6"/>
  <c r="BJ62" i="6"/>
  <c r="BF62" i="6"/>
  <c r="AL60" i="5"/>
  <c r="AB60" i="5"/>
  <c r="W60" i="4"/>
  <c r="Q60" i="4"/>
  <c r="I60" i="4"/>
  <c r="Q61" i="1"/>
  <c r="I61" i="1"/>
  <c r="M60" i="3"/>
  <c r="E60" i="3"/>
  <c r="E60" i="7"/>
  <c r="U60" i="9"/>
  <c r="O60" i="9"/>
  <c r="M60" i="9"/>
  <c r="K60" i="9"/>
  <c r="U60" i="10"/>
  <c r="G60" i="10"/>
  <c r="Q58" i="12"/>
  <c r="E58" i="12"/>
  <c r="I58" i="12"/>
  <c r="BE58" i="13"/>
  <c r="AE58" i="13"/>
  <c r="BE58" i="14"/>
  <c r="AE58" i="14"/>
  <c r="AF60" i="6"/>
  <c r="BF60" i="6"/>
  <c r="AL58" i="5"/>
  <c r="W58" i="4"/>
  <c r="M58" i="4"/>
  <c r="Q58" i="4"/>
  <c r="Q58" i="1"/>
  <c r="M58" i="3"/>
  <c r="E58" i="3"/>
  <c r="U58" i="9"/>
  <c r="O58" i="9"/>
  <c r="U58" i="10"/>
  <c r="O58" i="10"/>
  <c r="AE56" i="13"/>
  <c r="AE57" i="13"/>
  <c r="BK57" i="13"/>
  <c r="BK59" i="14"/>
  <c r="BI59" i="14"/>
  <c r="BG59" i="14"/>
  <c r="AE59" i="14"/>
  <c r="AF61" i="6"/>
  <c r="BL61" i="6"/>
  <c r="Q59" i="4"/>
  <c r="Q60" i="1"/>
  <c r="M59" i="3"/>
  <c r="W59" i="8"/>
  <c r="K59" i="9"/>
  <c r="U59" i="10"/>
  <c r="Y59" i="10" s="1"/>
  <c r="M59" i="10"/>
  <c r="E59" i="10"/>
  <c r="BK56" i="13"/>
  <c r="BG56" i="13"/>
  <c r="BE56" i="13"/>
  <c r="BK57" i="14"/>
  <c r="BI57" i="14"/>
  <c r="AE57" i="14"/>
  <c r="AF59" i="6"/>
  <c r="BL59" i="6"/>
  <c r="BJ59" i="6"/>
  <c r="BF59" i="6"/>
  <c r="W57" i="4"/>
  <c r="Q57" i="4"/>
  <c r="W57" i="1"/>
  <c r="Q57" i="1"/>
  <c r="M57" i="3"/>
  <c r="M57" i="7"/>
  <c r="K57" i="9"/>
  <c r="M57" i="9"/>
  <c r="U57" i="10"/>
  <c r="O57" i="10"/>
  <c r="AE56" i="14"/>
  <c r="AF58" i="6"/>
  <c r="W56" i="4"/>
  <c r="Q56" i="4"/>
  <c r="I56" i="4"/>
  <c r="M56" i="3"/>
  <c r="O56" i="9"/>
  <c r="K56" i="9"/>
  <c r="U56" i="10"/>
  <c r="BK56" i="14"/>
  <c r="BI56" i="14"/>
  <c r="W55" i="14"/>
  <c r="W56" i="14"/>
  <c r="W57" i="14"/>
  <c r="BL58" i="6"/>
  <c r="BJ58" i="6"/>
  <c r="W56" i="1"/>
  <c r="Q56" i="1"/>
  <c r="I56" i="1"/>
  <c r="G56" i="10"/>
  <c r="Q55" i="12"/>
  <c r="E55" i="12"/>
  <c r="BK54" i="13"/>
  <c r="AE54" i="13"/>
  <c r="S54" i="13"/>
  <c r="BL57" i="6"/>
  <c r="AF57" i="6"/>
  <c r="AL55" i="5"/>
  <c r="AF55" i="5"/>
  <c r="Q55" i="5"/>
  <c r="I55" i="5"/>
  <c r="W55" i="4"/>
  <c r="Q55" i="4"/>
  <c r="Q55" i="2"/>
  <c r="I55" i="2"/>
  <c r="W55" i="1"/>
  <c r="Q55" i="1"/>
  <c r="M55" i="3"/>
  <c r="K55" i="8"/>
  <c r="Q55" i="9"/>
  <c r="U55" i="10"/>
  <c r="BI54" i="14"/>
  <c r="AF56" i="6"/>
  <c r="W54" i="4"/>
  <c r="Q54" i="4"/>
  <c r="I54" i="4"/>
  <c r="M54" i="3"/>
  <c r="U54" i="9"/>
  <c r="O54" i="9"/>
  <c r="M54" i="9"/>
  <c r="K54" i="9"/>
  <c r="U54" i="10"/>
  <c r="G54" i="10"/>
  <c r="BK53" i="14"/>
  <c r="BE53" i="14"/>
  <c r="AE53" i="14"/>
  <c r="BL55" i="6"/>
  <c r="BF55" i="6"/>
  <c r="AF55" i="6"/>
  <c r="AL53" i="5"/>
  <c r="O53" i="5"/>
  <c r="I53" i="5"/>
  <c r="G53" i="5"/>
  <c r="W53" i="4"/>
  <c r="Q53" i="4"/>
  <c r="Q53" i="1"/>
  <c r="O53" i="2"/>
  <c r="G53" i="2"/>
  <c r="M53" i="3"/>
  <c r="E53" i="3"/>
  <c r="M53" i="7"/>
  <c r="K53" i="8"/>
  <c r="I53" i="8"/>
  <c r="E53" i="8"/>
  <c r="U53" i="9"/>
  <c r="M53" i="9"/>
  <c r="K53" i="9"/>
  <c r="U53" i="10"/>
  <c r="G53" i="10"/>
  <c r="BL54" i="6"/>
  <c r="BJ54" i="6"/>
  <c r="BH54" i="6"/>
  <c r="BF54" i="6"/>
  <c r="AF54" i="6"/>
  <c r="W52" i="4"/>
  <c r="AL52" i="5"/>
  <c r="Q52" i="5"/>
  <c r="Q52" i="2"/>
  <c r="M52" i="3"/>
  <c r="E52" i="3"/>
  <c r="M52" i="7"/>
  <c r="E52" i="7"/>
  <c r="O52" i="9"/>
  <c r="Q52" i="12"/>
  <c r="U52" i="10"/>
  <c r="I52" i="10"/>
  <c r="G52" i="10"/>
  <c r="Q51" i="12"/>
  <c r="BK51" i="14"/>
  <c r="BE51" i="14"/>
  <c r="AE51" i="14"/>
  <c r="BL53" i="6"/>
  <c r="BH53" i="6"/>
  <c r="AF53" i="6"/>
  <c r="S53" i="6"/>
  <c r="G51" i="5"/>
  <c r="W51" i="4"/>
  <c r="G51" i="2"/>
  <c r="W51" i="1"/>
  <c r="M51" i="3"/>
  <c r="E51" i="3" l="1"/>
  <c r="M51" i="7"/>
  <c r="E51" i="7"/>
  <c r="E51" i="8"/>
  <c r="M51" i="9"/>
  <c r="K51" i="9"/>
  <c r="U51" i="10"/>
  <c r="G51" i="10"/>
  <c r="Q50" i="4"/>
  <c r="S50" i="1"/>
  <c r="Q50" i="1"/>
  <c r="M50" i="3"/>
  <c r="K50" i="9"/>
  <c r="U50" i="10"/>
  <c r="G50" i="10"/>
  <c r="BK49" i="14"/>
  <c r="BI49" i="14"/>
  <c r="AE49" i="14"/>
  <c r="BL51" i="6"/>
  <c r="BJ51" i="6"/>
  <c r="AF51" i="6"/>
  <c r="W49" i="4"/>
  <c r="Q49" i="4"/>
  <c r="Q49" i="1"/>
  <c r="M49" i="3"/>
  <c r="U49" i="9"/>
  <c r="K49" i="9"/>
  <c r="U49" i="10"/>
  <c r="G49" i="10"/>
  <c r="BK49" i="15"/>
  <c r="W48" i="4"/>
  <c r="M48" i="3"/>
  <c r="U48" i="10"/>
  <c r="G48" i="10"/>
  <c r="K47" i="12"/>
  <c r="I47" i="12"/>
  <c r="BK47" i="13"/>
  <c r="BI47" i="13"/>
  <c r="BE47" i="13"/>
  <c r="AE47" i="13"/>
  <c r="BK47" i="14"/>
  <c r="BG47" i="14"/>
  <c r="BE47" i="14"/>
  <c r="AE47" i="14"/>
  <c r="S47" i="14"/>
  <c r="BL49" i="6"/>
  <c r="BJ49" i="6"/>
  <c r="BF49" i="6"/>
  <c r="AF49" i="6"/>
  <c r="AL47" i="5"/>
  <c r="W47" i="4"/>
  <c r="Q47" i="4"/>
  <c r="I47" i="4"/>
  <c r="Q47" i="1"/>
  <c r="M47" i="3"/>
  <c r="E47" i="7"/>
  <c r="E47" i="3"/>
  <c r="U47" i="9"/>
  <c r="O47" i="9"/>
  <c r="K47" i="9"/>
  <c r="U47" i="10"/>
  <c r="G47" i="10"/>
  <c r="U10" i="12"/>
  <c r="BF47" i="6"/>
  <c r="U45" i="10"/>
  <c r="K45" i="12"/>
  <c r="AE46" i="15"/>
  <c r="BE45" i="14"/>
  <c r="AE45" i="14"/>
  <c r="AF47" i="6"/>
  <c r="W45" i="4"/>
  <c r="Q45" i="4"/>
  <c r="Q45" i="1"/>
  <c r="M45" i="3"/>
  <c r="E45" i="3"/>
  <c r="M45" i="7"/>
  <c r="E45" i="7"/>
  <c r="U45" i="9"/>
  <c r="BI44" i="14"/>
  <c r="AE44" i="14"/>
  <c r="AF46" i="6"/>
  <c r="W44" i="4"/>
  <c r="Q44" i="4"/>
  <c r="Q44" i="1"/>
  <c r="M44" i="3"/>
  <c r="U44" i="9"/>
  <c r="K44" i="9"/>
  <c r="E43" i="12"/>
  <c r="M43" i="12"/>
  <c r="BK43" i="14"/>
  <c r="BI43" i="14"/>
  <c r="BG43" i="14"/>
  <c r="AE43" i="14"/>
  <c r="BL45" i="6"/>
  <c r="BJ45" i="6"/>
  <c r="AF45" i="6"/>
  <c r="W43" i="4"/>
  <c r="M43" i="3"/>
  <c r="M43" i="7"/>
  <c r="O43" i="9"/>
  <c r="AC43" i="9" s="1"/>
  <c r="U43" i="10"/>
  <c r="S43" i="3"/>
  <c r="U43" i="3"/>
  <c r="S43" i="1"/>
  <c r="AC43" i="2"/>
  <c r="S43" i="4"/>
  <c r="AH43" i="5"/>
  <c r="AR43" i="5" s="1"/>
  <c r="E45" i="6"/>
  <c r="AZ45" i="6" s="1"/>
  <c r="K45" i="6"/>
  <c r="W45" i="6"/>
  <c r="AJ45" i="6"/>
  <c r="AT45" i="6" s="1"/>
  <c r="BN45" i="6"/>
  <c r="E43" i="14"/>
  <c r="AY43" i="14" s="1"/>
  <c r="K43" i="14"/>
  <c r="W43" i="14"/>
  <c r="AI43" i="14"/>
  <c r="AS43" i="14" s="1"/>
  <c r="BM43" i="14"/>
  <c r="E43" i="13"/>
  <c r="K43" i="13"/>
  <c r="W43" i="13"/>
  <c r="E44" i="13"/>
  <c r="K44" i="13"/>
  <c r="W44" i="13"/>
  <c r="E45" i="13"/>
  <c r="K45" i="13"/>
  <c r="W45" i="13"/>
  <c r="E46" i="13"/>
  <c r="K46" i="13"/>
  <c r="AY46" i="13" s="1"/>
  <c r="W46" i="13"/>
  <c r="AI43" i="13"/>
  <c r="AI44" i="13"/>
  <c r="AS44" i="13" s="1"/>
  <c r="AI45" i="13"/>
  <c r="AI46" i="13"/>
  <c r="AS46" i="13" s="1"/>
  <c r="AS43" i="13"/>
  <c r="AY43" i="13"/>
  <c r="AS45" i="13"/>
  <c r="BM43" i="13"/>
  <c r="BM44" i="13"/>
  <c r="BM45" i="13"/>
  <c r="BM46" i="13"/>
  <c r="S43" i="12"/>
  <c r="W43" i="12" s="1"/>
  <c r="E44" i="15"/>
  <c r="K44" i="15"/>
  <c r="W44" i="15"/>
  <c r="E45" i="15"/>
  <c r="K45" i="15"/>
  <c r="W45" i="15"/>
  <c r="E46" i="15"/>
  <c r="K46" i="15"/>
  <c r="W46" i="15"/>
  <c r="AI44" i="15"/>
  <c r="AS44" i="15" s="1"/>
  <c r="AI45" i="15"/>
  <c r="AS45" i="15" s="1"/>
  <c r="AI46" i="15"/>
  <c r="AS46" i="15" s="1"/>
  <c r="BM44" i="15"/>
  <c r="BM45" i="15"/>
  <c r="BM46" i="15"/>
  <c r="S43" i="7"/>
  <c r="U43" i="7" s="1"/>
  <c r="W43" i="8"/>
  <c r="AA43" i="9"/>
  <c r="E43" i="10"/>
  <c r="M43" i="10"/>
  <c r="Y43" i="10"/>
  <c r="AB43" i="10" s="1"/>
  <c r="BI42" i="14"/>
  <c r="AE42" i="14"/>
  <c r="AE41" i="14"/>
  <c r="BJ44" i="6"/>
  <c r="BF44" i="6"/>
  <c r="AF44" i="6"/>
  <c r="M42" i="3"/>
  <c r="E42" i="3"/>
  <c r="E42" i="7"/>
  <c r="M42" i="9"/>
  <c r="K42" i="9"/>
  <c r="U42" i="10"/>
  <c r="G42" i="10"/>
  <c r="BL43" i="6"/>
  <c r="BJ43" i="6"/>
  <c r="BH43" i="6"/>
  <c r="AF43" i="6"/>
  <c r="AJ43" i="6" s="1"/>
  <c r="K43" i="6"/>
  <c r="E43" i="6"/>
  <c r="W41" i="4"/>
  <c r="Q41" i="4"/>
  <c r="W41" i="1"/>
  <c r="Q41" i="1"/>
  <c r="M41" i="3"/>
  <c r="E41" i="3"/>
  <c r="M41" i="7"/>
  <c r="E41" i="7"/>
  <c r="M41" i="9"/>
  <c r="K41" i="9"/>
  <c r="U41" i="10"/>
  <c r="G41" i="10"/>
  <c r="Q40" i="12"/>
  <c r="BK41" i="15"/>
  <c r="AE41" i="15"/>
  <c r="BK40" i="14"/>
  <c r="BI40" i="14"/>
  <c r="AE40" i="14"/>
  <c r="BL42" i="6"/>
  <c r="BJ42" i="6"/>
  <c r="AF42" i="6"/>
  <c r="G40" i="5"/>
  <c r="Q40" i="4"/>
  <c r="G40" i="2"/>
  <c r="M40" i="3"/>
  <c r="E40" i="8"/>
  <c r="O40" i="9"/>
  <c r="M40" i="9"/>
  <c r="K40" i="9"/>
  <c r="U40" i="10"/>
  <c r="G40" i="10"/>
  <c r="AY45" i="13" l="1"/>
  <c r="AM43" i="2"/>
  <c r="V43" i="7"/>
  <c r="AY44" i="13"/>
  <c r="AY46" i="15"/>
  <c r="AY45" i="15"/>
  <c r="AY44" i="15"/>
  <c r="AA43" i="8"/>
  <c r="AC43" i="8" s="1"/>
  <c r="BK40" i="15"/>
  <c r="AE40" i="15"/>
  <c r="BK39" i="13"/>
  <c r="AE39" i="13"/>
  <c r="BK39" i="14"/>
  <c r="BI39" i="14"/>
  <c r="AE39" i="14"/>
  <c r="BL41" i="6"/>
  <c r="AF41" i="6"/>
  <c r="W39" i="4"/>
  <c r="Q39" i="4"/>
  <c r="Q39" i="1"/>
  <c r="M39" i="3"/>
  <c r="U39" i="9"/>
  <c r="U39" i="10"/>
  <c r="BK39" i="15"/>
  <c r="AE39" i="15"/>
  <c r="W38" i="4"/>
  <c r="Q38" i="4"/>
  <c r="Q38" i="1"/>
  <c r="M38" i="3"/>
  <c r="E38" i="3"/>
  <c r="M38" i="7"/>
  <c r="E38" i="7"/>
  <c r="M38" i="9"/>
  <c r="K38" i="9"/>
  <c r="U38" i="10"/>
  <c r="G38" i="10"/>
  <c r="M37" i="12"/>
  <c r="I37" i="12"/>
  <c r="BK38" i="15"/>
  <c r="AE38" i="15"/>
  <c r="BK37" i="14" l="1"/>
  <c r="BI37" i="14"/>
  <c r="AE37" i="14"/>
  <c r="BL38" i="6"/>
  <c r="BJ38" i="6"/>
  <c r="AF38" i="6"/>
  <c r="W37" i="4"/>
  <c r="M37" i="3"/>
  <c r="U37" i="10"/>
  <c r="Q36" i="12" l="1"/>
  <c r="W36" i="4" l="1"/>
  <c r="M36" i="3"/>
  <c r="E36" i="3"/>
  <c r="M36" i="7"/>
  <c r="E36" i="7"/>
  <c r="U36" i="9"/>
  <c r="M36" i="9"/>
  <c r="K36" i="9"/>
  <c r="U36" i="10"/>
  <c r="G36" i="10"/>
  <c r="O35" i="12"/>
  <c r="K35" i="12"/>
  <c r="E35" i="12"/>
  <c r="G35" i="5"/>
  <c r="W35" i="4"/>
  <c r="Q35" i="4"/>
  <c r="G35" i="2"/>
  <c r="W35" i="1"/>
  <c r="Q35" i="1"/>
  <c r="M35" i="3"/>
  <c r="M35" i="7"/>
  <c r="E35" i="8"/>
  <c r="M35" i="9"/>
  <c r="K35" i="9"/>
  <c r="U35" i="10"/>
  <c r="G35" i="10"/>
  <c r="K34" i="12"/>
  <c r="BK34" i="14"/>
  <c r="AE34" i="14"/>
  <c r="W34" i="4"/>
  <c r="Q34" i="4"/>
  <c r="Q34" i="1"/>
  <c r="M34" i="3"/>
  <c r="M34" i="9"/>
  <c r="K34" i="9"/>
  <c r="U34" i="10"/>
  <c r="G34" i="10"/>
  <c r="G33" i="5"/>
  <c r="E33" i="5"/>
  <c r="W33" i="4"/>
  <c r="Q33" i="4"/>
  <c r="G33" i="2"/>
  <c r="E33" i="2"/>
  <c r="Q33" i="1"/>
  <c r="M33" i="3"/>
  <c r="E33" i="3"/>
  <c r="M33" i="7"/>
  <c r="E33" i="7"/>
  <c r="Q33" i="8"/>
  <c r="E33" i="8"/>
  <c r="U33" i="9"/>
  <c r="M33" i="9"/>
  <c r="K33" i="9"/>
  <c r="U33" i="10"/>
  <c r="G33" i="10"/>
  <c r="BK33" i="13"/>
  <c r="BE33" i="13"/>
  <c r="AE33" i="13"/>
  <c r="BK32" i="14"/>
  <c r="BE32" i="14"/>
  <c r="AE32" i="14"/>
  <c r="BL34" i="6"/>
  <c r="BF34" i="6"/>
  <c r="AF34" i="6"/>
  <c r="E32" i="5"/>
  <c r="G32" i="5"/>
  <c r="W32" i="4"/>
  <c r="Q32" i="4"/>
  <c r="G32" i="2"/>
  <c r="E32" i="2"/>
  <c r="Q32" i="1"/>
  <c r="M32" i="3"/>
  <c r="E32" i="3"/>
  <c r="M32" i="7"/>
  <c r="E32" i="7"/>
  <c r="Q32" i="8"/>
  <c r="E32" i="8"/>
  <c r="O32" i="9" l="1"/>
  <c r="M32" i="9"/>
  <c r="K32" i="9"/>
  <c r="U32" i="10"/>
  <c r="G32" i="10"/>
  <c r="K31" i="12"/>
  <c r="W31" i="4"/>
  <c r="Q31" i="4"/>
  <c r="Q31" i="1"/>
  <c r="M31" i="3"/>
  <c r="E31" i="3"/>
  <c r="K31" i="9"/>
  <c r="U31" i="10"/>
  <c r="G31" i="10"/>
  <c r="AE31" i="15"/>
  <c r="BK30" i="14"/>
  <c r="BI30" i="14"/>
  <c r="BE30" i="14"/>
  <c r="AE30" i="14"/>
  <c r="BL32" i="6"/>
  <c r="BF32" i="6"/>
  <c r="AF32" i="6"/>
  <c r="W30" i="4"/>
  <c r="Q30" i="4"/>
  <c r="I30" i="4"/>
  <c r="Q30" i="1"/>
  <c r="M30" i="3"/>
  <c r="E30" i="3"/>
  <c r="E30" i="7"/>
  <c r="O30" i="9"/>
  <c r="K30" i="9"/>
  <c r="U30" i="10"/>
  <c r="G30" i="10"/>
  <c r="E29" i="12"/>
  <c r="Q29" i="12"/>
  <c r="BI29" i="14"/>
  <c r="AE29" i="14"/>
  <c r="BL31" i="6"/>
  <c r="BJ31" i="6"/>
  <c r="AF31" i="6"/>
  <c r="W29" i="4"/>
  <c r="Q29" i="4"/>
  <c r="Q29" i="1"/>
  <c r="M29" i="3"/>
  <c r="M29" i="7"/>
  <c r="K29" i="9"/>
  <c r="U29" i="10"/>
  <c r="G29" i="10"/>
  <c r="BK28" i="14"/>
  <c r="BI28" i="14"/>
  <c r="AE28" i="14"/>
  <c r="BL30" i="6"/>
  <c r="BJ30" i="6"/>
  <c r="AF30" i="6"/>
  <c r="O28" i="5"/>
  <c r="G28" i="5"/>
  <c r="W28" i="4"/>
  <c r="G28" i="2"/>
  <c r="M28" i="3"/>
  <c r="E28" i="3"/>
  <c r="M28" i="7"/>
  <c r="E28" i="7"/>
  <c r="I28" i="8"/>
  <c r="E28" i="8"/>
  <c r="U28" i="9"/>
  <c r="U28" i="10"/>
  <c r="G28" i="10"/>
  <c r="BK27" i="14"/>
  <c r="BI27" i="14"/>
  <c r="AE27" i="14"/>
  <c r="G27" i="14"/>
  <c r="BL29" i="6"/>
  <c r="AF29" i="6"/>
  <c r="G29" i="6"/>
  <c r="E27" i="5"/>
  <c r="Q27" i="4"/>
  <c r="E27" i="2"/>
  <c r="Q27" i="1"/>
  <c r="M27" i="3"/>
  <c r="E27" i="3"/>
  <c r="E27" i="7"/>
  <c r="Q27" i="8"/>
  <c r="U27" i="10"/>
  <c r="G27" i="10"/>
  <c r="Q26" i="12"/>
  <c r="BK27" i="15"/>
  <c r="AE27" i="15"/>
  <c r="BK26" i="14"/>
  <c r="BL28" i="6"/>
  <c r="BK26" i="15"/>
  <c r="AE26" i="15"/>
  <c r="AI26" i="15" s="1"/>
  <c r="AS26" i="15" s="1"/>
  <c r="K25" i="14"/>
  <c r="W15" i="15"/>
  <c r="W26" i="15"/>
  <c r="K26" i="15"/>
  <c r="E26" i="15"/>
  <c r="AY26" i="15" s="1"/>
  <c r="BE26" i="14"/>
  <c r="AE26" i="14"/>
  <c r="BF28" i="6"/>
  <c r="AF28" i="6"/>
  <c r="E26" i="5"/>
  <c r="Q26" i="4"/>
  <c r="E26" i="2"/>
  <c r="Q26" i="1"/>
  <c r="O26" i="3"/>
  <c r="M26" i="3"/>
  <c r="O26" i="7"/>
  <c r="O26" i="9"/>
  <c r="U26" i="10"/>
  <c r="G26" i="10"/>
  <c r="BL27" i="6"/>
  <c r="BJ27" i="6"/>
  <c r="BH27" i="6"/>
  <c r="AF27" i="6"/>
  <c r="O25" i="3" l="1"/>
  <c r="M25" i="3"/>
  <c r="E25" i="3"/>
  <c r="U25" i="10"/>
  <c r="G25" i="10"/>
  <c r="BK24" i="14"/>
  <c r="BE24" i="14"/>
  <c r="AE24" i="14"/>
  <c r="Q24" i="4"/>
  <c r="Q24" i="1"/>
  <c r="M24" i="3"/>
  <c r="M24" i="7"/>
  <c r="K24" i="9"/>
  <c r="U24" i="10"/>
  <c r="G24" i="10"/>
  <c r="BK23" i="14"/>
  <c r="BI23" i="14"/>
  <c r="BE23" i="14"/>
  <c r="AE23" i="14"/>
  <c r="BL25" i="6"/>
  <c r="BJ25" i="6"/>
  <c r="BF25" i="6"/>
  <c r="AF25" i="6"/>
  <c r="G23" i="5"/>
  <c r="W23" i="4"/>
  <c r="Q23" i="4"/>
  <c r="Q23" i="1"/>
  <c r="G23" i="2"/>
  <c r="M23" i="3"/>
  <c r="M23" i="7"/>
  <c r="E23" i="8"/>
  <c r="U23" i="9"/>
  <c r="M23" i="9"/>
  <c r="K23" i="9"/>
  <c r="U23" i="10"/>
  <c r="G23" i="10"/>
  <c r="AL22" i="5"/>
  <c r="AF22" i="5"/>
  <c r="W22" i="4"/>
  <c r="M22" i="3"/>
  <c r="E22" i="3"/>
  <c r="K22" i="9"/>
  <c r="U22" i="10"/>
  <c r="G22" i="10"/>
  <c r="E22" i="7"/>
  <c r="G21" i="5"/>
  <c r="I21" i="4"/>
  <c r="G21" i="2"/>
  <c r="I21" i="1"/>
  <c r="M21" i="3"/>
  <c r="E21" i="7"/>
  <c r="E21" i="3"/>
  <c r="M21" i="7"/>
  <c r="E21" i="8"/>
  <c r="O21" i="9"/>
  <c r="K21" i="9"/>
  <c r="U21" i="10"/>
  <c r="G21" i="10"/>
  <c r="E20" i="12"/>
  <c r="O20" i="12"/>
  <c r="BK20" i="14"/>
  <c r="BI20" i="14"/>
  <c r="BE20" i="14"/>
  <c r="AE20" i="14"/>
  <c r="W20" i="4"/>
  <c r="AL20" i="5"/>
  <c r="M20" i="3"/>
  <c r="M20" i="7"/>
  <c r="M20" i="9"/>
  <c r="K20" i="9"/>
  <c r="U20" i="10"/>
  <c r="K19" i="12"/>
  <c r="BK19" i="14"/>
  <c r="BI19" i="14"/>
  <c r="BE19" i="14"/>
  <c r="AE19" i="14"/>
  <c r="BL21" i="6"/>
  <c r="BH21" i="6"/>
  <c r="BF21" i="6"/>
  <c r="AF21" i="6"/>
  <c r="W19" i="4"/>
  <c r="Q19" i="4"/>
  <c r="W19" i="1"/>
  <c r="Q19" i="1"/>
  <c r="M19" i="3"/>
  <c r="E19" i="3"/>
  <c r="M19" i="7"/>
  <c r="E19" i="7"/>
  <c r="K19" i="9"/>
  <c r="I15" i="4"/>
  <c r="U17" i="9"/>
  <c r="BK17" i="14"/>
  <c r="BI17" i="14"/>
  <c r="BE17" i="14"/>
  <c r="AE17" i="14"/>
  <c r="BL19" i="6"/>
  <c r="AJ19" i="6"/>
  <c r="AF19" i="6"/>
  <c r="AL17" i="5"/>
  <c r="W17" i="4"/>
  <c r="Q17" i="4"/>
  <c r="Q17" i="1"/>
  <c r="M17" i="3"/>
  <c r="E17" i="3"/>
  <c r="E17" i="7"/>
  <c r="M17" i="9"/>
  <c r="K17" i="9"/>
  <c r="U17" i="10"/>
  <c r="G17" i="10"/>
  <c r="Q18" i="12"/>
  <c r="I18" i="12"/>
  <c r="S18" i="12" s="1"/>
  <c r="BK18" i="14"/>
  <c r="BI18" i="14"/>
  <c r="BE18" i="14"/>
  <c r="BM18" i="14" s="1"/>
  <c r="AE18" i="14"/>
  <c r="AI18" i="14" s="1"/>
  <c r="AS18" i="14" s="1"/>
  <c r="W18" i="14"/>
  <c r="K18" i="14"/>
  <c r="E18" i="14"/>
  <c r="AY18" i="14" s="1"/>
  <c r="BL20" i="6"/>
  <c r="BJ20" i="6"/>
  <c r="BH20" i="6"/>
  <c r="BF20" i="6"/>
  <c r="AJ20" i="6"/>
  <c r="AT20" i="6" s="1"/>
  <c r="AF20" i="6"/>
  <c r="W20" i="6"/>
  <c r="K20" i="6"/>
  <c r="E20" i="6"/>
  <c r="AZ20" i="6" s="1"/>
  <c r="AH18" i="5"/>
  <c r="W18" i="4"/>
  <c r="Q18" i="4"/>
  <c r="S18" i="4" s="1"/>
  <c r="AC18" i="2"/>
  <c r="Q18" i="1"/>
  <c r="S18" i="1" s="1"/>
  <c r="M18" i="3"/>
  <c r="S18" i="3" s="1"/>
  <c r="E18" i="3"/>
  <c r="M18" i="7"/>
  <c r="S18" i="7" s="1"/>
  <c r="W18" i="8"/>
  <c r="AA18" i="9"/>
  <c r="U18" i="9"/>
  <c r="AC18" i="9" s="1"/>
  <c r="U18" i="10"/>
  <c r="Y18" i="10" s="1"/>
  <c r="AA18" i="8" s="1"/>
  <c r="M18" i="10"/>
  <c r="G18" i="10"/>
  <c r="E18" i="10" s="1"/>
  <c r="U19" i="10"/>
  <c r="G19" i="10"/>
  <c r="E16" i="12"/>
  <c r="BI16" i="14"/>
  <c r="BE16" i="14"/>
  <c r="AE16" i="14"/>
  <c r="BJ18" i="6"/>
  <c r="AF18" i="6"/>
  <c r="W16" i="4"/>
  <c r="Q16" i="4"/>
  <c r="S16" i="4" s="1"/>
  <c r="Q16" i="1"/>
  <c r="M16" i="3"/>
  <c r="M16" i="7"/>
  <c r="M16" i="9"/>
  <c r="K16" i="9"/>
  <c r="U16" i="10"/>
  <c r="G16" i="10"/>
  <c r="I15" i="12"/>
  <c r="E15" i="12"/>
  <c r="BK15" i="14"/>
  <c r="BI15" i="14"/>
  <c r="AE15" i="14"/>
  <c r="M15" i="14"/>
  <c r="G15" i="14"/>
  <c r="BL17" i="6"/>
  <c r="BJ17" i="6"/>
  <c r="AF17" i="6"/>
  <c r="M17" i="6"/>
  <c r="G17" i="6"/>
  <c r="G15" i="5"/>
  <c r="W15" i="4"/>
  <c r="Q15" i="4"/>
  <c r="G15" i="2"/>
  <c r="Q15" i="1"/>
  <c r="M15" i="3"/>
  <c r="E15" i="3"/>
  <c r="E15" i="7"/>
  <c r="E15" i="8"/>
  <c r="O15" i="9"/>
  <c r="M15" i="9"/>
  <c r="U15" i="10"/>
  <c r="G15" i="10"/>
  <c r="Q10" i="12"/>
  <c r="K10" i="12"/>
  <c r="E10" i="12"/>
  <c r="BK10" i="14"/>
  <c r="BL12" i="6"/>
  <c r="BJ12" i="6"/>
  <c r="BK15" i="15"/>
  <c r="AE15" i="15"/>
  <c r="AE14" i="14"/>
  <c r="E13" i="12"/>
  <c r="BK14" i="14"/>
  <c r="BI14" i="14"/>
  <c r="G14" i="5"/>
  <c r="E14" i="5"/>
  <c r="W14" i="4"/>
  <c r="Q14" i="4"/>
  <c r="G14" i="2"/>
  <c r="E14" i="2"/>
  <c r="Q14" i="1"/>
  <c r="M14" i="3"/>
  <c r="E14" i="3"/>
  <c r="E14" i="7"/>
  <c r="Q14" i="8"/>
  <c r="E14" i="8"/>
  <c r="U14" i="9"/>
  <c r="M14" i="9"/>
  <c r="K14" i="9"/>
  <c r="U14" i="10"/>
  <c r="G14" i="10"/>
  <c r="BK14" i="15"/>
  <c r="AE14" i="15"/>
  <c r="BK13" i="14"/>
  <c r="BE13" i="14"/>
  <c r="AE13" i="14"/>
  <c r="BL15" i="6"/>
  <c r="BF15" i="6"/>
  <c r="AF15" i="6"/>
  <c r="M13" i="7"/>
  <c r="W13" i="4"/>
  <c r="Q13" i="4"/>
  <c r="Q13" i="1"/>
  <c r="M13" i="3"/>
  <c r="U13" i="9"/>
  <c r="M13" i="9"/>
  <c r="K13" i="9"/>
  <c r="U13" i="10"/>
  <c r="G13" i="10"/>
  <c r="BK13" i="13"/>
  <c r="BE13" i="13"/>
  <c r="AE13" i="13"/>
  <c r="BK12" i="14"/>
  <c r="BI12" i="14"/>
  <c r="BE12" i="14"/>
  <c r="AE12" i="14"/>
  <c r="BL14" i="6"/>
  <c r="BF14" i="6"/>
  <c r="AF14" i="6"/>
  <c r="Q12" i="4"/>
  <c r="Q12" i="1"/>
  <c r="M12" i="3"/>
  <c r="U12" i="9"/>
  <c r="M12" i="9"/>
  <c r="K12" i="9"/>
  <c r="U12" i="10"/>
  <c r="G12" i="10"/>
  <c r="BK11" i="14"/>
  <c r="BI11" i="14"/>
  <c r="BE11" i="14"/>
  <c r="AE11" i="14"/>
  <c r="BL13" i="6"/>
  <c r="BH13" i="6"/>
  <c r="AF13" i="6"/>
  <c r="S13" i="6"/>
  <c r="W11" i="4"/>
  <c r="M11" i="3"/>
  <c r="E11" i="3"/>
  <c r="M11" i="7"/>
  <c r="M11" i="9"/>
  <c r="K11" i="9"/>
  <c r="U11" i="10"/>
  <c r="G11" i="10"/>
  <c r="BI10" i="14"/>
  <c r="AE10" i="14"/>
  <c r="AF12" i="6"/>
  <c r="AL10" i="5"/>
  <c r="G10" i="5"/>
  <c r="W10" i="4"/>
  <c r="M10" i="4"/>
  <c r="S15" i="4"/>
  <c r="G10" i="2"/>
  <c r="M10" i="1"/>
  <c r="M10" i="3"/>
  <c r="I10" i="3"/>
  <c r="E10" i="3"/>
  <c r="I10" i="7"/>
  <c r="E10" i="8"/>
  <c r="U10" i="9"/>
  <c r="G10" i="10"/>
  <c r="I10" i="10" s="1"/>
  <c r="BN20" i="6" l="1"/>
  <c r="AC32" i="2"/>
  <c r="K169" i="6" l="1"/>
  <c r="K133" i="6"/>
  <c r="K80" i="14"/>
  <c r="K82" i="6"/>
  <c r="E230" i="10"/>
  <c r="AJ222" i="6"/>
  <c r="E216" i="10"/>
  <c r="K203" i="13"/>
  <c r="K205" i="6"/>
  <c r="K202" i="6"/>
  <c r="M204" i="10"/>
  <c r="E196" i="6" l="1"/>
  <c r="K179" i="14"/>
  <c r="AI168" i="15"/>
  <c r="BN175" i="6"/>
  <c r="M171" i="10"/>
  <c r="E168" i="10"/>
  <c r="S166" i="12"/>
  <c r="E159" i="10"/>
  <c r="K157" i="6"/>
  <c r="AI147" i="13"/>
  <c r="W151" i="14"/>
  <c r="E125" i="10"/>
  <c r="E148" i="10" l="1"/>
  <c r="AH146" i="5"/>
  <c r="W141" i="14"/>
  <c r="E144" i="10"/>
  <c r="S143" i="3"/>
  <c r="S137" i="4"/>
  <c r="E136" i="10"/>
  <c r="S136" i="12"/>
  <c r="E124" i="10" l="1"/>
  <c r="AI62" i="13"/>
  <c r="E64" i="10" l="1"/>
  <c r="M64" i="10"/>
  <c r="Y64" i="10"/>
  <c r="AB64" i="10" s="1"/>
  <c r="K123" i="6"/>
  <c r="K106" i="14" l="1"/>
  <c r="E65" i="15"/>
  <c r="W97" i="8"/>
  <c r="M96" i="10"/>
  <c r="AJ93" i="6"/>
  <c r="AH85" i="5"/>
  <c r="K84" i="14"/>
  <c r="BM70" i="14"/>
  <c r="AI67" i="15"/>
  <c r="E70" i="6"/>
  <c r="M61" i="10"/>
  <c r="BN85" i="6"/>
  <c r="BN86" i="6"/>
  <c r="BN87" i="6"/>
  <c r="BN88" i="6"/>
  <c r="E49" i="6"/>
  <c r="K57" i="14"/>
  <c r="AH55" i="5"/>
  <c r="K54" i="6"/>
  <c r="E49" i="14"/>
  <c r="AH46" i="5"/>
  <c r="BM32" i="15" l="1"/>
  <c r="BM33" i="15"/>
  <c r="BM34" i="15"/>
  <c r="BM35" i="15"/>
  <c r="BM36" i="15"/>
  <c r="BM37" i="15"/>
  <c r="BM38" i="15"/>
  <c r="AI38" i="15"/>
  <c r="AS38" i="15" s="1"/>
  <c r="BN38" i="15"/>
  <c r="W38" i="15"/>
  <c r="K38" i="15"/>
  <c r="E38" i="15"/>
  <c r="E31" i="10"/>
  <c r="K28" i="6"/>
  <c r="AY38" i="15" l="1"/>
  <c r="S240" i="12"/>
  <c r="S239" i="12"/>
  <c r="S238" i="12"/>
  <c r="S236" i="12"/>
  <c r="S235" i="12"/>
  <c r="S234" i="12"/>
  <c r="S233" i="12"/>
  <c r="S231" i="12"/>
  <c r="S230" i="12"/>
  <c r="S229" i="12"/>
  <c r="S228" i="12"/>
  <c r="S227" i="12"/>
  <c r="S226" i="12"/>
  <c r="S225" i="12"/>
  <c r="S224" i="12"/>
  <c r="S223" i="12"/>
  <c r="S222" i="12"/>
  <c r="W222" i="12" s="1"/>
  <c r="S221" i="12"/>
  <c r="S220" i="12"/>
  <c r="S219" i="12"/>
  <c r="S218" i="12"/>
  <c r="S217" i="12"/>
  <c r="S216" i="12"/>
  <c r="S215" i="12"/>
  <c r="S214" i="12"/>
  <c r="S213" i="12"/>
  <c r="S212" i="12"/>
  <c r="S211" i="12"/>
  <c r="S210" i="12"/>
  <c r="S209" i="12"/>
  <c r="S208" i="12"/>
  <c r="S207" i="12"/>
  <c r="S206" i="12"/>
  <c r="S205" i="12"/>
  <c r="S204" i="12"/>
  <c r="S203" i="12"/>
  <c r="S202" i="12"/>
  <c r="S201" i="12"/>
  <c r="S200" i="12"/>
  <c r="S199" i="12"/>
  <c r="S198" i="12"/>
  <c r="S197" i="12"/>
  <c r="S196" i="12"/>
  <c r="S195" i="12"/>
  <c r="S193" i="12"/>
  <c r="S192" i="12"/>
  <c r="S191" i="12"/>
  <c r="S190" i="12"/>
  <c r="S189" i="12"/>
  <c r="S188" i="12"/>
  <c r="S187" i="12"/>
  <c r="S186" i="12"/>
  <c r="S185" i="12"/>
  <c r="S184" i="12"/>
  <c r="S183" i="12"/>
  <c r="S182" i="12"/>
  <c r="S181" i="12"/>
  <c r="S180" i="12"/>
  <c r="S179" i="12"/>
  <c r="S178" i="12"/>
  <c r="S176" i="12"/>
  <c r="S175" i="12"/>
  <c r="S174" i="12"/>
  <c r="S173" i="12"/>
  <c r="S172" i="12"/>
  <c r="S171" i="12"/>
  <c r="S170" i="12"/>
  <c r="S169" i="12"/>
  <c r="S168" i="12"/>
  <c r="S167" i="12"/>
  <c r="S165" i="12"/>
  <c r="S164" i="12"/>
  <c r="S163" i="12"/>
  <c r="S162" i="12"/>
  <c r="S161" i="12"/>
  <c r="S160" i="12"/>
  <c r="S159" i="12"/>
  <c r="S158" i="12"/>
  <c r="S157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5" i="12"/>
  <c r="S134" i="12"/>
  <c r="W134" i="12" s="1"/>
  <c r="S132" i="12"/>
  <c r="S131" i="12"/>
  <c r="S130" i="12"/>
  <c r="S129" i="12"/>
  <c r="S128" i="12"/>
  <c r="S127" i="12"/>
  <c r="S126" i="12"/>
  <c r="S125" i="12"/>
  <c r="S124" i="12"/>
  <c r="S122" i="12"/>
  <c r="S120" i="12"/>
  <c r="S119" i="12"/>
  <c r="S121" i="12" s="1"/>
  <c r="S118" i="12"/>
  <c r="S117" i="12"/>
  <c r="S116" i="12"/>
  <c r="S115" i="12"/>
  <c r="S114" i="12"/>
  <c r="S113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4" i="12"/>
  <c r="S73" i="12"/>
  <c r="S72" i="12"/>
  <c r="S71" i="12"/>
  <c r="S75" i="12" s="1"/>
  <c r="S69" i="12"/>
  <c r="S67" i="12"/>
  <c r="S66" i="12"/>
  <c r="S68" i="12" s="1"/>
  <c r="S64" i="12"/>
  <c r="S63" i="12"/>
  <c r="S62" i="12"/>
  <c r="S61" i="12"/>
  <c r="S60" i="12"/>
  <c r="S59" i="12"/>
  <c r="S58" i="12"/>
  <c r="S57" i="12"/>
  <c r="S56" i="12"/>
  <c r="S55" i="12"/>
  <c r="S54" i="12"/>
  <c r="S53" i="12"/>
  <c r="S51" i="12"/>
  <c r="S50" i="12"/>
  <c r="S49" i="12"/>
  <c r="S48" i="12"/>
  <c r="S47" i="12"/>
  <c r="S46" i="12"/>
  <c r="S45" i="12"/>
  <c r="S44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7" i="12"/>
  <c r="S16" i="12"/>
  <c r="S15" i="12"/>
  <c r="S14" i="12"/>
  <c r="S13" i="12"/>
  <c r="S12" i="12"/>
  <c r="AI234" i="15"/>
  <c r="AS234" i="15" s="1"/>
  <c r="AS233" i="15"/>
  <c r="AI233" i="15"/>
  <c r="AI232" i="15"/>
  <c r="AS232" i="15" s="1"/>
  <c r="AI231" i="15"/>
  <c r="AS231" i="15" s="1"/>
  <c r="AI230" i="15"/>
  <c r="AS230" i="15" s="1"/>
  <c r="AI229" i="15"/>
  <c r="AS229" i="15" s="1"/>
  <c r="AI228" i="15"/>
  <c r="AS228" i="15" s="1"/>
  <c r="AI227" i="15"/>
  <c r="AS227" i="15" s="1"/>
  <c r="AI226" i="15"/>
  <c r="AS226" i="15" s="1"/>
  <c r="AI225" i="15"/>
  <c r="AS225" i="15" s="1"/>
  <c r="AI224" i="15"/>
  <c r="AS224" i="15" s="1"/>
  <c r="AI223" i="15"/>
  <c r="AS223" i="15" s="1"/>
  <c r="AI222" i="15"/>
  <c r="AS222" i="15" s="1"/>
  <c r="AI221" i="15"/>
  <c r="AS221" i="15" s="1"/>
  <c r="AI220" i="15"/>
  <c r="AS220" i="15" s="1"/>
  <c r="AI219" i="15"/>
  <c r="AS219" i="15" s="1"/>
  <c r="AI218" i="15"/>
  <c r="AS218" i="15" s="1"/>
  <c r="AI217" i="15"/>
  <c r="AS217" i="15" s="1"/>
  <c r="AI216" i="15"/>
  <c r="AS216" i="15" s="1"/>
  <c r="AI215" i="15"/>
  <c r="AS215" i="15" s="1"/>
  <c r="AI214" i="15"/>
  <c r="AS214" i="15" s="1"/>
  <c r="AI213" i="15"/>
  <c r="AS213" i="15" s="1"/>
  <c r="AI212" i="15"/>
  <c r="AS212" i="15" s="1"/>
  <c r="AI211" i="15"/>
  <c r="AS211" i="15" s="1"/>
  <c r="AI210" i="15"/>
  <c r="AS210" i="15" s="1"/>
  <c r="AI209" i="15"/>
  <c r="AS209" i="15" s="1"/>
  <c r="AI208" i="15"/>
  <c r="AS208" i="15" s="1"/>
  <c r="AI207" i="15"/>
  <c r="AS207" i="15" s="1"/>
  <c r="AI206" i="15"/>
  <c r="AS206" i="15" s="1"/>
  <c r="AI205" i="15"/>
  <c r="AS205" i="15" s="1"/>
  <c r="AI204" i="15"/>
  <c r="AS204" i="15" s="1"/>
  <c r="AI203" i="15"/>
  <c r="AS203" i="15" s="1"/>
  <c r="AI202" i="15"/>
  <c r="AS202" i="15" s="1"/>
  <c r="AI201" i="15"/>
  <c r="AS201" i="15" s="1"/>
  <c r="AI200" i="15"/>
  <c r="AS200" i="15" s="1"/>
  <c r="AI199" i="15"/>
  <c r="AS199" i="15" s="1"/>
  <c r="AI198" i="15"/>
  <c r="AS198" i="15" s="1"/>
  <c r="AI197" i="15"/>
  <c r="AS197" i="15" s="1"/>
  <c r="AI196" i="15"/>
  <c r="AS196" i="15" s="1"/>
  <c r="AI195" i="15"/>
  <c r="AS195" i="15" s="1"/>
  <c r="AI194" i="15"/>
  <c r="AS194" i="15" s="1"/>
  <c r="AI193" i="15"/>
  <c r="AS193" i="15" s="1"/>
  <c r="AI192" i="15"/>
  <c r="AS192" i="15" s="1"/>
  <c r="AI191" i="15"/>
  <c r="AS191" i="15" s="1"/>
  <c r="AI190" i="15"/>
  <c r="AS190" i="15" s="1"/>
  <c r="AI189" i="15"/>
  <c r="AS189" i="15" s="1"/>
  <c r="AI188" i="15"/>
  <c r="AS188" i="15" s="1"/>
  <c r="AI187" i="15"/>
  <c r="AS187" i="15" s="1"/>
  <c r="AI186" i="15"/>
  <c r="AS186" i="15" s="1"/>
  <c r="AI185" i="15"/>
  <c r="AS185" i="15" s="1"/>
  <c r="AI184" i="15"/>
  <c r="AS184" i="15" s="1"/>
  <c r="AI183" i="15"/>
  <c r="AS183" i="15" s="1"/>
  <c r="AI182" i="15"/>
  <c r="AS182" i="15" s="1"/>
  <c r="AI181" i="15"/>
  <c r="AS181" i="15" s="1"/>
  <c r="AI180" i="15"/>
  <c r="AS180" i="15" s="1"/>
  <c r="AI179" i="15"/>
  <c r="AS179" i="15" s="1"/>
  <c r="AI178" i="15"/>
  <c r="AS178" i="15" s="1"/>
  <c r="AI177" i="15"/>
  <c r="AS177" i="15" s="1"/>
  <c r="AI176" i="15"/>
  <c r="AS176" i="15" s="1"/>
  <c r="AI175" i="15"/>
  <c r="AS175" i="15" s="1"/>
  <c r="AI174" i="15"/>
  <c r="AS174" i="15" s="1"/>
  <c r="AI173" i="15"/>
  <c r="AS173" i="15" s="1"/>
  <c r="AI172" i="15"/>
  <c r="AS172" i="15" s="1"/>
  <c r="AI171" i="15"/>
  <c r="AS171" i="15" s="1"/>
  <c r="AI170" i="15"/>
  <c r="AS170" i="15" s="1"/>
  <c r="AI169" i="15"/>
  <c r="AS169" i="15" s="1"/>
  <c r="AS168" i="15"/>
  <c r="AI167" i="15"/>
  <c r="AS167" i="15" s="1"/>
  <c r="AI166" i="15"/>
  <c r="AS166" i="15" s="1"/>
  <c r="AI165" i="15"/>
  <c r="AS165" i="15" s="1"/>
  <c r="AI164" i="15"/>
  <c r="AS164" i="15" s="1"/>
  <c r="AI163" i="15"/>
  <c r="AS163" i="15" s="1"/>
  <c r="AI162" i="15"/>
  <c r="AS162" i="15" s="1"/>
  <c r="AI161" i="15"/>
  <c r="AS161" i="15" s="1"/>
  <c r="AI160" i="15"/>
  <c r="AS160" i="15" s="1"/>
  <c r="AI159" i="15"/>
  <c r="AS159" i="15" s="1"/>
  <c r="AI158" i="15"/>
  <c r="AS158" i="15" s="1"/>
  <c r="AI157" i="15"/>
  <c r="AS157" i="15" s="1"/>
  <c r="AI156" i="15"/>
  <c r="AS156" i="15" s="1"/>
  <c r="AI155" i="15"/>
  <c r="AS155" i="15" s="1"/>
  <c r="AI154" i="15"/>
  <c r="AS154" i="15" s="1"/>
  <c r="AI153" i="15"/>
  <c r="AS153" i="15" s="1"/>
  <c r="AI152" i="15"/>
  <c r="AS152" i="15" s="1"/>
  <c r="AI151" i="15"/>
  <c r="AS151" i="15" s="1"/>
  <c r="AI150" i="15"/>
  <c r="AS150" i="15" s="1"/>
  <c r="AI148" i="15"/>
  <c r="AS148" i="15" s="1"/>
  <c r="AI147" i="15"/>
  <c r="AS147" i="15" s="1"/>
  <c r="AI146" i="15"/>
  <c r="AS146" i="15" s="1"/>
  <c r="AI145" i="15"/>
  <c r="AS145" i="15" s="1"/>
  <c r="AI144" i="15"/>
  <c r="AS144" i="15" s="1"/>
  <c r="AI143" i="15"/>
  <c r="AS143" i="15" s="1"/>
  <c r="AI142" i="15"/>
  <c r="AS142" i="15" s="1"/>
  <c r="AI141" i="15"/>
  <c r="AS141" i="15" s="1"/>
  <c r="AI140" i="15"/>
  <c r="AS140" i="15" s="1"/>
  <c r="AI139" i="15"/>
  <c r="AS139" i="15" s="1"/>
  <c r="AI138" i="15"/>
  <c r="AS138" i="15" s="1"/>
  <c r="AI137" i="15"/>
  <c r="AS137" i="15" s="1"/>
  <c r="AI136" i="15"/>
  <c r="AS136" i="15" s="1"/>
  <c r="AI135" i="15"/>
  <c r="AS135" i="15" s="1"/>
  <c r="AI134" i="15"/>
  <c r="AS134" i="15" s="1"/>
  <c r="AI133" i="15"/>
  <c r="AS133" i="15" s="1"/>
  <c r="AI132" i="15"/>
  <c r="AS132" i="15" s="1"/>
  <c r="AI131" i="15"/>
  <c r="AS131" i="15" s="1"/>
  <c r="AI130" i="15"/>
  <c r="AS130" i="15" s="1"/>
  <c r="AI129" i="15"/>
  <c r="AS129" i="15" s="1"/>
  <c r="AI128" i="15"/>
  <c r="AS128" i="15" s="1"/>
  <c r="AI127" i="15"/>
  <c r="AS127" i="15" s="1"/>
  <c r="AI126" i="15"/>
  <c r="AS126" i="15" s="1"/>
  <c r="AI125" i="15"/>
  <c r="AS125" i="15" s="1"/>
  <c r="AI124" i="15"/>
  <c r="AS124" i="15" s="1"/>
  <c r="AI123" i="15"/>
  <c r="AS123" i="15" s="1"/>
  <c r="AI122" i="15"/>
  <c r="AS122" i="15" s="1"/>
  <c r="AI121" i="15"/>
  <c r="AS121" i="15" s="1"/>
  <c r="AI120" i="15"/>
  <c r="AS120" i="15" s="1"/>
  <c r="AI119" i="15"/>
  <c r="AS119" i="15" s="1"/>
  <c r="AI118" i="15"/>
  <c r="AS118" i="15" s="1"/>
  <c r="AI117" i="15"/>
  <c r="AS117" i="15" s="1"/>
  <c r="AI116" i="15"/>
  <c r="AS116" i="15" s="1"/>
  <c r="AI114" i="15"/>
  <c r="AS114" i="15" s="1"/>
  <c r="AI113" i="15"/>
  <c r="AS113" i="15" s="1"/>
  <c r="AI112" i="15"/>
  <c r="AS112" i="15" s="1"/>
  <c r="AI111" i="15"/>
  <c r="AS111" i="15" s="1"/>
  <c r="AI110" i="15"/>
  <c r="AS110" i="15" s="1"/>
  <c r="AI109" i="15"/>
  <c r="AS109" i="15" s="1"/>
  <c r="AI107" i="15"/>
  <c r="AS107" i="15" s="1"/>
  <c r="AI106" i="15"/>
  <c r="AS106" i="15" s="1"/>
  <c r="AI105" i="15"/>
  <c r="AS105" i="15" s="1"/>
  <c r="AI104" i="15"/>
  <c r="AS104" i="15" s="1"/>
  <c r="AI103" i="15"/>
  <c r="AS103" i="15" s="1"/>
  <c r="AI102" i="15"/>
  <c r="AS102" i="15" s="1"/>
  <c r="AI101" i="15"/>
  <c r="AS101" i="15" s="1"/>
  <c r="AI100" i="15"/>
  <c r="AS100" i="15" s="1"/>
  <c r="AI99" i="15"/>
  <c r="AS99" i="15" s="1"/>
  <c r="AI98" i="15"/>
  <c r="AS98" i="15" s="1"/>
  <c r="AI97" i="15"/>
  <c r="AS97" i="15" s="1"/>
  <c r="AI95" i="15"/>
  <c r="AS95" i="15" s="1"/>
  <c r="AI94" i="15"/>
  <c r="AS94" i="15" s="1"/>
  <c r="AI93" i="15"/>
  <c r="AS93" i="15" s="1"/>
  <c r="AI92" i="15"/>
  <c r="AS92" i="15" s="1"/>
  <c r="AI91" i="15"/>
  <c r="AS91" i="15" s="1"/>
  <c r="AI90" i="15"/>
  <c r="AS90" i="15" s="1"/>
  <c r="AI89" i="15"/>
  <c r="AS89" i="15" s="1"/>
  <c r="AI88" i="15"/>
  <c r="AS88" i="15" s="1"/>
  <c r="AI87" i="15"/>
  <c r="AS87" i="15" s="1"/>
  <c r="AI86" i="15"/>
  <c r="AS86" i="15" s="1"/>
  <c r="AI85" i="15"/>
  <c r="AS85" i="15" s="1"/>
  <c r="AI84" i="15"/>
  <c r="AS84" i="15" s="1"/>
  <c r="AI83" i="15"/>
  <c r="AS83" i="15" s="1"/>
  <c r="AI82" i="15"/>
  <c r="AS82" i="15" s="1"/>
  <c r="AI81" i="15"/>
  <c r="AS81" i="15" s="1"/>
  <c r="AI80" i="15"/>
  <c r="AS80" i="15" s="1"/>
  <c r="AI79" i="15"/>
  <c r="AS79" i="15" s="1"/>
  <c r="AI78" i="15"/>
  <c r="AS78" i="15" s="1"/>
  <c r="AI77" i="15"/>
  <c r="AS77" i="15" s="1"/>
  <c r="AI76" i="15"/>
  <c r="AS76" i="15" s="1"/>
  <c r="AI75" i="15"/>
  <c r="AS75" i="15" s="1"/>
  <c r="AI74" i="15"/>
  <c r="AS74" i="15" s="1"/>
  <c r="AI73" i="15"/>
  <c r="AS73" i="15" s="1"/>
  <c r="AI72" i="15"/>
  <c r="AS72" i="15" s="1"/>
  <c r="AI71" i="15"/>
  <c r="AS71" i="15" s="1"/>
  <c r="AI70" i="15"/>
  <c r="AS70" i="15" s="1"/>
  <c r="AI69" i="15"/>
  <c r="AS69" i="15" s="1"/>
  <c r="AI68" i="15"/>
  <c r="AS68" i="15" s="1"/>
  <c r="AS67" i="15"/>
  <c r="AI66" i="15"/>
  <c r="AS66" i="15" s="1"/>
  <c r="AI65" i="15"/>
  <c r="AS65" i="15" s="1"/>
  <c r="AI64" i="15"/>
  <c r="AS64" i="15" s="1"/>
  <c r="AI63" i="15"/>
  <c r="AS63" i="15" s="1"/>
  <c r="AI62" i="15"/>
  <c r="AS62" i="15" s="1"/>
  <c r="K118" i="15"/>
  <c r="E118" i="15"/>
  <c r="K117" i="15"/>
  <c r="E117" i="15"/>
  <c r="K116" i="15"/>
  <c r="E116" i="15"/>
  <c r="K115" i="15"/>
  <c r="E115" i="15"/>
  <c r="K114" i="15"/>
  <c r="E114" i="15"/>
  <c r="K113" i="15"/>
  <c r="E113" i="15"/>
  <c r="K112" i="15"/>
  <c r="E112" i="15"/>
  <c r="K111" i="15"/>
  <c r="E111" i="15"/>
  <c r="K110" i="15"/>
  <c r="E110" i="15"/>
  <c r="K109" i="15"/>
  <c r="E109" i="15"/>
  <c r="K107" i="15"/>
  <c r="E107" i="15"/>
  <c r="K106" i="15"/>
  <c r="E106" i="15"/>
  <c r="K105" i="15"/>
  <c r="E105" i="15"/>
  <c r="K104" i="15"/>
  <c r="E104" i="15"/>
  <c r="K103" i="15"/>
  <c r="E103" i="15"/>
  <c r="K102" i="15"/>
  <c r="E102" i="15"/>
  <c r="K101" i="15"/>
  <c r="E101" i="15"/>
  <c r="K100" i="15"/>
  <c r="E100" i="15"/>
  <c r="K99" i="15"/>
  <c r="E99" i="15"/>
  <c r="K98" i="15"/>
  <c r="E98" i="15"/>
  <c r="K97" i="15"/>
  <c r="E97" i="15"/>
  <c r="K95" i="15"/>
  <c r="E95" i="15"/>
  <c r="K94" i="15"/>
  <c r="E94" i="15"/>
  <c r="K93" i="15"/>
  <c r="E93" i="15"/>
  <c r="K92" i="15"/>
  <c r="E92" i="15"/>
  <c r="K91" i="15"/>
  <c r="E91" i="15"/>
  <c r="K90" i="15"/>
  <c r="E90" i="15"/>
  <c r="K89" i="15"/>
  <c r="E89" i="15"/>
  <c r="K88" i="15"/>
  <c r="E88" i="15"/>
  <c r="K87" i="15"/>
  <c r="E87" i="15"/>
  <c r="K86" i="15"/>
  <c r="E86" i="15"/>
  <c r="K85" i="15"/>
  <c r="E85" i="15"/>
  <c r="K84" i="15"/>
  <c r="E84" i="15"/>
  <c r="K83" i="15"/>
  <c r="E83" i="15"/>
  <c r="K82" i="15"/>
  <c r="E82" i="15"/>
  <c r="K81" i="15"/>
  <c r="E81" i="15"/>
  <c r="K80" i="15"/>
  <c r="E80" i="15"/>
  <c r="K79" i="15"/>
  <c r="E79" i="15"/>
  <c r="K78" i="15"/>
  <c r="E78" i="15"/>
  <c r="K77" i="15"/>
  <c r="E77" i="15"/>
  <c r="K76" i="15"/>
  <c r="E76" i="15"/>
  <c r="K75" i="15"/>
  <c r="E75" i="15"/>
  <c r="K74" i="15"/>
  <c r="E74" i="15"/>
  <c r="K73" i="15"/>
  <c r="E73" i="15"/>
  <c r="K72" i="15"/>
  <c r="E72" i="15"/>
  <c r="K71" i="15"/>
  <c r="E71" i="15"/>
  <c r="K70" i="15"/>
  <c r="E70" i="15"/>
  <c r="K69" i="15"/>
  <c r="E69" i="15"/>
  <c r="K68" i="15"/>
  <c r="E68" i="15"/>
  <c r="K67" i="15"/>
  <c r="E67" i="15"/>
  <c r="K66" i="15"/>
  <c r="E66" i="15"/>
  <c r="K65" i="15"/>
  <c r="AY65" i="15" s="1"/>
  <c r="K64" i="15"/>
  <c r="E64" i="15"/>
  <c r="K63" i="15"/>
  <c r="E63" i="15"/>
  <c r="K62" i="15"/>
  <c r="E62" i="15"/>
  <c r="K61" i="15"/>
  <c r="E61" i="15"/>
  <c r="K60" i="15"/>
  <c r="E60" i="15"/>
  <c r="K59" i="15"/>
  <c r="E59" i="15"/>
  <c r="K58" i="15"/>
  <c r="E58" i="15"/>
  <c r="K57" i="15"/>
  <c r="E57" i="15"/>
  <c r="K56" i="15"/>
  <c r="E56" i="15"/>
  <c r="K55" i="15"/>
  <c r="E55" i="15"/>
  <c r="K54" i="15"/>
  <c r="E54" i="15"/>
  <c r="K53" i="15"/>
  <c r="E53" i="15"/>
  <c r="K52" i="15"/>
  <c r="E52" i="15"/>
  <c r="K51" i="15"/>
  <c r="E51" i="15"/>
  <c r="K50" i="15"/>
  <c r="E50" i="15"/>
  <c r="K49" i="15"/>
  <c r="E49" i="15"/>
  <c r="K48" i="15"/>
  <c r="E48" i="15"/>
  <c r="K47" i="15"/>
  <c r="E47" i="15"/>
  <c r="K43" i="15"/>
  <c r="E43" i="15"/>
  <c r="K42" i="15"/>
  <c r="E42" i="15"/>
  <c r="K41" i="15"/>
  <c r="E41" i="15"/>
  <c r="K40" i="15"/>
  <c r="E40" i="15"/>
  <c r="K39" i="15"/>
  <c r="E39" i="15"/>
  <c r="K37" i="15"/>
  <c r="E37" i="15"/>
  <c r="K36" i="15"/>
  <c r="E36" i="15"/>
  <c r="K35" i="15"/>
  <c r="E35" i="15"/>
  <c r="K34" i="15"/>
  <c r="E34" i="15"/>
  <c r="K33" i="15"/>
  <c r="E33" i="15"/>
  <c r="K32" i="15"/>
  <c r="E32" i="15"/>
  <c r="K31" i="15"/>
  <c r="E31" i="15"/>
  <c r="K30" i="15"/>
  <c r="E30" i="15"/>
  <c r="K29" i="15"/>
  <c r="E29" i="15"/>
  <c r="K234" i="15"/>
  <c r="E234" i="15"/>
  <c r="K233" i="15"/>
  <c r="E233" i="15"/>
  <c r="K232" i="15"/>
  <c r="E232" i="15"/>
  <c r="K231" i="15"/>
  <c r="E231" i="15"/>
  <c r="K230" i="15"/>
  <c r="E230" i="15"/>
  <c r="K229" i="15"/>
  <c r="E229" i="15"/>
  <c r="K228" i="15"/>
  <c r="E228" i="15"/>
  <c r="K227" i="15"/>
  <c r="E227" i="15"/>
  <c r="K226" i="15"/>
  <c r="E226" i="15"/>
  <c r="K225" i="15"/>
  <c r="E225" i="15"/>
  <c r="K224" i="15"/>
  <c r="E224" i="15"/>
  <c r="K223" i="15"/>
  <c r="E223" i="15"/>
  <c r="K222" i="15"/>
  <c r="E222" i="15"/>
  <c r="K221" i="15"/>
  <c r="E221" i="15"/>
  <c r="K220" i="15"/>
  <c r="E220" i="15"/>
  <c r="K219" i="15"/>
  <c r="E219" i="15"/>
  <c r="K218" i="15"/>
  <c r="E218" i="15"/>
  <c r="K217" i="15"/>
  <c r="E217" i="15"/>
  <c r="K216" i="15"/>
  <c r="E216" i="15"/>
  <c r="K215" i="15"/>
  <c r="E215" i="15"/>
  <c r="K214" i="15"/>
  <c r="E214" i="15"/>
  <c r="K213" i="15"/>
  <c r="E213" i="15"/>
  <c r="K212" i="15"/>
  <c r="E212" i="15"/>
  <c r="K211" i="15"/>
  <c r="E211" i="15"/>
  <c r="K210" i="15"/>
  <c r="E210" i="15"/>
  <c r="K209" i="15"/>
  <c r="E209" i="15"/>
  <c r="K208" i="15"/>
  <c r="E208" i="15"/>
  <c r="K207" i="15"/>
  <c r="E207" i="15"/>
  <c r="K206" i="15"/>
  <c r="E206" i="15"/>
  <c r="K205" i="15"/>
  <c r="E205" i="15"/>
  <c r="K204" i="15"/>
  <c r="E204" i="15"/>
  <c r="K203" i="15"/>
  <c r="E203" i="15"/>
  <c r="K202" i="15"/>
  <c r="E202" i="15"/>
  <c r="K201" i="15"/>
  <c r="E201" i="15"/>
  <c r="K200" i="15"/>
  <c r="E200" i="15"/>
  <c r="K199" i="15"/>
  <c r="E199" i="15"/>
  <c r="K198" i="15"/>
  <c r="E198" i="15"/>
  <c r="K197" i="15"/>
  <c r="E197" i="15"/>
  <c r="K196" i="15"/>
  <c r="E196" i="15"/>
  <c r="K195" i="15"/>
  <c r="E195" i="15"/>
  <c r="K194" i="15"/>
  <c r="E194" i="15"/>
  <c r="K193" i="15"/>
  <c r="E193" i="15"/>
  <c r="K192" i="15"/>
  <c r="E192" i="15"/>
  <c r="K191" i="15"/>
  <c r="E191" i="15"/>
  <c r="K190" i="15"/>
  <c r="E190" i="15"/>
  <c r="K189" i="15"/>
  <c r="E189" i="15"/>
  <c r="K188" i="15"/>
  <c r="E188" i="15"/>
  <c r="K187" i="15"/>
  <c r="E187" i="15"/>
  <c r="K186" i="15"/>
  <c r="E186" i="15"/>
  <c r="K185" i="15"/>
  <c r="E185" i="15"/>
  <c r="K184" i="15"/>
  <c r="E184" i="15"/>
  <c r="K183" i="15"/>
  <c r="E183" i="15"/>
  <c r="K182" i="15"/>
  <c r="E182" i="15"/>
  <c r="K181" i="15"/>
  <c r="E181" i="15"/>
  <c r="K180" i="15"/>
  <c r="E180" i="15"/>
  <c r="K179" i="15"/>
  <c r="E179" i="15"/>
  <c r="K178" i="15"/>
  <c r="E178" i="15"/>
  <c r="K177" i="15"/>
  <c r="E177" i="15"/>
  <c r="K176" i="15"/>
  <c r="E176" i="15"/>
  <c r="K175" i="15"/>
  <c r="E175" i="15"/>
  <c r="K174" i="15"/>
  <c r="E174" i="15"/>
  <c r="K173" i="15"/>
  <c r="E173" i="15"/>
  <c r="K172" i="15"/>
  <c r="E172" i="15"/>
  <c r="K171" i="15"/>
  <c r="E171" i="15"/>
  <c r="K170" i="15"/>
  <c r="E170" i="15"/>
  <c r="K169" i="15"/>
  <c r="E169" i="15"/>
  <c r="K168" i="15"/>
  <c r="E168" i="15"/>
  <c r="K167" i="15"/>
  <c r="E167" i="15"/>
  <c r="K166" i="15"/>
  <c r="E166" i="15"/>
  <c r="K165" i="15"/>
  <c r="E165" i="15"/>
  <c r="K164" i="15"/>
  <c r="E164" i="15"/>
  <c r="K163" i="15"/>
  <c r="E163" i="15"/>
  <c r="K162" i="15"/>
  <c r="E162" i="15"/>
  <c r="K161" i="15"/>
  <c r="E161" i="15"/>
  <c r="K160" i="15"/>
  <c r="E160" i="15"/>
  <c r="K159" i="15"/>
  <c r="E159" i="15"/>
  <c r="K158" i="15"/>
  <c r="E158" i="15"/>
  <c r="K157" i="15"/>
  <c r="E157" i="15"/>
  <c r="K156" i="15"/>
  <c r="E156" i="15"/>
  <c r="K155" i="15"/>
  <c r="E155" i="15"/>
  <c r="K154" i="15"/>
  <c r="E154" i="15"/>
  <c r="K153" i="15"/>
  <c r="E153" i="15"/>
  <c r="K152" i="15"/>
  <c r="E152" i="15"/>
  <c r="K151" i="15"/>
  <c r="E151" i="15"/>
  <c r="K150" i="15"/>
  <c r="E150" i="15"/>
  <c r="K148" i="15"/>
  <c r="E148" i="15"/>
  <c r="K147" i="15"/>
  <c r="E147" i="15"/>
  <c r="K146" i="15"/>
  <c r="E146" i="15"/>
  <c r="K145" i="15"/>
  <c r="E145" i="15"/>
  <c r="K144" i="15"/>
  <c r="E144" i="15"/>
  <c r="K143" i="15"/>
  <c r="E143" i="15"/>
  <c r="K142" i="15"/>
  <c r="E142" i="15"/>
  <c r="K141" i="15"/>
  <c r="E141" i="15"/>
  <c r="K140" i="15"/>
  <c r="E140" i="15"/>
  <c r="K139" i="15"/>
  <c r="E139" i="15"/>
  <c r="K138" i="15"/>
  <c r="E138" i="15"/>
  <c r="K137" i="15"/>
  <c r="E137" i="15"/>
  <c r="K136" i="15"/>
  <c r="E136" i="15"/>
  <c r="K135" i="15"/>
  <c r="E135" i="15"/>
  <c r="K134" i="15"/>
  <c r="E134" i="15"/>
  <c r="K133" i="15"/>
  <c r="E133" i="15"/>
  <c r="K132" i="15"/>
  <c r="E132" i="15"/>
  <c r="K131" i="15"/>
  <c r="E131" i="15"/>
  <c r="K130" i="15"/>
  <c r="E130" i="15"/>
  <c r="K129" i="15"/>
  <c r="E129" i="15"/>
  <c r="K128" i="15"/>
  <c r="E128" i="15"/>
  <c r="K127" i="15"/>
  <c r="E127" i="15"/>
  <c r="K126" i="15"/>
  <c r="E126" i="15"/>
  <c r="K125" i="15"/>
  <c r="E125" i="15"/>
  <c r="AI236" i="13"/>
  <c r="AS236" i="13" s="1"/>
  <c r="AI235" i="13"/>
  <c r="AS235" i="13" s="1"/>
  <c r="AI234" i="13"/>
  <c r="AS234" i="13" s="1"/>
  <c r="AI233" i="13"/>
  <c r="AS233" i="13" s="1"/>
  <c r="AI232" i="13"/>
  <c r="AS232" i="13" s="1"/>
  <c r="AI231" i="13"/>
  <c r="AS231" i="13" s="1"/>
  <c r="AI230" i="13"/>
  <c r="AS230" i="13" s="1"/>
  <c r="AI229" i="13"/>
  <c r="AS229" i="13" s="1"/>
  <c r="AI228" i="13"/>
  <c r="AS228" i="13" s="1"/>
  <c r="AI227" i="13"/>
  <c r="AS227" i="13" s="1"/>
  <c r="AI226" i="13"/>
  <c r="AS226" i="13" s="1"/>
  <c r="AI225" i="13"/>
  <c r="AS225" i="13" s="1"/>
  <c r="AI224" i="13"/>
  <c r="AS224" i="13" s="1"/>
  <c r="AI223" i="13"/>
  <c r="AS223" i="13" s="1"/>
  <c r="AI222" i="13"/>
  <c r="AS222" i="13" s="1"/>
  <c r="AI221" i="13"/>
  <c r="AS221" i="13" s="1"/>
  <c r="AI220" i="13"/>
  <c r="AS220" i="13" s="1"/>
  <c r="AI219" i="13"/>
  <c r="AS219" i="13" s="1"/>
  <c r="AI218" i="13"/>
  <c r="AS218" i="13" s="1"/>
  <c r="AI217" i="13"/>
  <c r="AS217" i="13" s="1"/>
  <c r="AI216" i="13"/>
  <c r="AS216" i="13" s="1"/>
  <c r="AI215" i="13"/>
  <c r="AS215" i="13" s="1"/>
  <c r="AI214" i="13"/>
  <c r="AS214" i="13" s="1"/>
  <c r="AI213" i="13"/>
  <c r="AS213" i="13" s="1"/>
  <c r="AI212" i="13"/>
  <c r="AS212" i="13" s="1"/>
  <c r="AI211" i="13"/>
  <c r="AS211" i="13" s="1"/>
  <c r="AI210" i="13"/>
  <c r="AS210" i="13" s="1"/>
  <c r="AI209" i="13"/>
  <c r="AS209" i="13" s="1"/>
  <c r="AI208" i="13"/>
  <c r="AS208" i="13" s="1"/>
  <c r="AI207" i="13"/>
  <c r="AS207" i="13" s="1"/>
  <c r="AI206" i="13"/>
  <c r="AS206" i="13" s="1"/>
  <c r="AI205" i="13"/>
  <c r="AS205" i="13" s="1"/>
  <c r="AI204" i="13"/>
  <c r="AS204" i="13" s="1"/>
  <c r="AI203" i="13"/>
  <c r="AS203" i="13" s="1"/>
  <c r="AI202" i="13"/>
  <c r="AS202" i="13" s="1"/>
  <c r="AI201" i="13"/>
  <c r="AS201" i="13" s="1"/>
  <c r="AI200" i="13"/>
  <c r="AS200" i="13" s="1"/>
  <c r="AI199" i="13"/>
  <c r="AS199" i="13" s="1"/>
  <c r="AI198" i="13"/>
  <c r="AS198" i="13" s="1"/>
  <c r="AI197" i="13"/>
  <c r="AS197" i="13" s="1"/>
  <c r="AI196" i="13"/>
  <c r="AS196" i="13" s="1"/>
  <c r="AI195" i="13"/>
  <c r="AS195" i="13" s="1"/>
  <c r="AI194" i="13"/>
  <c r="AS194" i="13" s="1"/>
  <c r="AI193" i="13"/>
  <c r="AS193" i="13" s="1"/>
  <c r="AI192" i="13"/>
  <c r="AS192" i="13" s="1"/>
  <c r="AI191" i="13"/>
  <c r="AS191" i="13" s="1"/>
  <c r="AI190" i="13"/>
  <c r="AS190" i="13" s="1"/>
  <c r="AI189" i="13"/>
  <c r="AS189" i="13" s="1"/>
  <c r="AI188" i="13"/>
  <c r="AS188" i="13" s="1"/>
  <c r="AI187" i="13"/>
  <c r="AS187" i="13" s="1"/>
  <c r="AI186" i="13"/>
  <c r="AS186" i="13" s="1"/>
  <c r="AI185" i="13"/>
  <c r="AS185" i="13" s="1"/>
  <c r="AI184" i="13"/>
  <c r="AS184" i="13" s="1"/>
  <c r="AI183" i="13"/>
  <c r="AS183" i="13" s="1"/>
  <c r="AI182" i="13"/>
  <c r="AS182" i="13" s="1"/>
  <c r="AI181" i="13"/>
  <c r="AS181" i="13" s="1"/>
  <c r="AI180" i="13"/>
  <c r="AS180" i="13" s="1"/>
  <c r="AI179" i="13"/>
  <c r="AS179" i="13" s="1"/>
  <c r="AI178" i="13"/>
  <c r="AS178" i="13" s="1"/>
  <c r="AI177" i="13"/>
  <c r="AS177" i="13" s="1"/>
  <c r="AI176" i="13"/>
  <c r="AS176" i="13" s="1"/>
  <c r="AI175" i="13"/>
  <c r="AS175" i="13" s="1"/>
  <c r="AI174" i="13"/>
  <c r="AS174" i="13" s="1"/>
  <c r="AI173" i="13"/>
  <c r="AS173" i="13" s="1"/>
  <c r="AI172" i="13"/>
  <c r="AS172" i="13" s="1"/>
  <c r="AI171" i="13"/>
  <c r="AS171" i="13" s="1"/>
  <c r="AI170" i="13"/>
  <c r="AS170" i="13" s="1"/>
  <c r="AI169" i="13"/>
  <c r="AS169" i="13" s="1"/>
  <c r="AI168" i="13"/>
  <c r="AS168" i="13" s="1"/>
  <c r="AI167" i="13"/>
  <c r="AS167" i="13" s="1"/>
  <c r="AI166" i="13"/>
  <c r="AS166" i="13" s="1"/>
  <c r="AI165" i="13"/>
  <c r="AS165" i="13" s="1"/>
  <c r="AI164" i="13"/>
  <c r="AS164" i="13" s="1"/>
  <c r="AI163" i="13"/>
  <c r="AS163" i="13" s="1"/>
  <c r="AI162" i="13"/>
  <c r="AS162" i="13" s="1"/>
  <c r="AI161" i="13"/>
  <c r="AS161" i="13" s="1"/>
  <c r="AI160" i="13"/>
  <c r="AS160" i="13" s="1"/>
  <c r="AI159" i="13"/>
  <c r="AS159" i="13" s="1"/>
  <c r="AI158" i="13"/>
  <c r="AS158" i="13" s="1"/>
  <c r="AI157" i="13"/>
  <c r="AS157" i="13" s="1"/>
  <c r="AI156" i="13"/>
  <c r="AS156" i="13" s="1"/>
  <c r="AI155" i="13"/>
  <c r="AS155" i="13" s="1"/>
  <c r="AI154" i="13"/>
  <c r="AS154" i="13" s="1"/>
  <c r="AI153" i="13"/>
  <c r="AS153" i="13" s="1"/>
  <c r="AI152" i="13"/>
  <c r="AS152" i="13" s="1"/>
  <c r="AI151" i="13"/>
  <c r="AS151" i="13" s="1"/>
  <c r="AI150" i="13"/>
  <c r="AS150" i="13" s="1"/>
  <c r="AI148" i="13"/>
  <c r="AS148" i="13" s="1"/>
  <c r="AS147" i="13"/>
  <c r="AI146" i="13"/>
  <c r="AS146" i="13" s="1"/>
  <c r="AI145" i="13"/>
  <c r="AS145" i="13" s="1"/>
  <c r="AI144" i="13"/>
  <c r="AS144" i="13" s="1"/>
  <c r="AI143" i="13"/>
  <c r="AS143" i="13" s="1"/>
  <c r="AI142" i="13"/>
  <c r="AS142" i="13" s="1"/>
  <c r="AI141" i="13"/>
  <c r="AS141" i="13" s="1"/>
  <c r="AI140" i="13"/>
  <c r="AS140" i="13" s="1"/>
  <c r="AI139" i="13"/>
  <c r="AS139" i="13" s="1"/>
  <c r="AI138" i="13"/>
  <c r="AS138" i="13" s="1"/>
  <c r="AI137" i="13"/>
  <c r="AS137" i="13" s="1"/>
  <c r="AI136" i="13"/>
  <c r="AS136" i="13" s="1"/>
  <c r="AI135" i="13"/>
  <c r="AS135" i="13" s="1"/>
  <c r="AI134" i="13"/>
  <c r="AS134" i="13" s="1"/>
  <c r="AI133" i="13"/>
  <c r="AS133" i="13" s="1"/>
  <c r="AI132" i="13"/>
  <c r="AS132" i="13" s="1"/>
  <c r="AI131" i="13"/>
  <c r="AS131" i="13" s="1"/>
  <c r="AI130" i="13"/>
  <c r="AS130" i="13" s="1"/>
  <c r="AI129" i="13"/>
  <c r="AS129" i="13" s="1"/>
  <c r="AI128" i="13"/>
  <c r="AS128" i="13" s="1"/>
  <c r="AI127" i="13"/>
  <c r="AS127" i="13" s="1"/>
  <c r="AI126" i="13"/>
  <c r="AS126" i="13" s="1"/>
  <c r="AI125" i="13"/>
  <c r="AS125" i="13" s="1"/>
  <c r="AI124" i="13"/>
  <c r="AS124" i="13" s="1"/>
  <c r="AI123" i="13"/>
  <c r="AS123" i="13" s="1"/>
  <c r="AI122" i="13"/>
  <c r="AS122" i="13" s="1"/>
  <c r="AI121" i="13"/>
  <c r="AS121" i="13" s="1"/>
  <c r="AI120" i="13"/>
  <c r="AS120" i="13" s="1"/>
  <c r="AI119" i="13"/>
  <c r="AS119" i="13" s="1"/>
  <c r="AI118" i="13"/>
  <c r="AS118" i="13" s="1"/>
  <c r="AI117" i="13"/>
  <c r="AS117" i="13" s="1"/>
  <c r="AI116" i="13"/>
  <c r="AS116" i="13" s="1"/>
  <c r="AI115" i="13"/>
  <c r="AS115" i="13" s="1"/>
  <c r="AI114" i="13"/>
  <c r="AS114" i="13" s="1"/>
  <c r="AI113" i="13"/>
  <c r="AS113" i="13" s="1"/>
  <c r="AI112" i="13"/>
  <c r="AS112" i="13" s="1"/>
  <c r="AI111" i="13"/>
  <c r="AS111" i="13" s="1"/>
  <c r="AI110" i="13"/>
  <c r="AS110" i="13" s="1"/>
  <c r="AI109" i="13"/>
  <c r="AS109" i="13" s="1"/>
  <c r="AI107" i="13"/>
  <c r="AS107" i="13" s="1"/>
  <c r="AI106" i="13"/>
  <c r="AS106" i="13" s="1"/>
  <c r="AI105" i="13"/>
  <c r="AS105" i="13" s="1"/>
  <c r="AI104" i="13"/>
  <c r="AS104" i="13" s="1"/>
  <c r="AI103" i="13"/>
  <c r="AS103" i="13" s="1"/>
  <c r="AI102" i="13"/>
  <c r="AS102" i="13" s="1"/>
  <c r="AI101" i="13"/>
  <c r="AS101" i="13" s="1"/>
  <c r="AI100" i="13"/>
  <c r="AS100" i="13" s="1"/>
  <c r="AI99" i="13"/>
  <c r="AS99" i="13" s="1"/>
  <c r="AI98" i="13"/>
  <c r="AS98" i="13" s="1"/>
  <c r="AI97" i="13"/>
  <c r="AS97" i="13" s="1"/>
  <c r="AI96" i="13"/>
  <c r="AS96" i="13" s="1"/>
  <c r="AI94" i="13"/>
  <c r="AS94" i="13" s="1"/>
  <c r="AI93" i="13"/>
  <c r="AS93" i="13" s="1"/>
  <c r="AI92" i="13"/>
  <c r="AS92" i="13" s="1"/>
  <c r="AI91" i="13"/>
  <c r="AS91" i="13" s="1"/>
  <c r="AI90" i="13"/>
  <c r="AS90" i="13" s="1"/>
  <c r="AI89" i="13"/>
  <c r="AS89" i="13" s="1"/>
  <c r="AI88" i="13"/>
  <c r="AS88" i="13" s="1"/>
  <c r="AI87" i="13"/>
  <c r="AS87" i="13" s="1"/>
  <c r="AI86" i="13"/>
  <c r="AS86" i="13" s="1"/>
  <c r="AI85" i="13"/>
  <c r="AS85" i="13" s="1"/>
  <c r="AI84" i="13"/>
  <c r="AS84" i="13" s="1"/>
  <c r="AI83" i="13"/>
  <c r="AS83" i="13" s="1"/>
  <c r="AI82" i="13"/>
  <c r="AS82" i="13" s="1"/>
  <c r="AI81" i="13"/>
  <c r="AS81" i="13" s="1"/>
  <c r="AI80" i="13"/>
  <c r="AS80" i="13" s="1"/>
  <c r="AI79" i="13"/>
  <c r="AS79" i="13" s="1"/>
  <c r="AI78" i="13"/>
  <c r="AS78" i="13" s="1"/>
  <c r="AI77" i="13"/>
  <c r="AS77" i="13" s="1"/>
  <c r="AI76" i="13"/>
  <c r="AS76" i="13" s="1"/>
  <c r="AI75" i="13"/>
  <c r="AS75" i="13" s="1"/>
  <c r="AI74" i="13"/>
  <c r="AS74" i="13" s="1"/>
  <c r="AI73" i="13"/>
  <c r="AS73" i="13" s="1"/>
  <c r="AI72" i="13"/>
  <c r="AS72" i="13" s="1"/>
  <c r="AI71" i="13"/>
  <c r="AS71" i="13" s="1"/>
  <c r="AI70" i="13"/>
  <c r="AS70" i="13" s="1"/>
  <c r="AI69" i="13"/>
  <c r="AS69" i="13" s="1"/>
  <c r="AI68" i="13"/>
  <c r="AS68" i="13" s="1"/>
  <c r="AI67" i="13"/>
  <c r="AS67" i="13" s="1"/>
  <c r="AI66" i="13"/>
  <c r="AS66" i="13" s="1"/>
  <c r="AI65" i="13"/>
  <c r="AS65" i="13" s="1"/>
  <c r="AI64" i="13"/>
  <c r="AS64" i="13" s="1"/>
  <c r="AI63" i="13"/>
  <c r="AS63" i="13" s="1"/>
  <c r="AS62" i="13"/>
  <c r="AI61" i="13"/>
  <c r="AS61" i="13" s="1"/>
  <c r="AI60" i="13"/>
  <c r="AS60" i="13" s="1"/>
  <c r="AI59" i="13"/>
  <c r="AS59" i="13" s="1"/>
  <c r="AI58" i="13"/>
  <c r="AS58" i="13" s="1"/>
  <c r="AI57" i="13"/>
  <c r="AS57" i="13" s="1"/>
  <c r="AI56" i="13"/>
  <c r="AS56" i="13" s="1"/>
  <c r="AI55" i="13"/>
  <c r="AS55" i="13" s="1"/>
  <c r="AI54" i="13"/>
  <c r="AS54" i="13" s="1"/>
  <c r="AI53" i="13"/>
  <c r="AS53" i="13" s="1"/>
  <c r="AI52" i="13"/>
  <c r="AS52" i="13" s="1"/>
  <c r="AI51" i="13"/>
  <c r="AS51" i="13" s="1"/>
  <c r="AI50" i="13"/>
  <c r="AS50" i="13" s="1"/>
  <c r="AI49" i="13"/>
  <c r="AS49" i="13" s="1"/>
  <c r="AI48" i="13"/>
  <c r="AS48" i="13" s="1"/>
  <c r="AI47" i="13"/>
  <c r="AS47" i="13" s="1"/>
  <c r="AI42" i="13"/>
  <c r="AS42" i="13" s="1"/>
  <c r="AI41" i="13"/>
  <c r="AS41" i="13" s="1"/>
  <c r="AI40" i="13"/>
  <c r="AS40" i="13" s="1"/>
  <c r="AI39" i="13"/>
  <c r="AS39" i="13" s="1"/>
  <c r="W236" i="13"/>
  <c r="K236" i="13"/>
  <c r="E236" i="13"/>
  <c r="W235" i="13"/>
  <c r="K235" i="13"/>
  <c r="E235" i="13"/>
  <c r="W234" i="13"/>
  <c r="K234" i="13"/>
  <c r="E234" i="13"/>
  <c r="AY234" i="13" s="1"/>
  <c r="W233" i="13"/>
  <c r="K233" i="13"/>
  <c r="E233" i="13"/>
  <c r="W232" i="13"/>
  <c r="K232" i="13"/>
  <c r="E232" i="13"/>
  <c r="W231" i="13"/>
  <c r="K231" i="13"/>
  <c r="E231" i="13"/>
  <c r="W230" i="13"/>
  <c r="K230" i="13"/>
  <c r="E230" i="13"/>
  <c r="AY230" i="13" s="1"/>
  <c r="W229" i="13"/>
  <c r="K229" i="13"/>
  <c r="E229" i="13"/>
  <c r="W228" i="13"/>
  <c r="K228" i="13"/>
  <c r="E228" i="13"/>
  <c r="W227" i="13"/>
  <c r="K227" i="13"/>
  <c r="E227" i="13"/>
  <c r="W226" i="13"/>
  <c r="K226" i="13"/>
  <c r="E226" i="13"/>
  <c r="W225" i="13"/>
  <c r="K225" i="13"/>
  <c r="E225" i="13"/>
  <c r="W224" i="13"/>
  <c r="K224" i="13"/>
  <c r="E224" i="13"/>
  <c r="W223" i="13"/>
  <c r="K223" i="13"/>
  <c r="E223" i="13"/>
  <c r="W222" i="13"/>
  <c r="K222" i="13"/>
  <c r="E222" i="13"/>
  <c r="W221" i="13"/>
  <c r="K221" i="13"/>
  <c r="E221" i="13"/>
  <c r="W220" i="13"/>
  <c r="K220" i="13"/>
  <c r="E220" i="13"/>
  <c r="W219" i="13"/>
  <c r="K219" i="13"/>
  <c r="E219" i="13"/>
  <c r="W218" i="13"/>
  <c r="K218" i="13"/>
  <c r="E218" i="13"/>
  <c r="W217" i="13"/>
  <c r="K217" i="13"/>
  <c r="E217" i="13"/>
  <c r="W216" i="13"/>
  <c r="K216" i="13"/>
  <c r="E216" i="13"/>
  <c r="W215" i="13"/>
  <c r="K215" i="13"/>
  <c r="E215" i="13"/>
  <c r="W214" i="13"/>
  <c r="K214" i="13"/>
  <c r="E214" i="13"/>
  <c r="W213" i="13"/>
  <c r="K213" i="13"/>
  <c r="E213" i="13"/>
  <c r="W212" i="13"/>
  <c r="K212" i="13"/>
  <c r="E212" i="13"/>
  <c r="W211" i="13"/>
  <c r="K211" i="13"/>
  <c r="E211" i="13"/>
  <c r="W210" i="13"/>
  <c r="K210" i="13"/>
  <c r="E210" i="13"/>
  <c r="W209" i="13"/>
  <c r="K209" i="13"/>
  <c r="E209" i="13"/>
  <c r="W208" i="13"/>
  <c r="K208" i="13"/>
  <c r="E208" i="13"/>
  <c r="W207" i="13"/>
  <c r="K207" i="13"/>
  <c r="E207" i="13"/>
  <c r="W206" i="13"/>
  <c r="K206" i="13"/>
  <c r="E206" i="13"/>
  <c r="W205" i="13"/>
  <c r="K205" i="13"/>
  <c r="E205" i="13"/>
  <c r="W204" i="13"/>
  <c r="K204" i="13"/>
  <c r="E204" i="13"/>
  <c r="W203" i="13"/>
  <c r="E203" i="13"/>
  <c r="AY203" i="13" s="1"/>
  <c r="W202" i="13"/>
  <c r="K202" i="13"/>
  <c r="E202" i="13"/>
  <c r="W201" i="13"/>
  <c r="K201" i="13"/>
  <c r="E201" i="13"/>
  <c r="W200" i="13"/>
  <c r="K200" i="13"/>
  <c r="E200" i="13"/>
  <c r="W199" i="13"/>
  <c r="K199" i="13"/>
  <c r="E199" i="13"/>
  <c r="W198" i="13"/>
  <c r="K198" i="13"/>
  <c r="E198" i="13"/>
  <c r="W197" i="13"/>
  <c r="K197" i="13"/>
  <c r="E197" i="13"/>
  <c r="W196" i="13"/>
  <c r="K196" i="13"/>
  <c r="E196" i="13"/>
  <c r="W195" i="13"/>
  <c r="K195" i="13"/>
  <c r="E195" i="13"/>
  <c r="W194" i="13"/>
  <c r="K194" i="13"/>
  <c r="E194" i="13"/>
  <c r="W193" i="13"/>
  <c r="K193" i="13"/>
  <c r="E193" i="13"/>
  <c r="W192" i="13"/>
  <c r="K192" i="13"/>
  <c r="E192" i="13"/>
  <c r="W191" i="13"/>
  <c r="K191" i="13"/>
  <c r="E191" i="13"/>
  <c r="W190" i="13"/>
  <c r="K190" i="13"/>
  <c r="E190" i="13"/>
  <c r="W189" i="13"/>
  <c r="K189" i="13"/>
  <c r="E189" i="13"/>
  <c r="W188" i="13"/>
  <c r="K188" i="13"/>
  <c r="E188" i="13"/>
  <c r="W187" i="13"/>
  <c r="K187" i="13"/>
  <c r="E187" i="13"/>
  <c r="W186" i="13"/>
  <c r="K186" i="13"/>
  <c r="E186" i="13"/>
  <c r="AY186" i="13" s="1"/>
  <c r="W185" i="13"/>
  <c r="K185" i="13"/>
  <c r="E185" i="13"/>
  <c r="W184" i="13"/>
  <c r="K184" i="13"/>
  <c r="E184" i="13"/>
  <c r="AY184" i="13" s="1"/>
  <c r="W183" i="13"/>
  <c r="K183" i="13"/>
  <c r="E183" i="13"/>
  <c r="W182" i="13"/>
  <c r="K182" i="13"/>
  <c r="E182" i="13"/>
  <c r="AY182" i="13" s="1"/>
  <c r="W181" i="13"/>
  <c r="K181" i="13"/>
  <c r="E181" i="13"/>
  <c r="W180" i="13"/>
  <c r="K180" i="13"/>
  <c r="E180" i="13"/>
  <c r="AY180" i="13" s="1"/>
  <c r="W179" i="13"/>
  <c r="K179" i="13"/>
  <c r="E179" i="13"/>
  <c r="W178" i="13"/>
  <c r="K178" i="13"/>
  <c r="E178" i="13"/>
  <c r="AY178" i="13" s="1"/>
  <c r="W177" i="13"/>
  <c r="K177" i="13"/>
  <c r="E177" i="13"/>
  <c r="W176" i="13"/>
  <c r="K176" i="13"/>
  <c r="E176" i="13"/>
  <c r="W175" i="13"/>
  <c r="K175" i="13"/>
  <c r="E175" i="13"/>
  <c r="W174" i="13"/>
  <c r="K174" i="13"/>
  <c r="E174" i="13"/>
  <c r="W173" i="13"/>
  <c r="K173" i="13"/>
  <c r="E173" i="13"/>
  <c r="W172" i="13"/>
  <c r="K172" i="13"/>
  <c r="E172" i="13"/>
  <c r="W171" i="13"/>
  <c r="K171" i="13"/>
  <c r="E171" i="13"/>
  <c r="W170" i="13"/>
  <c r="K170" i="13"/>
  <c r="E170" i="13"/>
  <c r="W169" i="13"/>
  <c r="K169" i="13"/>
  <c r="E169" i="13"/>
  <c r="W168" i="13"/>
  <c r="K168" i="13"/>
  <c r="E168" i="13"/>
  <c r="AY168" i="13" s="1"/>
  <c r="W167" i="13"/>
  <c r="K167" i="13"/>
  <c r="E167" i="13"/>
  <c r="W166" i="13"/>
  <c r="K166" i="13"/>
  <c r="E166" i="13"/>
  <c r="AY166" i="13" s="1"/>
  <c r="W165" i="13"/>
  <c r="K165" i="13"/>
  <c r="E165" i="13"/>
  <c r="W164" i="13"/>
  <c r="K164" i="13"/>
  <c r="E164" i="13"/>
  <c r="AY164" i="13" s="1"/>
  <c r="W163" i="13"/>
  <c r="K163" i="13"/>
  <c r="E163" i="13"/>
  <c r="W162" i="13"/>
  <c r="K162" i="13"/>
  <c r="E162" i="13"/>
  <c r="AY162" i="13" s="1"/>
  <c r="W161" i="13"/>
  <c r="K161" i="13"/>
  <c r="E161" i="13"/>
  <c r="W160" i="13"/>
  <c r="K160" i="13"/>
  <c r="E160" i="13"/>
  <c r="AY160" i="13" s="1"/>
  <c r="W159" i="13"/>
  <c r="K159" i="13"/>
  <c r="E159" i="13"/>
  <c r="W158" i="13"/>
  <c r="K158" i="13"/>
  <c r="E158" i="13"/>
  <c r="AY158" i="13" s="1"/>
  <c r="W157" i="13"/>
  <c r="K157" i="13"/>
  <c r="E157" i="13"/>
  <c r="W156" i="13"/>
  <c r="K156" i="13"/>
  <c r="E156" i="13"/>
  <c r="AY156" i="13" s="1"/>
  <c r="W155" i="13"/>
  <c r="K155" i="13"/>
  <c r="E155" i="13"/>
  <c r="W154" i="13"/>
  <c r="K154" i="13"/>
  <c r="E154" i="13"/>
  <c r="AY154" i="13" s="1"/>
  <c r="W153" i="13"/>
  <c r="K153" i="13"/>
  <c r="E153" i="13"/>
  <c r="W152" i="13"/>
  <c r="K152" i="13"/>
  <c r="E152" i="13"/>
  <c r="W151" i="13"/>
  <c r="K151" i="13"/>
  <c r="E151" i="13"/>
  <c r="W150" i="13"/>
  <c r="K150" i="13"/>
  <c r="E150" i="13"/>
  <c r="AY150" i="13" s="1"/>
  <c r="W148" i="13"/>
  <c r="K148" i="13"/>
  <c r="E148" i="13"/>
  <c r="W147" i="13"/>
  <c r="K147" i="13"/>
  <c r="E147" i="13"/>
  <c r="W146" i="13"/>
  <c r="K146" i="13"/>
  <c r="E146" i="13"/>
  <c r="W145" i="13"/>
  <c r="K145" i="13"/>
  <c r="E145" i="13"/>
  <c r="AY145" i="13" s="1"/>
  <c r="W144" i="13"/>
  <c r="K144" i="13"/>
  <c r="E144" i="13"/>
  <c r="W143" i="13"/>
  <c r="K143" i="13"/>
  <c r="E143" i="13"/>
  <c r="AY143" i="13" s="1"/>
  <c r="W142" i="13"/>
  <c r="K142" i="13"/>
  <c r="E142" i="13"/>
  <c r="W141" i="13"/>
  <c r="K141" i="13"/>
  <c r="E141" i="13"/>
  <c r="AY141" i="13" s="1"/>
  <c r="W140" i="13"/>
  <c r="K140" i="13"/>
  <c r="E140" i="13"/>
  <c r="W139" i="13"/>
  <c r="K139" i="13"/>
  <c r="E139" i="13"/>
  <c r="AY139" i="13" s="1"/>
  <c r="W138" i="13"/>
  <c r="K138" i="13"/>
  <c r="E138" i="13"/>
  <c r="W137" i="13"/>
  <c r="K137" i="13"/>
  <c r="E137" i="13"/>
  <c r="AY137" i="13" s="1"/>
  <c r="W136" i="13"/>
  <c r="K136" i="13"/>
  <c r="E136" i="13"/>
  <c r="W135" i="13"/>
  <c r="K135" i="13"/>
  <c r="E135" i="13"/>
  <c r="AY135" i="13" s="1"/>
  <c r="W134" i="13"/>
  <c r="K134" i="13"/>
  <c r="E134" i="13"/>
  <c r="W133" i="13"/>
  <c r="K133" i="13"/>
  <c r="E133" i="13"/>
  <c r="AY133" i="13" s="1"/>
  <c r="W132" i="13"/>
  <c r="K132" i="13"/>
  <c r="E132" i="13"/>
  <c r="W131" i="13"/>
  <c r="K131" i="13"/>
  <c r="E131" i="13"/>
  <c r="AY131" i="13" s="1"/>
  <c r="W130" i="13"/>
  <c r="K130" i="13"/>
  <c r="E130" i="13"/>
  <c r="W129" i="13"/>
  <c r="K129" i="13"/>
  <c r="E129" i="13"/>
  <c r="AY129" i="13" s="1"/>
  <c r="W128" i="13"/>
  <c r="K128" i="13"/>
  <c r="E128" i="13"/>
  <c r="W127" i="13"/>
  <c r="K127" i="13"/>
  <c r="E127" i="13"/>
  <c r="AY127" i="13" s="1"/>
  <c r="W126" i="13"/>
  <c r="K126" i="13"/>
  <c r="E126" i="13"/>
  <c r="W125" i="13"/>
  <c r="K125" i="13"/>
  <c r="E125" i="13"/>
  <c r="AY125" i="13" s="1"/>
  <c r="W124" i="13"/>
  <c r="K124" i="13"/>
  <c r="E124" i="13"/>
  <c r="W123" i="13"/>
  <c r="K123" i="13"/>
  <c r="E123" i="13"/>
  <c r="AY123" i="13" s="1"/>
  <c r="W122" i="13"/>
  <c r="K122" i="13"/>
  <c r="E122" i="13"/>
  <c r="W121" i="13"/>
  <c r="K121" i="13"/>
  <c r="E121" i="13"/>
  <c r="AY121" i="13" s="1"/>
  <c r="W120" i="13"/>
  <c r="K120" i="13"/>
  <c r="E120" i="13"/>
  <c r="W119" i="13"/>
  <c r="K119" i="13"/>
  <c r="E119" i="13"/>
  <c r="AY119" i="13" s="1"/>
  <c r="W118" i="13"/>
  <c r="K118" i="13"/>
  <c r="E118" i="13"/>
  <c r="W117" i="13"/>
  <c r="K117" i="13"/>
  <c r="E117" i="13"/>
  <c r="AY117" i="13" s="1"/>
  <c r="W116" i="13"/>
  <c r="K116" i="13"/>
  <c r="E116" i="13"/>
  <c r="W115" i="13"/>
  <c r="K115" i="13"/>
  <c r="E115" i="13"/>
  <c r="W114" i="13"/>
  <c r="K114" i="13"/>
  <c r="E114" i="13"/>
  <c r="W113" i="13"/>
  <c r="K113" i="13"/>
  <c r="E113" i="13"/>
  <c r="AY113" i="13" s="1"/>
  <c r="W112" i="13"/>
  <c r="K112" i="13"/>
  <c r="E112" i="13"/>
  <c r="W111" i="13"/>
  <c r="K111" i="13"/>
  <c r="E111" i="13"/>
  <c r="AY111" i="13" s="1"/>
  <c r="W110" i="13"/>
  <c r="K110" i="13"/>
  <c r="E110" i="13"/>
  <c r="W109" i="13"/>
  <c r="K109" i="13"/>
  <c r="E109" i="13"/>
  <c r="W107" i="13"/>
  <c r="K107" i="13"/>
  <c r="E107" i="13"/>
  <c r="W106" i="13"/>
  <c r="K106" i="13"/>
  <c r="E106" i="13"/>
  <c r="W105" i="13"/>
  <c r="K105" i="13"/>
  <c r="E105" i="13"/>
  <c r="W104" i="13"/>
  <c r="K104" i="13"/>
  <c r="E104" i="13"/>
  <c r="W103" i="13"/>
  <c r="K103" i="13"/>
  <c r="E103" i="13"/>
  <c r="W102" i="13"/>
  <c r="K102" i="13"/>
  <c r="E102" i="13"/>
  <c r="W101" i="13"/>
  <c r="K101" i="13"/>
  <c r="E101" i="13"/>
  <c r="W100" i="13"/>
  <c r="K100" i="13"/>
  <c r="E100" i="13"/>
  <c r="AY100" i="13" s="1"/>
  <c r="W99" i="13"/>
  <c r="K99" i="13"/>
  <c r="E99" i="13"/>
  <c r="W98" i="13"/>
  <c r="K98" i="13"/>
  <c r="E98" i="13"/>
  <c r="AY98" i="13" s="1"/>
  <c r="W97" i="13"/>
  <c r="K97" i="13"/>
  <c r="E97" i="13"/>
  <c r="W96" i="13"/>
  <c r="K96" i="13"/>
  <c r="E96" i="13"/>
  <c r="W94" i="13"/>
  <c r="K94" i="13"/>
  <c r="E94" i="13"/>
  <c r="W93" i="13"/>
  <c r="K93" i="13"/>
  <c r="E93" i="13"/>
  <c r="W92" i="13"/>
  <c r="K92" i="13"/>
  <c r="E92" i="13"/>
  <c r="W91" i="13"/>
  <c r="K91" i="13"/>
  <c r="E91" i="13"/>
  <c r="AY91" i="13" s="1"/>
  <c r="W90" i="13"/>
  <c r="K90" i="13"/>
  <c r="E90" i="13"/>
  <c r="W89" i="13"/>
  <c r="K89" i="13"/>
  <c r="E89" i="13"/>
  <c r="AY89" i="13" s="1"/>
  <c r="W88" i="13"/>
  <c r="K88" i="13"/>
  <c r="E88" i="13"/>
  <c r="W87" i="13"/>
  <c r="K87" i="13"/>
  <c r="E87" i="13"/>
  <c r="W86" i="13"/>
  <c r="K86" i="13"/>
  <c r="E86" i="13"/>
  <c r="W85" i="13"/>
  <c r="K85" i="13"/>
  <c r="E85" i="13"/>
  <c r="AY85" i="13" s="1"/>
  <c r="W84" i="13"/>
  <c r="K84" i="13"/>
  <c r="E84" i="13"/>
  <c r="W83" i="13"/>
  <c r="K83" i="13"/>
  <c r="E83" i="13"/>
  <c r="AY83" i="13" s="1"/>
  <c r="W82" i="13"/>
  <c r="K82" i="13"/>
  <c r="E82" i="13"/>
  <c r="W81" i="13"/>
  <c r="K81" i="13"/>
  <c r="E81" i="13"/>
  <c r="AY81" i="13" s="1"/>
  <c r="W80" i="13"/>
  <c r="K80" i="13"/>
  <c r="E80" i="13"/>
  <c r="W79" i="13"/>
  <c r="K79" i="13"/>
  <c r="E79" i="13"/>
  <c r="AY79" i="13" s="1"/>
  <c r="W78" i="13"/>
  <c r="K78" i="13"/>
  <c r="E78" i="13"/>
  <c r="W77" i="13"/>
  <c r="K77" i="13"/>
  <c r="E77" i="13"/>
  <c r="AY77" i="13" s="1"/>
  <c r="W76" i="13"/>
  <c r="K76" i="13"/>
  <c r="E76" i="13"/>
  <c r="W75" i="13"/>
  <c r="K75" i="13"/>
  <c r="E75" i="13"/>
  <c r="AY75" i="13" s="1"/>
  <c r="W74" i="13"/>
  <c r="K74" i="13"/>
  <c r="E74" i="13"/>
  <c r="W73" i="13"/>
  <c r="K73" i="13"/>
  <c r="E73" i="13"/>
  <c r="AY73" i="13" s="1"/>
  <c r="W72" i="13"/>
  <c r="K72" i="13"/>
  <c r="E72" i="13"/>
  <c r="W71" i="13"/>
  <c r="K71" i="13"/>
  <c r="E71" i="13"/>
  <c r="AY71" i="13" s="1"/>
  <c r="W70" i="13"/>
  <c r="K70" i="13"/>
  <c r="E70" i="13"/>
  <c r="W69" i="13"/>
  <c r="K69" i="13"/>
  <c r="E69" i="13"/>
  <c r="AY69" i="13" s="1"/>
  <c r="W68" i="13"/>
  <c r="K68" i="13"/>
  <c r="E68" i="13"/>
  <c r="W67" i="13"/>
  <c r="K67" i="13"/>
  <c r="E67" i="13"/>
  <c r="AY67" i="13" s="1"/>
  <c r="W66" i="13"/>
  <c r="K66" i="13"/>
  <c r="E66" i="13"/>
  <c r="W65" i="13"/>
  <c r="K65" i="13"/>
  <c r="E65" i="13"/>
  <c r="AY65" i="13" s="1"/>
  <c r="W64" i="13"/>
  <c r="K64" i="13"/>
  <c r="E64" i="13"/>
  <c r="W63" i="13"/>
  <c r="K63" i="13"/>
  <c r="E63" i="13"/>
  <c r="AY63" i="13" s="1"/>
  <c r="W62" i="13"/>
  <c r="K62" i="13"/>
  <c r="E62" i="13"/>
  <c r="W61" i="13"/>
  <c r="K61" i="13"/>
  <c r="E61" i="13"/>
  <c r="AY61" i="13" s="1"/>
  <c r="W60" i="13"/>
  <c r="K60" i="13"/>
  <c r="E60" i="13"/>
  <c r="W59" i="13"/>
  <c r="K59" i="13"/>
  <c r="E59" i="13"/>
  <c r="AY59" i="13" s="1"/>
  <c r="W58" i="13"/>
  <c r="K58" i="13"/>
  <c r="E58" i="13"/>
  <c r="W57" i="13"/>
  <c r="K57" i="13"/>
  <c r="E57" i="13"/>
  <c r="W56" i="13"/>
  <c r="K56" i="13"/>
  <c r="E56" i="13"/>
  <c r="W55" i="13"/>
  <c r="K55" i="13"/>
  <c r="E55" i="13"/>
  <c r="AY55" i="13" s="1"/>
  <c r="W54" i="13"/>
  <c r="K54" i="13"/>
  <c r="E54" i="13"/>
  <c r="W53" i="13"/>
  <c r="K53" i="13"/>
  <c r="E53" i="13"/>
  <c r="W52" i="13"/>
  <c r="K52" i="13"/>
  <c r="E52" i="13"/>
  <c r="W51" i="13"/>
  <c r="K51" i="13"/>
  <c r="E51" i="13"/>
  <c r="AY51" i="13" s="1"/>
  <c r="W50" i="13"/>
  <c r="K50" i="13"/>
  <c r="E50" i="13"/>
  <c r="W49" i="13"/>
  <c r="K49" i="13"/>
  <c r="E49" i="13"/>
  <c r="W48" i="13"/>
  <c r="K48" i="13"/>
  <c r="E48" i="13"/>
  <c r="W47" i="13"/>
  <c r="K47" i="13"/>
  <c r="E47" i="13"/>
  <c r="W42" i="13"/>
  <c r="K42" i="13"/>
  <c r="E42" i="13"/>
  <c r="W41" i="13"/>
  <c r="K41" i="13"/>
  <c r="E41" i="13"/>
  <c r="W40" i="13"/>
  <c r="K40" i="13"/>
  <c r="E40" i="13"/>
  <c r="W39" i="13"/>
  <c r="K39" i="13"/>
  <c r="E39" i="13"/>
  <c r="AI89" i="14"/>
  <c r="AI235" i="14"/>
  <c r="AI234" i="14"/>
  <c r="AI233" i="14"/>
  <c r="AI231" i="14"/>
  <c r="AI230" i="14"/>
  <c r="AI229" i="14"/>
  <c r="AI228" i="14"/>
  <c r="AI227" i="14"/>
  <c r="AI226" i="14"/>
  <c r="AI225" i="14"/>
  <c r="AI224" i="14"/>
  <c r="AI223" i="14"/>
  <c r="AI222" i="14"/>
  <c r="AI221" i="14"/>
  <c r="AI220" i="14"/>
  <c r="AI219" i="14"/>
  <c r="AI218" i="14"/>
  <c r="AI217" i="14"/>
  <c r="AI216" i="14"/>
  <c r="AI215" i="14"/>
  <c r="AI214" i="14"/>
  <c r="AI213" i="14"/>
  <c r="AI212" i="14"/>
  <c r="AI211" i="14"/>
  <c r="AI210" i="14"/>
  <c r="AI209" i="14"/>
  <c r="AI208" i="14"/>
  <c r="AI207" i="14"/>
  <c r="AI206" i="14"/>
  <c r="AI205" i="14"/>
  <c r="AI204" i="14"/>
  <c r="AI203" i="14"/>
  <c r="AI202" i="14"/>
  <c r="AI201" i="14"/>
  <c r="AI200" i="14"/>
  <c r="AI199" i="14"/>
  <c r="AI198" i="14"/>
  <c r="AI197" i="14"/>
  <c r="AI196" i="14"/>
  <c r="AI195" i="14"/>
  <c r="AI194" i="14"/>
  <c r="AI193" i="14"/>
  <c r="AI192" i="14"/>
  <c r="AI191" i="14"/>
  <c r="AI190" i="14"/>
  <c r="AI189" i="14"/>
  <c r="AI188" i="14"/>
  <c r="AI187" i="14"/>
  <c r="AS187" i="14" s="1"/>
  <c r="AI186" i="14"/>
  <c r="AI185" i="14"/>
  <c r="AI184" i="14"/>
  <c r="AI183" i="14"/>
  <c r="AI182" i="14"/>
  <c r="AI181" i="14"/>
  <c r="AI179" i="14"/>
  <c r="AI178" i="14"/>
  <c r="AI177" i="14"/>
  <c r="AI176" i="14"/>
  <c r="AI175" i="14"/>
  <c r="AI174" i="14"/>
  <c r="AI173" i="14"/>
  <c r="AI172" i="14"/>
  <c r="AI171" i="14"/>
  <c r="AI170" i="14"/>
  <c r="AI169" i="14"/>
  <c r="AI168" i="14"/>
  <c r="AI167" i="14"/>
  <c r="AI166" i="14"/>
  <c r="AI165" i="14"/>
  <c r="AI163" i="14"/>
  <c r="AI162" i="14"/>
  <c r="AI161" i="14"/>
  <c r="AI160" i="14"/>
  <c r="AI159" i="14"/>
  <c r="AI158" i="14"/>
  <c r="AI157" i="14"/>
  <c r="AI156" i="14"/>
  <c r="AI154" i="14"/>
  <c r="AI152" i="14"/>
  <c r="AI151" i="14"/>
  <c r="AI150" i="14"/>
  <c r="AI149" i="14"/>
  <c r="AI148" i="14"/>
  <c r="AI147" i="14"/>
  <c r="AI146" i="14"/>
  <c r="AI145" i="14"/>
  <c r="AI144" i="14"/>
  <c r="AI143" i="14"/>
  <c r="AI142" i="14"/>
  <c r="AI141" i="14"/>
  <c r="AI140" i="14"/>
  <c r="AI139" i="14"/>
  <c r="AI138" i="14"/>
  <c r="AI137" i="14"/>
  <c r="AI136" i="14"/>
  <c r="AI135" i="14"/>
  <c r="AI134" i="14"/>
  <c r="AI133" i="14"/>
  <c r="AI132" i="14"/>
  <c r="AI131" i="14"/>
  <c r="AI130" i="14"/>
  <c r="AI129" i="14"/>
  <c r="AI128" i="14"/>
  <c r="AI127" i="14"/>
  <c r="AI126" i="14"/>
  <c r="AI125" i="14"/>
  <c r="AI124" i="14"/>
  <c r="AI123" i="14"/>
  <c r="AI122" i="14"/>
  <c r="AI121" i="14"/>
  <c r="AI120" i="14"/>
  <c r="AI119" i="14"/>
  <c r="AI118" i="14"/>
  <c r="AI117" i="14"/>
  <c r="AI116" i="14"/>
  <c r="AI115" i="14"/>
  <c r="AI114" i="14"/>
  <c r="AI113" i="14"/>
  <c r="AI112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8" i="14"/>
  <c r="AI97" i="14"/>
  <c r="AI96" i="14"/>
  <c r="AI95" i="14"/>
  <c r="AI93" i="14"/>
  <c r="AI92" i="14"/>
  <c r="AI91" i="14"/>
  <c r="AI90" i="14"/>
  <c r="AI88" i="14"/>
  <c r="AI87" i="14"/>
  <c r="AI86" i="14"/>
  <c r="AI85" i="14"/>
  <c r="AI84" i="14"/>
  <c r="AI83" i="14"/>
  <c r="AI82" i="14"/>
  <c r="AI80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7" i="14"/>
  <c r="AI16" i="14"/>
  <c r="AI15" i="14"/>
  <c r="AI14" i="14"/>
  <c r="AI13" i="14"/>
  <c r="AI12" i="14"/>
  <c r="K235" i="14"/>
  <c r="E235" i="14"/>
  <c r="K234" i="14"/>
  <c r="E234" i="14"/>
  <c r="K233" i="14"/>
  <c r="E233" i="14"/>
  <c r="K231" i="14"/>
  <c r="E231" i="14"/>
  <c r="K230" i="14"/>
  <c r="E230" i="14"/>
  <c r="K229" i="14"/>
  <c r="E229" i="14"/>
  <c r="K228" i="14"/>
  <c r="E228" i="14"/>
  <c r="K227" i="14"/>
  <c r="E227" i="14"/>
  <c r="K226" i="14"/>
  <c r="E226" i="14"/>
  <c r="K225" i="14"/>
  <c r="E225" i="14"/>
  <c r="K224" i="14"/>
  <c r="E224" i="14"/>
  <c r="K223" i="14"/>
  <c r="E223" i="14"/>
  <c r="K222" i="14"/>
  <c r="E222" i="14"/>
  <c r="K221" i="14"/>
  <c r="E221" i="14"/>
  <c r="K220" i="14"/>
  <c r="E220" i="14"/>
  <c r="K219" i="14"/>
  <c r="E219" i="14"/>
  <c r="K218" i="14"/>
  <c r="E218" i="14"/>
  <c r="K217" i="14"/>
  <c r="E217" i="14"/>
  <c r="K216" i="14"/>
  <c r="E216" i="14"/>
  <c r="K215" i="14"/>
  <c r="E215" i="14"/>
  <c r="K214" i="14"/>
  <c r="E214" i="14"/>
  <c r="K213" i="14"/>
  <c r="E213" i="14"/>
  <c r="K212" i="14"/>
  <c r="E212" i="14"/>
  <c r="K211" i="14"/>
  <c r="E211" i="14"/>
  <c r="K210" i="14"/>
  <c r="E210" i="14"/>
  <c r="K209" i="14"/>
  <c r="E209" i="14"/>
  <c r="K208" i="14"/>
  <c r="E208" i="14"/>
  <c r="K207" i="14"/>
  <c r="E207" i="14"/>
  <c r="K206" i="14"/>
  <c r="E206" i="14"/>
  <c r="K205" i="14"/>
  <c r="E205" i="14"/>
  <c r="K204" i="14"/>
  <c r="E204" i="14"/>
  <c r="K203" i="14"/>
  <c r="E203" i="14"/>
  <c r="K202" i="14"/>
  <c r="E202" i="14"/>
  <c r="K201" i="14"/>
  <c r="E201" i="14"/>
  <c r="K200" i="14"/>
  <c r="E200" i="14"/>
  <c r="K199" i="14"/>
  <c r="E199" i="14"/>
  <c r="K198" i="14"/>
  <c r="E198" i="14"/>
  <c r="K197" i="14"/>
  <c r="E197" i="14"/>
  <c r="K196" i="14"/>
  <c r="E196" i="14"/>
  <c r="K195" i="14"/>
  <c r="E195" i="14"/>
  <c r="K194" i="14"/>
  <c r="E194" i="14"/>
  <c r="K193" i="14"/>
  <c r="E193" i="14"/>
  <c r="K192" i="14"/>
  <c r="E192" i="14"/>
  <c r="K191" i="14"/>
  <c r="E191" i="14"/>
  <c r="K190" i="14"/>
  <c r="E190" i="14"/>
  <c r="K189" i="14"/>
  <c r="E189" i="14"/>
  <c r="K188" i="14"/>
  <c r="E188" i="14"/>
  <c r="K187" i="14"/>
  <c r="E187" i="14"/>
  <c r="K186" i="14"/>
  <c r="E186" i="14"/>
  <c r="K185" i="14"/>
  <c r="E185" i="14"/>
  <c r="K184" i="14"/>
  <c r="E184" i="14"/>
  <c r="K183" i="14"/>
  <c r="E183" i="14"/>
  <c r="K182" i="14"/>
  <c r="E182" i="14"/>
  <c r="K181" i="14"/>
  <c r="E181" i="14"/>
  <c r="K178" i="14"/>
  <c r="E178" i="14"/>
  <c r="K177" i="14"/>
  <c r="E177" i="14"/>
  <c r="K176" i="14"/>
  <c r="E176" i="14"/>
  <c r="K175" i="14"/>
  <c r="E175" i="14"/>
  <c r="K174" i="14"/>
  <c r="E174" i="14"/>
  <c r="K173" i="14"/>
  <c r="E173" i="14"/>
  <c r="K172" i="14"/>
  <c r="E172" i="14"/>
  <c r="K171" i="14"/>
  <c r="E171" i="14"/>
  <c r="K170" i="14"/>
  <c r="E170" i="14"/>
  <c r="K169" i="14"/>
  <c r="E169" i="14"/>
  <c r="K168" i="14"/>
  <c r="E168" i="14"/>
  <c r="K167" i="14"/>
  <c r="E167" i="14"/>
  <c r="K166" i="14"/>
  <c r="E166" i="14"/>
  <c r="K165" i="14"/>
  <c r="E165" i="14"/>
  <c r="K163" i="14"/>
  <c r="E163" i="14"/>
  <c r="K162" i="14"/>
  <c r="E162" i="14"/>
  <c r="K161" i="14"/>
  <c r="E161" i="14"/>
  <c r="K160" i="14"/>
  <c r="E160" i="14"/>
  <c r="K159" i="14"/>
  <c r="E159" i="14"/>
  <c r="K158" i="14"/>
  <c r="E158" i="14"/>
  <c r="K157" i="14"/>
  <c r="E157" i="14"/>
  <c r="K156" i="14"/>
  <c r="E156" i="14"/>
  <c r="K155" i="14"/>
  <c r="E155" i="14"/>
  <c r="K154" i="14"/>
  <c r="E154" i="14"/>
  <c r="K152" i="14"/>
  <c r="E152" i="14"/>
  <c r="K151" i="14"/>
  <c r="E151" i="14"/>
  <c r="K150" i="14"/>
  <c r="E150" i="14"/>
  <c r="K149" i="14"/>
  <c r="E149" i="14"/>
  <c r="K148" i="14"/>
  <c r="E148" i="14"/>
  <c r="K147" i="14"/>
  <c r="E147" i="14"/>
  <c r="K146" i="14"/>
  <c r="E146" i="14"/>
  <c r="K145" i="14"/>
  <c r="E145" i="14"/>
  <c r="K144" i="14"/>
  <c r="E144" i="14"/>
  <c r="K143" i="14"/>
  <c r="E143" i="14"/>
  <c r="K142" i="14"/>
  <c r="E142" i="14"/>
  <c r="K141" i="14"/>
  <c r="E141" i="14"/>
  <c r="K140" i="14"/>
  <c r="E140" i="14"/>
  <c r="K139" i="14"/>
  <c r="E139" i="14"/>
  <c r="K138" i="14"/>
  <c r="E138" i="14"/>
  <c r="K137" i="14"/>
  <c r="E137" i="14"/>
  <c r="K136" i="14"/>
  <c r="E136" i="14"/>
  <c r="K135" i="14"/>
  <c r="E135" i="14"/>
  <c r="K134" i="14"/>
  <c r="E134" i="14"/>
  <c r="K133" i="14"/>
  <c r="E133" i="14"/>
  <c r="K132" i="14"/>
  <c r="E132" i="14"/>
  <c r="K131" i="14"/>
  <c r="E131" i="14"/>
  <c r="K130" i="14"/>
  <c r="E130" i="14"/>
  <c r="K129" i="14"/>
  <c r="E129" i="14"/>
  <c r="K128" i="14"/>
  <c r="E128" i="14"/>
  <c r="K127" i="14"/>
  <c r="E127" i="14"/>
  <c r="K126" i="14"/>
  <c r="E126" i="14"/>
  <c r="K125" i="14"/>
  <c r="E125" i="14"/>
  <c r="K124" i="14"/>
  <c r="E124" i="14"/>
  <c r="K123" i="14"/>
  <c r="E123" i="14"/>
  <c r="K122" i="14"/>
  <c r="E122" i="14"/>
  <c r="K121" i="14"/>
  <c r="E121" i="14"/>
  <c r="K120" i="14"/>
  <c r="E120" i="14"/>
  <c r="K119" i="14"/>
  <c r="E119" i="14"/>
  <c r="K118" i="14"/>
  <c r="E118" i="14"/>
  <c r="K117" i="14"/>
  <c r="E117" i="14"/>
  <c r="K116" i="14"/>
  <c r="E116" i="14"/>
  <c r="K115" i="14"/>
  <c r="E115" i="14"/>
  <c r="K114" i="14"/>
  <c r="E114" i="14"/>
  <c r="K113" i="14"/>
  <c r="E113" i="14"/>
  <c r="K112" i="14"/>
  <c r="E112" i="14"/>
  <c r="K110" i="14"/>
  <c r="E110" i="14"/>
  <c r="K109" i="14"/>
  <c r="E109" i="14"/>
  <c r="K108" i="14"/>
  <c r="E108" i="14"/>
  <c r="K107" i="14"/>
  <c r="E107" i="14"/>
  <c r="E106" i="14"/>
  <c r="K105" i="14"/>
  <c r="E105" i="14"/>
  <c r="K104" i="14"/>
  <c r="E104" i="14"/>
  <c r="K103" i="14"/>
  <c r="E103" i="14"/>
  <c r="K102" i="14"/>
  <c r="E102" i="14"/>
  <c r="K101" i="14"/>
  <c r="E101" i="14"/>
  <c r="K100" i="14"/>
  <c r="K98" i="14"/>
  <c r="E98" i="14"/>
  <c r="K97" i="14"/>
  <c r="E97" i="14"/>
  <c r="K96" i="14"/>
  <c r="E96" i="14"/>
  <c r="K95" i="14"/>
  <c r="E95" i="14"/>
  <c r="K94" i="14"/>
  <c r="E94" i="14"/>
  <c r="K93" i="14"/>
  <c r="E93" i="14"/>
  <c r="K92" i="14"/>
  <c r="E92" i="14"/>
  <c r="K91" i="14"/>
  <c r="E91" i="14"/>
  <c r="K90" i="14"/>
  <c r="E90" i="14"/>
  <c r="K88" i="14"/>
  <c r="E88" i="14"/>
  <c r="K87" i="14"/>
  <c r="E87" i="14"/>
  <c r="K86" i="14"/>
  <c r="E86" i="14"/>
  <c r="K85" i="14"/>
  <c r="E85" i="14"/>
  <c r="E84" i="14"/>
  <c r="K83" i="14"/>
  <c r="E83" i="14"/>
  <c r="K82" i="14"/>
  <c r="E82" i="14"/>
  <c r="E80" i="14"/>
  <c r="K78" i="14"/>
  <c r="E78" i="14"/>
  <c r="K77" i="14"/>
  <c r="E77" i="14"/>
  <c r="K76" i="14"/>
  <c r="E76" i="14"/>
  <c r="K75" i="14"/>
  <c r="E75" i="14"/>
  <c r="K74" i="14"/>
  <c r="E74" i="14"/>
  <c r="K73" i="14"/>
  <c r="E73" i="14"/>
  <c r="K72" i="14"/>
  <c r="E72" i="14"/>
  <c r="K71" i="14"/>
  <c r="E71" i="14"/>
  <c r="K70" i="14"/>
  <c r="E70" i="14"/>
  <c r="K69" i="14"/>
  <c r="E69" i="14"/>
  <c r="K68" i="14"/>
  <c r="E68" i="14"/>
  <c r="K67" i="14"/>
  <c r="E67" i="14"/>
  <c r="K66" i="14"/>
  <c r="E66" i="14"/>
  <c r="K65" i="14"/>
  <c r="E65" i="14"/>
  <c r="K64" i="14"/>
  <c r="E64" i="14"/>
  <c r="K63" i="14"/>
  <c r="E63" i="14"/>
  <c r="K62" i="14"/>
  <c r="E62" i="14"/>
  <c r="K61" i="14"/>
  <c r="E61" i="14"/>
  <c r="K60" i="14"/>
  <c r="E60" i="14"/>
  <c r="K59" i="14"/>
  <c r="E59" i="14"/>
  <c r="K58" i="14"/>
  <c r="E58" i="14"/>
  <c r="E57" i="14"/>
  <c r="K56" i="14"/>
  <c r="E56" i="14"/>
  <c r="K55" i="14"/>
  <c r="E55" i="14"/>
  <c r="K54" i="14"/>
  <c r="E54" i="14"/>
  <c r="K53" i="14"/>
  <c r="E53" i="14"/>
  <c r="K52" i="14"/>
  <c r="E52" i="14"/>
  <c r="K51" i="14"/>
  <c r="E51" i="14"/>
  <c r="K50" i="14"/>
  <c r="E50" i="14"/>
  <c r="K49" i="14"/>
  <c r="K48" i="14"/>
  <c r="E48" i="14"/>
  <c r="K47" i="14"/>
  <c r="E47" i="14"/>
  <c r="K46" i="14"/>
  <c r="E46" i="14"/>
  <c r="K45" i="14"/>
  <c r="E45" i="14"/>
  <c r="K44" i="14"/>
  <c r="E44" i="14"/>
  <c r="K42" i="14"/>
  <c r="E42" i="14"/>
  <c r="K41" i="14"/>
  <c r="E41" i="14"/>
  <c r="K40" i="14"/>
  <c r="E40" i="14"/>
  <c r="K39" i="14"/>
  <c r="E39" i="14"/>
  <c r="K38" i="14"/>
  <c r="E38" i="14"/>
  <c r="K37" i="14"/>
  <c r="E37" i="14"/>
  <c r="K36" i="14"/>
  <c r="E36" i="14"/>
  <c r="K35" i="14"/>
  <c r="E35" i="14"/>
  <c r="K34" i="14"/>
  <c r="E34" i="14"/>
  <c r="K33" i="14"/>
  <c r="E33" i="14"/>
  <c r="K32" i="14"/>
  <c r="E32" i="14"/>
  <c r="K31" i="14"/>
  <c r="E31" i="14"/>
  <c r="K30" i="14"/>
  <c r="E30" i="14"/>
  <c r="K29" i="14"/>
  <c r="E29" i="14"/>
  <c r="K28" i="14"/>
  <c r="E28" i="14"/>
  <c r="K27" i="14"/>
  <c r="E27" i="14"/>
  <c r="K26" i="14"/>
  <c r="E26" i="14"/>
  <c r="E25" i="14"/>
  <c r="K24" i="14"/>
  <c r="E24" i="14"/>
  <c r="K23" i="14"/>
  <c r="E23" i="14"/>
  <c r="K22" i="14"/>
  <c r="E22" i="14"/>
  <c r="K21" i="14"/>
  <c r="E21" i="14"/>
  <c r="K20" i="14"/>
  <c r="E20" i="14"/>
  <c r="K19" i="14"/>
  <c r="E19" i="14"/>
  <c r="K17" i="14"/>
  <c r="E17" i="14"/>
  <c r="K16" i="14"/>
  <c r="E16" i="14"/>
  <c r="K15" i="14"/>
  <c r="E15" i="14"/>
  <c r="K14" i="14"/>
  <c r="E14" i="14"/>
  <c r="K13" i="14"/>
  <c r="E13" i="14"/>
  <c r="K12" i="14"/>
  <c r="E12" i="14"/>
  <c r="AJ238" i="6"/>
  <c r="AT238" i="6" s="1"/>
  <c r="AJ237" i="6"/>
  <c r="AT237" i="6" s="1"/>
  <c r="AJ236" i="6"/>
  <c r="AT236" i="6" s="1"/>
  <c r="AJ234" i="6"/>
  <c r="AT234" i="6" s="1"/>
  <c r="AJ233" i="6"/>
  <c r="AT233" i="6" s="1"/>
  <c r="AJ232" i="6"/>
  <c r="AT232" i="6" s="1"/>
  <c r="AJ231" i="6"/>
  <c r="AT231" i="6" s="1"/>
  <c r="AJ230" i="6"/>
  <c r="AT230" i="6" s="1"/>
  <c r="AJ229" i="6"/>
  <c r="AT229" i="6" s="1"/>
  <c r="AJ228" i="6"/>
  <c r="AT228" i="6" s="1"/>
  <c r="AJ227" i="6"/>
  <c r="AT227" i="6" s="1"/>
  <c r="AJ226" i="6"/>
  <c r="AT226" i="6" s="1"/>
  <c r="AJ225" i="6"/>
  <c r="AT225" i="6" s="1"/>
  <c r="AJ224" i="6"/>
  <c r="AT224" i="6" s="1"/>
  <c r="AJ223" i="6"/>
  <c r="AT223" i="6" s="1"/>
  <c r="AT222" i="6"/>
  <c r="AJ221" i="6"/>
  <c r="AT221" i="6" s="1"/>
  <c r="AJ220" i="6"/>
  <c r="AT220" i="6" s="1"/>
  <c r="AJ219" i="6"/>
  <c r="AT219" i="6" s="1"/>
  <c r="AJ218" i="6"/>
  <c r="AT218" i="6" s="1"/>
  <c r="AJ217" i="6"/>
  <c r="AT217" i="6" s="1"/>
  <c r="AJ216" i="6"/>
  <c r="AT216" i="6" s="1"/>
  <c r="AJ215" i="6"/>
  <c r="AT215" i="6" s="1"/>
  <c r="AJ214" i="6"/>
  <c r="AT214" i="6" s="1"/>
  <c r="AJ213" i="6"/>
  <c r="AT213" i="6" s="1"/>
  <c r="AJ212" i="6"/>
  <c r="AT212" i="6" s="1"/>
  <c r="AJ211" i="6"/>
  <c r="AT211" i="6" s="1"/>
  <c r="AJ210" i="6"/>
  <c r="AT210" i="6" s="1"/>
  <c r="AJ209" i="6"/>
  <c r="AT209" i="6" s="1"/>
  <c r="AJ208" i="6"/>
  <c r="AT208" i="6" s="1"/>
  <c r="AJ207" i="6"/>
  <c r="AT207" i="6" s="1"/>
  <c r="AJ206" i="6"/>
  <c r="AT206" i="6" s="1"/>
  <c r="AJ205" i="6"/>
  <c r="AT205" i="6" s="1"/>
  <c r="AJ204" i="6"/>
  <c r="AT204" i="6" s="1"/>
  <c r="AJ203" i="6"/>
  <c r="AT203" i="6" s="1"/>
  <c r="AJ202" i="6"/>
  <c r="AT202" i="6" s="1"/>
  <c r="AJ201" i="6"/>
  <c r="AT201" i="6" s="1"/>
  <c r="AJ200" i="6"/>
  <c r="AT200" i="6" s="1"/>
  <c r="AJ199" i="6"/>
  <c r="AT199" i="6" s="1"/>
  <c r="AJ198" i="6"/>
  <c r="AT198" i="6" s="1"/>
  <c r="AJ197" i="6"/>
  <c r="AT197" i="6" s="1"/>
  <c r="AJ196" i="6"/>
  <c r="AT196" i="6" s="1"/>
  <c r="AJ195" i="6"/>
  <c r="AT195" i="6" s="1"/>
  <c r="AJ194" i="6"/>
  <c r="AT194" i="6" s="1"/>
  <c r="AJ193" i="6"/>
  <c r="AT193" i="6" s="1"/>
  <c r="AJ192" i="6"/>
  <c r="AT192" i="6" s="1"/>
  <c r="AJ191" i="6"/>
  <c r="AT191" i="6" s="1"/>
  <c r="AJ190" i="6"/>
  <c r="AT190" i="6" s="1"/>
  <c r="AJ189" i="6"/>
  <c r="AT189" i="6" s="1"/>
  <c r="AJ188" i="6"/>
  <c r="AT188" i="6" s="1"/>
  <c r="AJ187" i="6"/>
  <c r="AT187" i="6" s="1"/>
  <c r="AJ186" i="6"/>
  <c r="AT186" i="6" s="1"/>
  <c r="AJ185" i="6"/>
  <c r="AT185" i="6" s="1"/>
  <c r="AJ183" i="6"/>
  <c r="AT183" i="6" s="1"/>
  <c r="AJ182" i="6"/>
  <c r="AT182" i="6" s="1"/>
  <c r="AJ181" i="6"/>
  <c r="AT181" i="6" s="1"/>
  <c r="AJ180" i="6"/>
  <c r="AT180" i="6" s="1"/>
  <c r="AJ179" i="6"/>
  <c r="AT179" i="6" s="1"/>
  <c r="AJ178" i="6"/>
  <c r="AT178" i="6" s="1"/>
  <c r="AJ177" i="6"/>
  <c r="AT177" i="6" s="1"/>
  <c r="AJ176" i="6"/>
  <c r="AT176" i="6" s="1"/>
  <c r="AT175" i="6"/>
  <c r="AJ174" i="6"/>
  <c r="AT174" i="6" s="1"/>
  <c r="AJ173" i="6"/>
  <c r="AT173" i="6" s="1"/>
  <c r="AJ172" i="6"/>
  <c r="AT172" i="6" s="1"/>
  <c r="AJ171" i="6"/>
  <c r="AT171" i="6" s="1"/>
  <c r="AJ170" i="6"/>
  <c r="AT170" i="6" s="1"/>
  <c r="AJ169" i="6"/>
  <c r="AT169" i="6" s="1"/>
  <c r="AJ168" i="6"/>
  <c r="AT168" i="6" s="1"/>
  <c r="AJ166" i="6"/>
  <c r="AT166" i="6" s="1"/>
  <c r="AJ165" i="6"/>
  <c r="AT165" i="6" s="1"/>
  <c r="AJ164" i="6"/>
  <c r="AT164" i="6" s="1"/>
  <c r="AJ163" i="6"/>
  <c r="AT163" i="6" s="1"/>
  <c r="AJ162" i="6"/>
  <c r="AT162" i="6" s="1"/>
  <c r="AJ161" i="6"/>
  <c r="AT161" i="6" s="1"/>
  <c r="AJ160" i="6"/>
  <c r="AT160" i="6" s="1"/>
  <c r="AJ159" i="6"/>
  <c r="AT159" i="6" s="1"/>
  <c r="AJ158" i="6"/>
  <c r="AT158" i="6" s="1"/>
  <c r="AJ157" i="6"/>
  <c r="AT157" i="6" s="1"/>
  <c r="AJ155" i="6"/>
  <c r="AT155" i="6" s="1"/>
  <c r="AJ154" i="6"/>
  <c r="AT154" i="6" s="1"/>
  <c r="AJ153" i="6"/>
  <c r="AT153" i="6" s="1"/>
  <c r="AJ152" i="6"/>
  <c r="AT152" i="6" s="1"/>
  <c r="AJ151" i="6"/>
  <c r="AT151" i="6" s="1"/>
  <c r="AJ150" i="6"/>
  <c r="AT150" i="6" s="1"/>
  <c r="AJ149" i="6"/>
  <c r="AT149" i="6" s="1"/>
  <c r="AJ148" i="6"/>
  <c r="AT148" i="6" s="1"/>
  <c r="AJ147" i="6"/>
  <c r="AT147" i="6" s="1"/>
  <c r="AJ146" i="6"/>
  <c r="AT146" i="6" s="1"/>
  <c r="AJ145" i="6"/>
  <c r="AT145" i="6" s="1"/>
  <c r="AJ144" i="6"/>
  <c r="AT144" i="6" s="1"/>
  <c r="AJ143" i="6"/>
  <c r="AT143" i="6" s="1"/>
  <c r="AJ142" i="6"/>
  <c r="AT142" i="6" s="1"/>
  <c r="AJ141" i="6"/>
  <c r="AT141" i="6" s="1"/>
  <c r="AJ140" i="6"/>
  <c r="AT140" i="6" s="1"/>
  <c r="AJ139" i="6"/>
  <c r="AT139" i="6" s="1"/>
  <c r="AJ138" i="6"/>
  <c r="AT138" i="6" s="1"/>
  <c r="AJ137" i="6"/>
  <c r="AT137" i="6" s="1"/>
  <c r="AJ136" i="6"/>
  <c r="AT136" i="6" s="1"/>
  <c r="AJ135" i="6"/>
  <c r="AT135" i="6" s="1"/>
  <c r="AJ134" i="6"/>
  <c r="AT134" i="6" s="1"/>
  <c r="AJ133" i="6"/>
  <c r="AT133" i="6" s="1"/>
  <c r="AJ132" i="6"/>
  <c r="AT132" i="6" s="1"/>
  <c r="AJ131" i="6"/>
  <c r="AT131" i="6" s="1"/>
  <c r="AJ130" i="6"/>
  <c r="AT130" i="6" s="1"/>
  <c r="AJ129" i="6"/>
  <c r="AT129" i="6" s="1"/>
  <c r="AJ128" i="6"/>
  <c r="AT128" i="6" s="1"/>
  <c r="AJ127" i="6"/>
  <c r="AT127" i="6" s="1"/>
  <c r="AJ126" i="6"/>
  <c r="AT126" i="6" s="1"/>
  <c r="AJ125" i="6"/>
  <c r="AT125" i="6" s="1"/>
  <c r="AJ124" i="6"/>
  <c r="AT124" i="6" s="1"/>
  <c r="AJ123" i="6"/>
  <c r="AT123" i="6" s="1"/>
  <c r="AJ122" i="6"/>
  <c r="AT122" i="6" s="1"/>
  <c r="AJ121" i="6"/>
  <c r="AT121" i="6" s="1"/>
  <c r="AJ120" i="6"/>
  <c r="AT120" i="6" s="1"/>
  <c r="AJ119" i="6"/>
  <c r="AT119" i="6" s="1"/>
  <c r="AJ118" i="6"/>
  <c r="AT118" i="6" s="1"/>
  <c r="AJ117" i="6"/>
  <c r="AT117" i="6" s="1"/>
  <c r="AJ116" i="6"/>
  <c r="AT116" i="6" s="1"/>
  <c r="AJ115" i="6"/>
  <c r="AT115" i="6" s="1"/>
  <c r="AJ113" i="6"/>
  <c r="AT113" i="6" s="1"/>
  <c r="AJ112" i="6"/>
  <c r="AT112" i="6" s="1"/>
  <c r="AJ111" i="6"/>
  <c r="AT111" i="6" s="1"/>
  <c r="AJ110" i="6"/>
  <c r="AT110" i="6" s="1"/>
  <c r="AJ109" i="6"/>
  <c r="AT109" i="6" s="1"/>
  <c r="AJ108" i="6"/>
  <c r="AT108" i="6" s="1"/>
  <c r="AJ107" i="6"/>
  <c r="AT107" i="6" s="1"/>
  <c r="AJ106" i="6"/>
  <c r="AT106" i="6" s="1"/>
  <c r="AJ105" i="6"/>
  <c r="AT105" i="6" s="1"/>
  <c r="AJ104" i="6"/>
  <c r="AT104" i="6" s="1"/>
  <c r="AJ103" i="6"/>
  <c r="AT103" i="6" s="1"/>
  <c r="AJ102" i="6"/>
  <c r="AT102" i="6" s="1"/>
  <c r="AJ100" i="6"/>
  <c r="AT100" i="6" s="1"/>
  <c r="AJ99" i="6"/>
  <c r="AT99" i="6" s="1"/>
  <c r="AJ98" i="6"/>
  <c r="AT98" i="6" s="1"/>
  <c r="AJ97" i="6"/>
  <c r="AT97" i="6" s="1"/>
  <c r="AJ96" i="6"/>
  <c r="AT96" i="6" s="1"/>
  <c r="AJ95" i="6"/>
  <c r="AT95" i="6" s="1"/>
  <c r="AJ94" i="6"/>
  <c r="AT94" i="6" s="1"/>
  <c r="AT93" i="6"/>
  <c r="AJ92" i="6"/>
  <c r="AT92" i="6" s="1"/>
  <c r="AJ90" i="6"/>
  <c r="AT90" i="6" s="1"/>
  <c r="AJ89" i="6"/>
  <c r="AT89" i="6" s="1"/>
  <c r="AJ88" i="6"/>
  <c r="AT88" i="6" s="1"/>
  <c r="AJ87" i="6"/>
  <c r="AT87" i="6" s="1"/>
  <c r="AJ86" i="6"/>
  <c r="AT86" i="6" s="1"/>
  <c r="AJ85" i="6"/>
  <c r="AT85" i="6" s="1"/>
  <c r="AJ84" i="6"/>
  <c r="AT84" i="6" s="1"/>
  <c r="AJ82" i="6"/>
  <c r="AT82" i="6" s="1"/>
  <c r="AJ81" i="6"/>
  <c r="AT81" i="6" s="1"/>
  <c r="AJ80" i="6"/>
  <c r="AT80" i="6" s="1"/>
  <c r="AJ79" i="6"/>
  <c r="AT79" i="6" s="1"/>
  <c r="AJ78" i="6"/>
  <c r="AT78" i="6" s="1"/>
  <c r="AJ77" i="6"/>
  <c r="AT77" i="6" s="1"/>
  <c r="AJ76" i="6"/>
  <c r="AT76" i="6" s="1"/>
  <c r="AJ75" i="6"/>
  <c r="AT75" i="6" s="1"/>
  <c r="AJ74" i="6"/>
  <c r="AT74" i="6" s="1"/>
  <c r="AJ73" i="6"/>
  <c r="AT73" i="6" s="1"/>
  <c r="AJ72" i="6"/>
  <c r="AT72" i="6" s="1"/>
  <c r="AJ71" i="6"/>
  <c r="AT71" i="6" s="1"/>
  <c r="AJ70" i="6"/>
  <c r="AT70" i="6" s="1"/>
  <c r="AJ69" i="6"/>
  <c r="AT69" i="6" s="1"/>
  <c r="AJ68" i="6"/>
  <c r="AT68" i="6" s="1"/>
  <c r="AJ67" i="6"/>
  <c r="AT67" i="6" s="1"/>
  <c r="AJ66" i="6"/>
  <c r="AT66" i="6" s="1"/>
  <c r="AJ65" i="6"/>
  <c r="AT65" i="6" s="1"/>
  <c r="AJ64" i="6"/>
  <c r="AT64" i="6" s="1"/>
  <c r="AJ63" i="6"/>
  <c r="AT63" i="6" s="1"/>
  <c r="AJ62" i="6"/>
  <c r="AT62" i="6" s="1"/>
  <c r="AJ61" i="6"/>
  <c r="AT61" i="6" s="1"/>
  <c r="AJ60" i="6"/>
  <c r="AT60" i="6" s="1"/>
  <c r="AJ59" i="6"/>
  <c r="AT59" i="6" s="1"/>
  <c r="AJ58" i="6"/>
  <c r="AT58" i="6" s="1"/>
  <c r="AJ57" i="6"/>
  <c r="AT57" i="6" s="1"/>
  <c r="AJ56" i="6"/>
  <c r="AT56" i="6" s="1"/>
  <c r="AJ55" i="6"/>
  <c r="AT55" i="6" s="1"/>
  <c r="AJ54" i="6"/>
  <c r="AT54" i="6" s="1"/>
  <c r="AJ53" i="6"/>
  <c r="AT53" i="6" s="1"/>
  <c r="AJ52" i="6"/>
  <c r="AT52" i="6" s="1"/>
  <c r="AJ51" i="6"/>
  <c r="AT51" i="6" s="1"/>
  <c r="AJ50" i="6"/>
  <c r="AT50" i="6" s="1"/>
  <c r="AJ49" i="6"/>
  <c r="AT49" i="6" s="1"/>
  <c r="AJ48" i="6"/>
  <c r="AT48" i="6" s="1"/>
  <c r="AJ47" i="6"/>
  <c r="AT47" i="6" s="1"/>
  <c r="AJ46" i="6"/>
  <c r="AT46" i="6" s="1"/>
  <c r="AJ44" i="6"/>
  <c r="AT44" i="6" s="1"/>
  <c r="AT43" i="6"/>
  <c r="AJ42" i="6"/>
  <c r="AT42" i="6" s="1"/>
  <c r="AJ41" i="6"/>
  <c r="AT41" i="6" s="1"/>
  <c r="AJ40" i="6"/>
  <c r="AT40" i="6" s="1"/>
  <c r="AJ39" i="6"/>
  <c r="AT39" i="6" s="1"/>
  <c r="AJ38" i="6"/>
  <c r="AT38" i="6" s="1"/>
  <c r="AJ37" i="6"/>
  <c r="AT37" i="6" s="1"/>
  <c r="AJ36" i="6"/>
  <c r="AT36" i="6" s="1"/>
  <c r="AJ35" i="6"/>
  <c r="AT35" i="6" s="1"/>
  <c r="AJ34" i="6"/>
  <c r="AT34" i="6" s="1"/>
  <c r="AJ33" i="6"/>
  <c r="AT33" i="6" s="1"/>
  <c r="AJ32" i="6"/>
  <c r="AT32" i="6" s="1"/>
  <c r="AJ31" i="6"/>
  <c r="AT31" i="6" s="1"/>
  <c r="AJ30" i="6"/>
  <c r="AT30" i="6" s="1"/>
  <c r="AJ29" i="6"/>
  <c r="AT29" i="6" s="1"/>
  <c r="AJ28" i="6"/>
  <c r="AT28" i="6" s="1"/>
  <c r="AJ27" i="6"/>
  <c r="AT27" i="6" s="1"/>
  <c r="AJ26" i="6"/>
  <c r="AT26" i="6" s="1"/>
  <c r="AJ25" i="6"/>
  <c r="AT25" i="6" s="1"/>
  <c r="AJ24" i="6"/>
  <c r="AT24" i="6" s="1"/>
  <c r="AJ23" i="6"/>
  <c r="AT23" i="6" s="1"/>
  <c r="AJ22" i="6"/>
  <c r="AT22" i="6" s="1"/>
  <c r="AJ21" i="6"/>
  <c r="AT21" i="6" s="1"/>
  <c r="AT19" i="6"/>
  <c r="AJ18" i="6"/>
  <c r="AT18" i="6" s="1"/>
  <c r="AJ17" i="6"/>
  <c r="AT17" i="6" s="1"/>
  <c r="AJ16" i="6"/>
  <c r="AT16" i="6" s="1"/>
  <c r="AJ15" i="6"/>
  <c r="AT15" i="6" s="1"/>
  <c r="AJ14" i="6"/>
  <c r="AT14" i="6" s="1"/>
  <c r="K238" i="6"/>
  <c r="E238" i="6"/>
  <c r="K237" i="6"/>
  <c r="E237" i="6"/>
  <c r="K236" i="6"/>
  <c r="E236" i="6"/>
  <c r="K234" i="6"/>
  <c r="E234" i="6"/>
  <c r="K233" i="6"/>
  <c r="E233" i="6"/>
  <c r="K232" i="6"/>
  <c r="E232" i="6"/>
  <c r="K231" i="6"/>
  <c r="E231" i="6"/>
  <c r="K230" i="6"/>
  <c r="E230" i="6"/>
  <c r="K229" i="6"/>
  <c r="E229" i="6"/>
  <c r="K228" i="6"/>
  <c r="E228" i="6"/>
  <c r="K227" i="6"/>
  <c r="E227" i="6"/>
  <c r="K226" i="6"/>
  <c r="E226" i="6"/>
  <c r="K225" i="6"/>
  <c r="E225" i="6"/>
  <c r="K224" i="6"/>
  <c r="E224" i="6"/>
  <c r="K223" i="6"/>
  <c r="E223" i="6"/>
  <c r="K222" i="6"/>
  <c r="E222" i="6"/>
  <c r="K221" i="6"/>
  <c r="E221" i="6"/>
  <c r="K220" i="6"/>
  <c r="E220" i="6"/>
  <c r="K219" i="6"/>
  <c r="E219" i="6"/>
  <c r="K218" i="6"/>
  <c r="E218" i="6"/>
  <c r="K217" i="6"/>
  <c r="E217" i="6"/>
  <c r="K216" i="6"/>
  <c r="E216" i="6"/>
  <c r="K215" i="6"/>
  <c r="E215" i="6"/>
  <c r="K214" i="6"/>
  <c r="E214" i="6"/>
  <c r="K213" i="6"/>
  <c r="E213" i="6"/>
  <c r="K212" i="6"/>
  <c r="E212" i="6"/>
  <c r="K211" i="6"/>
  <c r="E211" i="6"/>
  <c r="K210" i="6"/>
  <c r="E210" i="6"/>
  <c r="K209" i="6"/>
  <c r="E209" i="6"/>
  <c r="K208" i="6"/>
  <c r="E208" i="6"/>
  <c r="K207" i="6"/>
  <c r="E207" i="6"/>
  <c r="K206" i="6"/>
  <c r="E206" i="6"/>
  <c r="E205" i="6"/>
  <c r="K204" i="6"/>
  <c r="E204" i="6"/>
  <c r="K203" i="6"/>
  <c r="E203" i="6"/>
  <c r="E202" i="6"/>
  <c r="K201" i="6"/>
  <c r="E201" i="6"/>
  <c r="K200" i="6"/>
  <c r="E200" i="6"/>
  <c r="K199" i="6"/>
  <c r="E199" i="6"/>
  <c r="K198" i="6"/>
  <c r="E198" i="6"/>
  <c r="K197" i="6"/>
  <c r="E197" i="6"/>
  <c r="K196" i="6"/>
  <c r="K195" i="6"/>
  <c r="E195" i="6"/>
  <c r="K194" i="6"/>
  <c r="E194" i="6"/>
  <c r="K193" i="6"/>
  <c r="E193" i="6"/>
  <c r="K192" i="6"/>
  <c r="E192" i="6"/>
  <c r="K191" i="6"/>
  <c r="E191" i="6"/>
  <c r="K190" i="6"/>
  <c r="E190" i="6"/>
  <c r="K189" i="6"/>
  <c r="E189" i="6"/>
  <c r="K188" i="6"/>
  <c r="E188" i="6"/>
  <c r="K187" i="6"/>
  <c r="E187" i="6"/>
  <c r="K186" i="6"/>
  <c r="E186" i="6"/>
  <c r="K185" i="6"/>
  <c r="E185" i="6"/>
  <c r="K183" i="6"/>
  <c r="E183" i="6"/>
  <c r="K182" i="6"/>
  <c r="E182" i="6"/>
  <c r="K181" i="6"/>
  <c r="E181" i="6"/>
  <c r="K180" i="6"/>
  <c r="E180" i="6"/>
  <c r="K179" i="6"/>
  <c r="K178" i="6"/>
  <c r="K177" i="6"/>
  <c r="K175" i="6"/>
  <c r="E175" i="6"/>
  <c r="K174" i="6"/>
  <c r="E174" i="6"/>
  <c r="K173" i="6"/>
  <c r="E173" i="6"/>
  <c r="K172" i="6"/>
  <c r="E172" i="6"/>
  <c r="K171" i="6"/>
  <c r="E171" i="6"/>
  <c r="K170" i="6"/>
  <c r="E170" i="6"/>
  <c r="E169" i="6"/>
  <c r="K168" i="6"/>
  <c r="E168" i="6"/>
  <c r="K166" i="6"/>
  <c r="E166" i="6"/>
  <c r="K165" i="6"/>
  <c r="E165" i="6"/>
  <c r="K164" i="6"/>
  <c r="E164" i="6"/>
  <c r="K163" i="6"/>
  <c r="E163" i="6"/>
  <c r="K162" i="6"/>
  <c r="E162" i="6"/>
  <c r="K161" i="6"/>
  <c r="E161" i="6"/>
  <c r="K160" i="6"/>
  <c r="E160" i="6"/>
  <c r="K159" i="6"/>
  <c r="E159" i="6"/>
  <c r="K158" i="6"/>
  <c r="E158" i="6"/>
  <c r="E157" i="6"/>
  <c r="K155" i="6"/>
  <c r="E155" i="6"/>
  <c r="K154" i="6"/>
  <c r="E154" i="6"/>
  <c r="K153" i="6"/>
  <c r="E153" i="6"/>
  <c r="K152" i="6"/>
  <c r="E152" i="6"/>
  <c r="K151" i="6"/>
  <c r="E151" i="6"/>
  <c r="K150" i="6"/>
  <c r="E150" i="6"/>
  <c r="K149" i="6"/>
  <c r="E149" i="6"/>
  <c r="K148" i="6"/>
  <c r="E148" i="6"/>
  <c r="K147" i="6"/>
  <c r="E147" i="6"/>
  <c r="K146" i="6"/>
  <c r="E146" i="6"/>
  <c r="K145" i="6"/>
  <c r="E145" i="6"/>
  <c r="K144" i="6"/>
  <c r="E144" i="6"/>
  <c r="K143" i="6"/>
  <c r="E143" i="6"/>
  <c r="K142" i="6"/>
  <c r="E142" i="6"/>
  <c r="K141" i="6"/>
  <c r="E141" i="6"/>
  <c r="K140" i="6"/>
  <c r="E140" i="6"/>
  <c r="K139" i="6"/>
  <c r="E139" i="6"/>
  <c r="K138" i="6"/>
  <c r="E138" i="6"/>
  <c r="K137" i="6"/>
  <c r="E137" i="6"/>
  <c r="K136" i="6"/>
  <c r="E136" i="6"/>
  <c r="K135" i="6"/>
  <c r="E135" i="6"/>
  <c r="K134" i="6"/>
  <c r="E134" i="6"/>
  <c r="E133" i="6"/>
  <c r="K132" i="6"/>
  <c r="E132" i="6"/>
  <c r="K131" i="6"/>
  <c r="E131" i="6"/>
  <c r="K130" i="6"/>
  <c r="E130" i="6"/>
  <c r="K129" i="6"/>
  <c r="E129" i="6"/>
  <c r="K128" i="6"/>
  <c r="E128" i="6"/>
  <c r="K127" i="6"/>
  <c r="E127" i="6"/>
  <c r="K126" i="6"/>
  <c r="E126" i="6"/>
  <c r="K125" i="6"/>
  <c r="E125" i="6"/>
  <c r="K124" i="6"/>
  <c r="E124" i="6"/>
  <c r="E123" i="6"/>
  <c r="K122" i="6"/>
  <c r="E122" i="6"/>
  <c r="K121" i="6"/>
  <c r="E121" i="6"/>
  <c r="K120" i="6"/>
  <c r="E120" i="6"/>
  <c r="K119" i="6"/>
  <c r="E119" i="6"/>
  <c r="K118" i="6"/>
  <c r="E118" i="6"/>
  <c r="K117" i="6"/>
  <c r="E117" i="6"/>
  <c r="K116" i="6"/>
  <c r="E116" i="6"/>
  <c r="K115" i="6"/>
  <c r="E115" i="6"/>
  <c r="K113" i="6"/>
  <c r="E113" i="6"/>
  <c r="K112" i="6"/>
  <c r="E112" i="6"/>
  <c r="K111" i="6"/>
  <c r="E111" i="6"/>
  <c r="K110" i="6"/>
  <c r="E110" i="6"/>
  <c r="K109" i="6"/>
  <c r="E109" i="6"/>
  <c r="K108" i="6"/>
  <c r="E108" i="6"/>
  <c r="K107" i="6"/>
  <c r="E107" i="6"/>
  <c r="K106" i="6"/>
  <c r="E106" i="6"/>
  <c r="K105" i="6"/>
  <c r="E105" i="6"/>
  <c r="K104" i="6"/>
  <c r="E104" i="6"/>
  <c r="K103" i="6"/>
  <c r="E103" i="6"/>
  <c r="K102" i="6"/>
  <c r="E102" i="6"/>
  <c r="K100" i="6"/>
  <c r="E100" i="6"/>
  <c r="K99" i="6"/>
  <c r="E99" i="6"/>
  <c r="K98" i="6"/>
  <c r="E98" i="6"/>
  <c r="K97" i="6"/>
  <c r="E97" i="6"/>
  <c r="K96" i="6"/>
  <c r="E96" i="6"/>
  <c r="E95" i="6"/>
  <c r="K94" i="6"/>
  <c r="E94" i="6"/>
  <c r="K93" i="6"/>
  <c r="E93" i="6"/>
  <c r="K92" i="6"/>
  <c r="E92" i="6"/>
  <c r="K90" i="6"/>
  <c r="E90" i="6"/>
  <c r="K89" i="6"/>
  <c r="E89" i="6"/>
  <c r="K88" i="6"/>
  <c r="E88" i="6"/>
  <c r="K87" i="6"/>
  <c r="E87" i="6"/>
  <c r="K86" i="6"/>
  <c r="E86" i="6"/>
  <c r="K85" i="6"/>
  <c r="E85" i="6"/>
  <c r="K84" i="6"/>
  <c r="E84" i="6"/>
  <c r="E82" i="6"/>
  <c r="K81" i="6"/>
  <c r="E81" i="6"/>
  <c r="K80" i="6"/>
  <c r="E80" i="6"/>
  <c r="K79" i="6"/>
  <c r="E79" i="6"/>
  <c r="K78" i="6"/>
  <c r="E78" i="6"/>
  <c r="K77" i="6"/>
  <c r="E77" i="6"/>
  <c r="K76" i="6"/>
  <c r="E76" i="6"/>
  <c r="K75" i="6"/>
  <c r="E75" i="6"/>
  <c r="E74" i="6"/>
  <c r="K73" i="6"/>
  <c r="E73" i="6"/>
  <c r="K72" i="6"/>
  <c r="E72" i="6"/>
  <c r="K71" i="6"/>
  <c r="E71" i="6"/>
  <c r="K70" i="6"/>
  <c r="K69" i="6"/>
  <c r="E69" i="6"/>
  <c r="K68" i="6"/>
  <c r="E68" i="6"/>
  <c r="K67" i="6"/>
  <c r="E67" i="6"/>
  <c r="K66" i="6"/>
  <c r="E66" i="6"/>
  <c r="K65" i="6"/>
  <c r="E65" i="6"/>
  <c r="K64" i="6"/>
  <c r="E64" i="6"/>
  <c r="K63" i="6"/>
  <c r="E63" i="6"/>
  <c r="K62" i="6"/>
  <c r="E62" i="6"/>
  <c r="K61" i="6"/>
  <c r="E61" i="6"/>
  <c r="K60" i="6"/>
  <c r="E60" i="6"/>
  <c r="K59" i="6"/>
  <c r="E59" i="6"/>
  <c r="K58" i="6"/>
  <c r="E58" i="6"/>
  <c r="K57" i="6"/>
  <c r="E57" i="6"/>
  <c r="K56" i="6"/>
  <c r="E56" i="6"/>
  <c r="K55" i="6"/>
  <c r="E55" i="6"/>
  <c r="E54" i="6"/>
  <c r="K53" i="6"/>
  <c r="E53" i="6"/>
  <c r="K52" i="6"/>
  <c r="E52" i="6"/>
  <c r="K51" i="6"/>
  <c r="E51" i="6"/>
  <c r="K50" i="6"/>
  <c r="E50" i="6"/>
  <c r="K49" i="6"/>
  <c r="K48" i="6"/>
  <c r="E48" i="6"/>
  <c r="K47" i="6"/>
  <c r="E47" i="6"/>
  <c r="K46" i="6"/>
  <c r="E46" i="6"/>
  <c r="K44" i="6"/>
  <c r="E44" i="6"/>
  <c r="K42" i="6"/>
  <c r="E42" i="6"/>
  <c r="K41" i="6"/>
  <c r="E41" i="6"/>
  <c r="K40" i="6"/>
  <c r="E40" i="6"/>
  <c r="K39" i="6"/>
  <c r="E39" i="6"/>
  <c r="K38" i="6"/>
  <c r="E38" i="6"/>
  <c r="K37" i="6"/>
  <c r="E37" i="6"/>
  <c r="K36" i="6"/>
  <c r="E36" i="6"/>
  <c r="K35" i="6"/>
  <c r="E35" i="6"/>
  <c r="K34" i="6"/>
  <c r="E34" i="6"/>
  <c r="K33" i="6"/>
  <c r="E33" i="6"/>
  <c r="K32" i="6"/>
  <c r="E32" i="6"/>
  <c r="K31" i="6"/>
  <c r="E31" i="6"/>
  <c r="K30" i="6"/>
  <c r="E30" i="6"/>
  <c r="AZ30" i="6" s="1"/>
  <c r="K29" i="6"/>
  <c r="E29" i="6"/>
  <c r="E28" i="6"/>
  <c r="K27" i="6"/>
  <c r="E27" i="6"/>
  <c r="K26" i="6"/>
  <c r="E26" i="6"/>
  <c r="K25" i="6"/>
  <c r="E25" i="6"/>
  <c r="K24" i="6"/>
  <c r="E24" i="6"/>
  <c r="K23" i="6"/>
  <c r="E23" i="6"/>
  <c r="K22" i="6"/>
  <c r="E22" i="6"/>
  <c r="K21" i="6"/>
  <c r="E21" i="6"/>
  <c r="K19" i="6"/>
  <c r="E19" i="6"/>
  <c r="K18" i="6"/>
  <c r="E18" i="6"/>
  <c r="K17" i="6"/>
  <c r="E17" i="6"/>
  <c r="K16" i="6"/>
  <c r="E16" i="6"/>
  <c r="K15" i="6"/>
  <c r="E15" i="6"/>
  <c r="K14" i="6"/>
  <c r="E14" i="6"/>
  <c r="E12" i="6"/>
  <c r="AH199" i="5"/>
  <c r="AH136" i="5"/>
  <c r="AH140" i="5" s="1"/>
  <c r="AH71" i="5"/>
  <c r="AH239" i="5"/>
  <c r="AH238" i="5"/>
  <c r="AH237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5" i="5"/>
  <c r="AH154" i="5"/>
  <c r="AH153" i="5"/>
  <c r="AH152" i="5"/>
  <c r="AH150" i="5"/>
  <c r="AH149" i="5"/>
  <c r="AH148" i="5"/>
  <c r="AH147" i="5"/>
  <c r="AH151" i="5" s="1"/>
  <c r="AH145" i="5"/>
  <c r="AH144" i="5"/>
  <c r="AH143" i="5"/>
  <c r="AH142" i="5"/>
  <c r="AH141" i="5"/>
  <c r="AH139" i="5"/>
  <c r="AH137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1" i="5"/>
  <c r="AH110" i="5"/>
  <c r="AH109" i="5"/>
  <c r="AH108" i="5"/>
  <c r="AH107" i="5"/>
  <c r="AH106" i="5"/>
  <c r="AH105" i="5"/>
  <c r="AH104" i="5"/>
  <c r="AH103" i="5"/>
  <c r="AH102" i="5"/>
  <c r="AH101" i="5"/>
  <c r="AH98" i="5"/>
  <c r="AH97" i="5"/>
  <c r="AH96" i="5"/>
  <c r="AH95" i="5"/>
  <c r="AH94" i="5"/>
  <c r="AH93" i="5"/>
  <c r="AH100" i="5" s="1"/>
  <c r="AH92" i="5"/>
  <c r="AH91" i="5"/>
  <c r="AH90" i="5"/>
  <c r="AH89" i="5"/>
  <c r="AH88" i="5"/>
  <c r="AH87" i="5"/>
  <c r="AH86" i="5"/>
  <c r="AH84" i="5"/>
  <c r="AH83" i="5"/>
  <c r="AH82" i="5"/>
  <c r="AH81" i="5"/>
  <c r="AH80" i="5"/>
  <c r="AH79" i="5"/>
  <c r="AH78" i="5"/>
  <c r="AH77" i="5"/>
  <c r="AH76" i="5"/>
  <c r="AH75" i="5"/>
  <c r="AH74" i="5"/>
  <c r="AH72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4" i="5"/>
  <c r="AH53" i="5"/>
  <c r="AH52" i="5"/>
  <c r="AH51" i="5"/>
  <c r="AH50" i="5"/>
  <c r="AH49" i="5"/>
  <c r="AH48" i="5"/>
  <c r="AH47" i="5"/>
  <c r="AH45" i="5"/>
  <c r="AH44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7" i="5"/>
  <c r="AH16" i="5"/>
  <c r="AH15" i="5"/>
  <c r="AH14" i="5"/>
  <c r="AH13" i="5"/>
  <c r="AH12" i="5"/>
  <c r="S200" i="4"/>
  <c r="S134" i="4"/>
  <c r="S71" i="4"/>
  <c r="S10" i="4"/>
  <c r="S240" i="4"/>
  <c r="S239" i="4"/>
  <c r="S238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6" i="4"/>
  <c r="S135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7" i="4"/>
  <c r="S116" i="4"/>
  <c r="S115" i="4"/>
  <c r="S114" i="4"/>
  <c r="S113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0" i="4"/>
  <c r="S69" i="4"/>
  <c r="S68" i="4"/>
  <c r="S67" i="4"/>
  <c r="S66" i="4"/>
  <c r="S65" i="4"/>
  <c r="S64" i="4"/>
  <c r="S63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7" i="4"/>
  <c r="S14" i="4"/>
  <c r="S13" i="4"/>
  <c r="S12" i="4"/>
  <c r="AC200" i="2"/>
  <c r="AC134" i="2"/>
  <c r="AC71" i="2"/>
  <c r="AC70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2" i="2"/>
  <c r="AC41" i="2"/>
  <c r="AC40" i="2"/>
  <c r="AC39" i="2"/>
  <c r="AC38" i="2"/>
  <c r="AC37" i="2"/>
  <c r="AC36" i="2"/>
  <c r="AC35" i="2"/>
  <c r="AC34" i="2"/>
  <c r="AC33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7" i="2"/>
  <c r="AC16" i="2"/>
  <c r="AC15" i="2"/>
  <c r="AC14" i="2"/>
  <c r="AC13" i="2"/>
  <c r="AC12" i="2"/>
  <c r="AC11" i="2"/>
  <c r="AC133" i="2"/>
  <c r="AC132" i="2"/>
  <c r="AC130" i="2"/>
  <c r="AC129" i="2"/>
  <c r="AC136" i="2" s="1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199" i="2"/>
  <c r="AC198" i="2"/>
  <c r="AC197" i="2"/>
  <c r="AC196" i="2"/>
  <c r="AC195" i="2"/>
  <c r="AC194" i="2"/>
  <c r="AC193" i="2"/>
  <c r="AC192" i="2"/>
  <c r="AC191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5" i="2"/>
  <c r="AC154" i="2"/>
  <c r="AC153" i="2"/>
  <c r="AC152" i="2"/>
  <c r="AC151" i="2"/>
  <c r="AC150" i="2"/>
  <c r="AC149" i="2"/>
  <c r="AC148" i="2"/>
  <c r="AC146" i="2"/>
  <c r="AC145" i="2"/>
  <c r="AC144" i="2"/>
  <c r="AC143" i="2"/>
  <c r="AC142" i="2"/>
  <c r="AC147" i="2" s="1"/>
  <c r="AC141" i="2"/>
  <c r="AC140" i="2"/>
  <c r="AC139" i="2"/>
  <c r="AC138" i="2"/>
  <c r="AC137" i="2"/>
  <c r="AC135" i="2"/>
  <c r="AC239" i="2"/>
  <c r="AC238" i="2"/>
  <c r="AC237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7" i="2"/>
  <c r="AC208" i="2" s="1"/>
  <c r="AC206" i="2"/>
  <c r="AC205" i="2"/>
  <c r="AC204" i="2"/>
  <c r="AC203" i="2"/>
  <c r="AC202" i="2"/>
  <c r="AC201" i="2"/>
  <c r="S240" i="1"/>
  <c r="S239" i="1"/>
  <c r="S238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1" i="1"/>
  <c r="S160" i="1"/>
  <c r="S159" i="1"/>
  <c r="S158" i="1"/>
  <c r="S157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2" i="1"/>
  <c r="S111" i="1"/>
  <c r="S109" i="1"/>
  <c r="S108" i="1"/>
  <c r="S107" i="1"/>
  <c r="S106" i="1"/>
  <c r="S105" i="1"/>
  <c r="S104" i="1"/>
  <c r="S103" i="1"/>
  <c r="S102" i="1"/>
  <c r="S101" i="1"/>
  <c r="S100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6" i="1"/>
  <c r="S65" i="1"/>
  <c r="S64" i="1"/>
  <c r="S63" i="1"/>
  <c r="S62" i="1"/>
  <c r="S61" i="1"/>
  <c r="S60" i="1"/>
  <c r="S58" i="1"/>
  <c r="S57" i="1"/>
  <c r="S56" i="1"/>
  <c r="S55" i="1"/>
  <c r="S54" i="1"/>
  <c r="S53" i="1"/>
  <c r="S52" i="1"/>
  <c r="S51" i="1"/>
  <c r="S49" i="1"/>
  <c r="S48" i="1"/>
  <c r="S47" i="1"/>
  <c r="S46" i="1"/>
  <c r="S45" i="1"/>
  <c r="S44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7" i="1"/>
  <c r="S16" i="1"/>
  <c r="S15" i="1"/>
  <c r="S14" i="1"/>
  <c r="S13" i="1"/>
  <c r="S12" i="1"/>
  <c r="S11" i="1"/>
  <c r="S67" i="1"/>
  <c r="S188" i="1"/>
  <c r="S129" i="1"/>
  <c r="S68" i="1"/>
  <c r="S70" i="3"/>
  <c r="S69" i="3"/>
  <c r="S68" i="3"/>
  <c r="S67" i="3"/>
  <c r="S66" i="3"/>
  <c r="S65" i="3"/>
  <c r="S64" i="3"/>
  <c r="S63" i="3"/>
  <c r="S62" i="3"/>
  <c r="S60" i="3"/>
  <c r="S59" i="3"/>
  <c r="S58" i="3"/>
  <c r="S57" i="3"/>
  <c r="S56" i="3"/>
  <c r="S55" i="3"/>
  <c r="AR55" i="5" s="1"/>
  <c r="S54" i="3"/>
  <c r="S53" i="3"/>
  <c r="S52" i="3"/>
  <c r="S51" i="3"/>
  <c r="S50" i="3"/>
  <c r="S49" i="3"/>
  <c r="S48" i="3"/>
  <c r="S47" i="3"/>
  <c r="S46" i="3"/>
  <c r="S45" i="3"/>
  <c r="S44" i="3"/>
  <c r="AR44" i="5" s="1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7" i="3"/>
  <c r="S16" i="3"/>
  <c r="S15" i="3"/>
  <c r="S14" i="3"/>
  <c r="S13" i="3"/>
  <c r="S12" i="3"/>
  <c r="S11" i="3"/>
  <c r="S133" i="3"/>
  <c r="S132" i="3"/>
  <c r="S131" i="3"/>
  <c r="S130" i="3"/>
  <c r="S129" i="3"/>
  <c r="U129" i="3" s="1"/>
  <c r="S128" i="3"/>
  <c r="S127" i="3"/>
  <c r="S126" i="3"/>
  <c r="S125" i="3"/>
  <c r="S124" i="3"/>
  <c r="S123" i="3"/>
  <c r="S122" i="3"/>
  <c r="S121" i="3"/>
  <c r="S120" i="3"/>
  <c r="S119" i="3"/>
  <c r="S118" i="3"/>
  <c r="S117" i="3"/>
  <c r="S115" i="3"/>
  <c r="S114" i="3"/>
  <c r="S113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8" i="3"/>
  <c r="S97" i="3"/>
  <c r="S96" i="3"/>
  <c r="U96" i="3" s="1"/>
  <c r="S95" i="3"/>
  <c r="S94" i="3"/>
  <c r="S93" i="3"/>
  <c r="S92" i="3"/>
  <c r="S91" i="3"/>
  <c r="S90" i="3"/>
  <c r="S89" i="3"/>
  <c r="AR89" i="5" s="1"/>
  <c r="S88" i="3"/>
  <c r="AR88" i="5" s="1"/>
  <c r="S87" i="3"/>
  <c r="AR87" i="5" s="1"/>
  <c r="S86" i="3"/>
  <c r="AR86" i="5" s="1"/>
  <c r="S85" i="3"/>
  <c r="AR85" i="5" s="1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AR176" i="5" s="1"/>
  <c r="S176" i="3"/>
  <c r="S175" i="3"/>
  <c r="S174" i="3"/>
  <c r="S173" i="3"/>
  <c r="S172" i="3"/>
  <c r="S171" i="3"/>
  <c r="S170" i="3"/>
  <c r="S169" i="3"/>
  <c r="S167" i="3"/>
  <c r="S166" i="3"/>
  <c r="S165" i="3"/>
  <c r="S164" i="3"/>
  <c r="S163" i="3"/>
  <c r="S162" i="3"/>
  <c r="S161" i="3"/>
  <c r="S160" i="3"/>
  <c r="S159" i="3"/>
  <c r="S158" i="3"/>
  <c r="S157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2" i="3"/>
  <c r="S141" i="3"/>
  <c r="S140" i="3"/>
  <c r="S139" i="3"/>
  <c r="S138" i="3"/>
  <c r="S137" i="3"/>
  <c r="S136" i="3"/>
  <c r="S135" i="3"/>
  <c r="S240" i="3"/>
  <c r="S239" i="3"/>
  <c r="S238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2" i="3"/>
  <c r="S221" i="3"/>
  <c r="S220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AR199" i="5" s="1"/>
  <c r="S199" i="3"/>
  <c r="S134" i="3"/>
  <c r="S71" i="3"/>
  <c r="S10" i="3"/>
  <c r="W201" i="8"/>
  <c r="W137" i="8"/>
  <c r="W72" i="8"/>
  <c r="W240" i="8"/>
  <c r="W239" i="8"/>
  <c r="W238" i="8"/>
  <c r="W236" i="8"/>
  <c r="W235" i="8"/>
  <c r="W234" i="8"/>
  <c r="W233" i="8"/>
  <c r="W231" i="8"/>
  <c r="W230" i="8"/>
  <c r="W229" i="8"/>
  <c r="W228" i="8"/>
  <c r="W227" i="8"/>
  <c r="W226" i="8"/>
  <c r="W225" i="8"/>
  <c r="W224" i="8"/>
  <c r="W223" i="8"/>
  <c r="W222" i="8"/>
  <c r="W221" i="8"/>
  <c r="W220" i="8"/>
  <c r="W219" i="8"/>
  <c r="W218" i="8"/>
  <c r="W217" i="8"/>
  <c r="W216" i="8"/>
  <c r="W215" i="8"/>
  <c r="W214" i="8"/>
  <c r="W213" i="8"/>
  <c r="W212" i="8"/>
  <c r="W211" i="8"/>
  <c r="W210" i="8"/>
  <c r="W209" i="8"/>
  <c r="W208" i="8"/>
  <c r="W207" i="8"/>
  <c r="W206" i="8"/>
  <c r="W205" i="8"/>
  <c r="W204" i="8"/>
  <c r="W203" i="8"/>
  <c r="W202" i="8"/>
  <c r="W200" i="8"/>
  <c r="W199" i="8"/>
  <c r="W198" i="8"/>
  <c r="W197" i="8"/>
  <c r="W196" i="8"/>
  <c r="W194" i="8"/>
  <c r="W193" i="8"/>
  <c r="W192" i="8"/>
  <c r="W191" i="8"/>
  <c r="W190" i="8"/>
  <c r="W189" i="8"/>
  <c r="W188" i="8"/>
  <c r="W187" i="8"/>
  <c r="W186" i="8"/>
  <c r="W185" i="8"/>
  <c r="W184" i="8"/>
  <c r="W183" i="8"/>
  <c r="W182" i="8"/>
  <c r="W181" i="8"/>
  <c r="W180" i="8"/>
  <c r="W179" i="8"/>
  <c r="W178" i="8"/>
  <c r="W176" i="8"/>
  <c r="W175" i="8"/>
  <c r="W174" i="8"/>
  <c r="W173" i="8"/>
  <c r="W172" i="8"/>
  <c r="W171" i="8"/>
  <c r="W170" i="8"/>
  <c r="W169" i="8"/>
  <c r="W168" i="8"/>
  <c r="W167" i="8"/>
  <c r="W166" i="8"/>
  <c r="W165" i="8"/>
  <c r="W164" i="8"/>
  <c r="W163" i="8"/>
  <c r="W162" i="8"/>
  <c r="W161" i="8"/>
  <c r="W160" i="8"/>
  <c r="W159" i="8"/>
  <c r="W158" i="8"/>
  <c r="W157" i="8"/>
  <c r="W155" i="8"/>
  <c r="W154" i="8"/>
  <c r="W153" i="8"/>
  <c r="W152" i="8"/>
  <c r="W151" i="8"/>
  <c r="W150" i="8"/>
  <c r="W149" i="8"/>
  <c r="W148" i="8"/>
  <c r="W147" i="8"/>
  <c r="W146" i="8"/>
  <c r="W145" i="8"/>
  <c r="W144" i="8"/>
  <c r="W143" i="8"/>
  <c r="W142" i="8"/>
  <c r="W141" i="8"/>
  <c r="W140" i="8"/>
  <c r="W139" i="8"/>
  <c r="W138" i="8"/>
  <c r="W136" i="8"/>
  <c r="W135" i="8"/>
  <c r="W134" i="8"/>
  <c r="W133" i="8"/>
  <c r="W132" i="8"/>
  <c r="W131" i="8"/>
  <c r="W130" i="8"/>
  <c r="W129" i="8"/>
  <c r="W128" i="8"/>
  <c r="W127" i="8"/>
  <c r="W126" i="8"/>
  <c r="W125" i="8"/>
  <c r="W124" i="8"/>
  <c r="W122" i="8"/>
  <c r="W121" i="8"/>
  <c r="W120" i="8"/>
  <c r="W119" i="8"/>
  <c r="W118" i="8"/>
  <c r="W117" i="8"/>
  <c r="W116" i="8"/>
  <c r="W115" i="8"/>
  <c r="W114" i="8"/>
  <c r="W113" i="8"/>
  <c r="W111" i="8"/>
  <c r="W110" i="8"/>
  <c r="W109" i="8"/>
  <c r="W108" i="8"/>
  <c r="W107" i="8"/>
  <c r="W106" i="8"/>
  <c r="W105" i="8"/>
  <c r="W104" i="8"/>
  <c r="W103" i="8"/>
  <c r="W102" i="8"/>
  <c r="W101" i="8"/>
  <c r="W100" i="8"/>
  <c r="W98" i="8"/>
  <c r="W96" i="8"/>
  <c r="W95" i="8"/>
  <c r="W94" i="8"/>
  <c r="W93" i="8"/>
  <c r="W92" i="8"/>
  <c r="W91" i="8"/>
  <c r="W90" i="8"/>
  <c r="W89" i="8"/>
  <c r="W88" i="8"/>
  <c r="W87" i="8"/>
  <c r="W86" i="8"/>
  <c r="W85" i="8"/>
  <c r="W84" i="8"/>
  <c r="W83" i="8"/>
  <c r="W82" i="8"/>
  <c r="W81" i="8"/>
  <c r="W80" i="8"/>
  <c r="W79" i="8"/>
  <c r="W78" i="8"/>
  <c r="W77" i="8"/>
  <c r="W76" i="8"/>
  <c r="W75" i="8"/>
  <c r="W74" i="8"/>
  <c r="W73" i="8"/>
  <c r="W71" i="8"/>
  <c r="W70" i="8"/>
  <c r="W69" i="8"/>
  <c r="W68" i="8"/>
  <c r="W67" i="8"/>
  <c r="W66" i="8"/>
  <c r="W64" i="8"/>
  <c r="W63" i="8"/>
  <c r="W62" i="8"/>
  <c r="W61" i="8"/>
  <c r="W60" i="8"/>
  <c r="W58" i="8"/>
  <c r="W57" i="8"/>
  <c r="W56" i="8"/>
  <c r="W55" i="8"/>
  <c r="W54" i="8"/>
  <c r="W53" i="8"/>
  <c r="W52" i="8"/>
  <c r="W51" i="8"/>
  <c r="W50" i="8"/>
  <c r="W49" i="8"/>
  <c r="W48" i="8"/>
  <c r="W47" i="8"/>
  <c r="W46" i="8"/>
  <c r="W45" i="8"/>
  <c r="W44" i="8"/>
  <c r="W42" i="8"/>
  <c r="W41" i="8"/>
  <c r="W40" i="8"/>
  <c r="W39" i="8"/>
  <c r="W38" i="8"/>
  <c r="W37" i="8"/>
  <c r="W36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7" i="8"/>
  <c r="W16" i="8"/>
  <c r="W15" i="8"/>
  <c r="W14" i="8"/>
  <c r="W13" i="8"/>
  <c r="W12" i="8"/>
  <c r="AC69" i="9"/>
  <c r="AA69" i="9"/>
  <c r="AC68" i="9"/>
  <c r="AA68" i="9"/>
  <c r="AC67" i="9"/>
  <c r="AA67" i="9"/>
  <c r="AC66" i="9"/>
  <c r="AA66" i="9"/>
  <c r="AC65" i="9"/>
  <c r="AA65" i="9"/>
  <c r="AC64" i="9"/>
  <c r="AA64" i="9"/>
  <c r="AC63" i="9"/>
  <c r="AA63" i="9"/>
  <c r="AC62" i="9"/>
  <c r="AA62" i="9"/>
  <c r="AC61" i="9"/>
  <c r="AA61" i="9"/>
  <c r="AC60" i="9"/>
  <c r="AA60" i="9"/>
  <c r="AC59" i="9"/>
  <c r="AA59" i="9"/>
  <c r="AC58" i="9"/>
  <c r="AA58" i="9"/>
  <c r="AC57" i="9"/>
  <c r="AA57" i="9"/>
  <c r="AC56" i="9"/>
  <c r="AA56" i="9"/>
  <c r="AC55" i="9"/>
  <c r="AA55" i="9"/>
  <c r="AC54" i="9"/>
  <c r="AA54" i="9"/>
  <c r="AC53" i="9"/>
  <c r="AA53" i="9"/>
  <c r="AC52" i="9"/>
  <c r="AA52" i="9"/>
  <c r="AC51" i="9"/>
  <c r="AA51" i="9"/>
  <c r="AC50" i="9"/>
  <c r="AA50" i="9"/>
  <c r="AC49" i="9"/>
  <c r="AA49" i="9"/>
  <c r="AC48" i="9"/>
  <c r="AA48" i="9"/>
  <c r="AC47" i="9"/>
  <c r="AA47" i="9"/>
  <c r="AC46" i="9"/>
  <c r="AA46" i="9"/>
  <c r="AC45" i="9"/>
  <c r="AA45" i="9"/>
  <c r="AC42" i="9"/>
  <c r="AA42" i="9"/>
  <c r="AC41" i="9"/>
  <c r="AA41" i="9"/>
  <c r="AC40" i="9"/>
  <c r="AA40" i="9"/>
  <c r="AC39" i="9"/>
  <c r="AA39" i="9"/>
  <c r="AA44" i="9" s="1"/>
  <c r="AC38" i="9"/>
  <c r="AA38" i="9"/>
  <c r="AC37" i="9"/>
  <c r="AA37" i="9"/>
  <c r="AC36" i="9"/>
  <c r="AA36" i="9"/>
  <c r="AC35" i="9"/>
  <c r="AA35" i="9"/>
  <c r="AC34" i="9"/>
  <c r="AA34" i="9"/>
  <c r="AC33" i="9"/>
  <c r="AA33" i="9"/>
  <c r="AC32" i="9"/>
  <c r="AA32" i="9"/>
  <c r="AC31" i="9"/>
  <c r="AA31" i="9"/>
  <c r="AC30" i="9"/>
  <c r="AA30" i="9"/>
  <c r="AC29" i="9"/>
  <c r="AA29" i="9"/>
  <c r="AC28" i="9"/>
  <c r="AA28" i="9"/>
  <c r="AC27" i="9"/>
  <c r="AA27" i="9"/>
  <c r="AC26" i="9"/>
  <c r="AA26" i="9"/>
  <c r="AC25" i="9"/>
  <c r="AA25" i="9"/>
  <c r="AC24" i="9"/>
  <c r="AA24" i="9"/>
  <c r="AC23" i="9"/>
  <c r="AA23" i="9"/>
  <c r="AC22" i="9"/>
  <c r="AA22" i="9"/>
  <c r="AC21" i="9"/>
  <c r="AA21" i="9"/>
  <c r="AC20" i="9"/>
  <c r="AA20" i="9"/>
  <c r="AC19" i="9"/>
  <c r="AA19" i="9"/>
  <c r="AC17" i="9"/>
  <c r="AA17" i="9"/>
  <c r="AC16" i="9"/>
  <c r="AA16" i="9"/>
  <c r="AC15" i="9"/>
  <c r="AA15" i="9"/>
  <c r="AC14" i="9"/>
  <c r="AA14" i="9"/>
  <c r="AC13" i="9"/>
  <c r="AA13" i="9"/>
  <c r="AC11" i="9"/>
  <c r="AA11" i="9"/>
  <c r="AC132" i="9"/>
  <c r="AA132" i="9"/>
  <c r="AC131" i="9"/>
  <c r="AA131" i="9"/>
  <c r="AC130" i="9"/>
  <c r="AA130" i="9"/>
  <c r="AC129" i="9"/>
  <c r="AA129" i="9"/>
  <c r="AC128" i="9"/>
  <c r="AA128" i="9"/>
  <c r="AC127" i="9"/>
  <c r="AA127" i="9"/>
  <c r="AC126" i="9"/>
  <c r="AA126" i="9"/>
  <c r="AC125" i="9"/>
  <c r="AA125" i="9"/>
  <c r="AC124" i="9"/>
  <c r="AA124" i="9"/>
  <c r="AC123" i="9"/>
  <c r="AA123" i="9"/>
  <c r="AC122" i="9"/>
  <c r="AA122" i="9"/>
  <c r="AC121" i="9"/>
  <c r="AA121" i="9"/>
  <c r="AC120" i="9"/>
  <c r="AA120" i="9"/>
  <c r="AC119" i="9"/>
  <c r="AA119" i="9"/>
  <c r="AC118" i="9"/>
  <c r="AA118" i="9"/>
  <c r="AC117" i="9"/>
  <c r="AA117" i="9"/>
  <c r="AC116" i="9"/>
  <c r="AA116" i="9"/>
  <c r="AC115" i="9"/>
  <c r="AA115" i="9"/>
  <c r="AC114" i="9"/>
  <c r="AA114" i="9"/>
  <c r="AC113" i="9"/>
  <c r="AA113" i="9"/>
  <c r="AC111" i="9"/>
  <c r="AA111" i="9"/>
  <c r="AC110" i="9"/>
  <c r="AA110" i="9"/>
  <c r="AC109" i="9"/>
  <c r="AA109" i="9"/>
  <c r="AC108" i="9"/>
  <c r="AA108" i="9"/>
  <c r="AC107" i="9"/>
  <c r="AA107" i="9"/>
  <c r="AC106" i="9"/>
  <c r="AA106" i="9"/>
  <c r="AC105" i="9"/>
  <c r="AA105" i="9"/>
  <c r="AC104" i="9"/>
  <c r="AA104" i="9"/>
  <c r="AC103" i="9"/>
  <c r="AA103" i="9"/>
  <c r="AC102" i="9"/>
  <c r="AA102" i="9"/>
  <c r="AC101" i="9"/>
  <c r="AA101" i="9"/>
  <c r="AC100" i="9"/>
  <c r="AA100" i="9"/>
  <c r="AC98" i="9"/>
  <c r="AA98" i="9"/>
  <c r="AC97" i="9"/>
  <c r="AA97" i="9"/>
  <c r="AC96" i="9"/>
  <c r="AA96" i="9"/>
  <c r="AC95" i="9"/>
  <c r="AA95" i="9"/>
  <c r="AC94" i="9"/>
  <c r="AA94" i="9"/>
  <c r="AC93" i="9"/>
  <c r="AA93" i="9"/>
  <c r="AC92" i="9"/>
  <c r="AA92" i="9"/>
  <c r="AC91" i="9"/>
  <c r="AA91" i="9"/>
  <c r="AC90" i="9"/>
  <c r="AA90" i="9"/>
  <c r="AC89" i="9"/>
  <c r="AA89" i="9"/>
  <c r="AC88" i="9"/>
  <c r="AA88" i="9"/>
  <c r="AC87" i="9"/>
  <c r="AA87" i="9"/>
  <c r="AC86" i="9"/>
  <c r="AA86" i="9"/>
  <c r="AC85" i="9"/>
  <c r="AA85" i="9"/>
  <c r="AC84" i="9"/>
  <c r="AA84" i="9"/>
  <c r="AC83" i="9"/>
  <c r="AA83" i="9"/>
  <c r="AC81" i="9"/>
  <c r="AA81" i="9"/>
  <c r="AC80" i="9"/>
  <c r="AA80" i="9"/>
  <c r="AC79" i="9"/>
  <c r="AA79" i="9"/>
  <c r="AC78" i="9"/>
  <c r="AA78" i="9"/>
  <c r="AC77" i="9"/>
  <c r="AA77" i="9"/>
  <c r="AC76" i="9"/>
  <c r="AA76" i="9"/>
  <c r="AC75" i="9"/>
  <c r="AA75" i="9"/>
  <c r="AC74" i="9"/>
  <c r="AA74" i="9"/>
  <c r="AC72" i="9"/>
  <c r="AA72" i="9"/>
  <c r="AC71" i="9"/>
  <c r="AA71" i="9"/>
  <c r="AC82" i="9" s="1"/>
  <c r="AC198" i="9"/>
  <c r="AA198" i="9"/>
  <c r="AC197" i="9"/>
  <c r="AA197" i="9"/>
  <c r="AC196" i="9"/>
  <c r="AA196" i="9"/>
  <c r="AC195" i="9"/>
  <c r="AA195" i="9"/>
  <c r="AC194" i="9"/>
  <c r="AA194" i="9"/>
  <c r="AC193" i="9"/>
  <c r="AA193" i="9"/>
  <c r="AC192" i="9"/>
  <c r="AA192" i="9"/>
  <c r="AC191" i="9"/>
  <c r="AA191" i="9"/>
  <c r="AC190" i="9"/>
  <c r="AA190" i="9"/>
  <c r="AC189" i="9"/>
  <c r="AA189" i="9"/>
  <c r="AC188" i="9"/>
  <c r="AA188" i="9"/>
  <c r="AC187" i="9"/>
  <c r="AA187" i="9"/>
  <c r="AC186" i="9"/>
  <c r="AA186" i="9"/>
  <c r="AC185" i="9"/>
  <c r="AA185" i="9"/>
  <c r="AC184" i="9"/>
  <c r="AA184" i="9"/>
  <c r="AC183" i="9"/>
  <c r="AA183" i="9"/>
  <c r="AC182" i="9"/>
  <c r="AA182" i="9"/>
  <c r="AC181" i="9"/>
  <c r="AA181" i="9"/>
  <c r="AC180" i="9"/>
  <c r="AA180" i="9"/>
  <c r="AC179" i="9"/>
  <c r="AA179" i="9"/>
  <c r="AC178" i="9"/>
  <c r="AA178" i="9"/>
  <c r="AC177" i="9"/>
  <c r="AA177" i="9"/>
  <c r="AC176" i="9"/>
  <c r="AA176" i="9"/>
  <c r="AC175" i="9"/>
  <c r="AA175" i="9"/>
  <c r="AC174" i="9"/>
  <c r="AA174" i="9"/>
  <c r="AC173" i="9"/>
  <c r="AA173" i="9"/>
  <c r="AC172" i="9"/>
  <c r="AA172" i="9"/>
  <c r="AC171" i="9"/>
  <c r="AA171" i="9"/>
  <c r="AC170" i="9"/>
  <c r="AA170" i="9"/>
  <c r="AC169" i="9"/>
  <c r="AA169" i="9"/>
  <c r="AC168" i="9"/>
  <c r="AA168" i="9"/>
  <c r="AC167" i="9"/>
  <c r="AA167" i="9"/>
  <c r="AC166" i="9"/>
  <c r="AA166" i="9"/>
  <c r="AC165" i="9"/>
  <c r="AA165" i="9"/>
  <c r="AC164" i="9"/>
  <c r="AA164" i="9"/>
  <c r="AC163" i="9"/>
  <c r="AA163" i="9"/>
  <c r="AC162" i="9"/>
  <c r="AA162" i="9"/>
  <c r="AC161" i="9"/>
  <c r="AA161" i="9"/>
  <c r="AC160" i="9"/>
  <c r="AA160" i="9"/>
  <c r="AC159" i="9"/>
  <c r="AA159" i="9"/>
  <c r="AC158" i="9"/>
  <c r="AA158" i="9"/>
  <c r="AC157" i="9"/>
  <c r="AA157" i="9"/>
  <c r="AC155" i="9"/>
  <c r="AA155" i="9"/>
  <c r="AC154" i="9"/>
  <c r="AA154" i="9"/>
  <c r="AC153" i="9"/>
  <c r="AA153" i="9"/>
  <c r="AC152" i="9"/>
  <c r="AA152" i="9"/>
  <c r="AC151" i="9"/>
  <c r="AA151" i="9"/>
  <c r="AC150" i="9"/>
  <c r="AA150" i="9"/>
  <c r="AC149" i="9"/>
  <c r="AA149" i="9"/>
  <c r="AC148" i="9"/>
  <c r="AA148" i="9"/>
  <c r="AC147" i="9"/>
  <c r="AA147" i="9"/>
  <c r="AC146" i="9"/>
  <c r="AA146" i="9"/>
  <c r="AC145" i="9"/>
  <c r="AA145" i="9"/>
  <c r="AC144" i="9"/>
  <c r="AA144" i="9"/>
  <c r="AC143" i="9"/>
  <c r="AA143" i="9"/>
  <c r="AC142" i="9"/>
  <c r="AA142" i="9"/>
  <c r="AC141" i="9"/>
  <c r="AA141" i="9"/>
  <c r="AC140" i="9"/>
  <c r="AA140" i="9"/>
  <c r="AC139" i="9"/>
  <c r="AA139" i="9"/>
  <c r="AC137" i="9"/>
  <c r="AA137" i="9"/>
  <c r="AC136" i="9"/>
  <c r="AA136" i="9"/>
  <c r="AC135" i="9"/>
  <c r="AA135" i="9"/>
  <c r="AC134" i="9"/>
  <c r="AA134" i="9"/>
  <c r="AC239" i="9"/>
  <c r="AA239" i="9"/>
  <c r="AC238" i="9"/>
  <c r="AA238" i="9"/>
  <c r="AC237" i="9"/>
  <c r="AA237" i="9"/>
  <c r="AC235" i="9"/>
  <c r="AA235" i="9"/>
  <c r="AC234" i="9"/>
  <c r="AA234" i="9"/>
  <c r="AC233" i="9"/>
  <c r="AA233" i="9"/>
  <c r="AC232" i="9"/>
  <c r="AA232" i="9"/>
  <c r="AC231" i="9"/>
  <c r="AA231" i="9"/>
  <c r="AC230" i="9"/>
  <c r="AA230" i="9"/>
  <c r="AC229" i="9"/>
  <c r="AA229" i="9"/>
  <c r="AC228" i="9"/>
  <c r="AA228" i="9"/>
  <c r="AC227" i="9"/>
  <c r="AA227" i="9"/>
  <c r="AC226" i="9"/>
  <c r="AA226" i="9"/>
  <c r="AC225" i="9"/>
  <c r="AA225" i="9"/>
  <c r="AC224" i="9"/>
  <c r="AA224" i="9"/>
  <c r="AC223" i="9"/>
  <c r="AA223" i="9"/>
  <c r="AC222" i="9"/>
  <c r="AA222" i="9"/>
  <c r="AC221" i="9"/>
  <c r="AA221" i="9"/>
  <c r="AC220" i="9"/>
  <c r="AA220" i="9"/>
  <c r="AC219" i="9"/>
  <c r="AA219" i="9"/>
  <c r="AC218" i="9"/>
  <c r="AA218" i="9"/>
  <c r="AC217" i="9"/>
  <c r="AA217" i="9"/>
  <c r="AC216" i="9"/>
  <c r="AA216" i="9"/>
  <c r="AC215" i="9"/>
  <c r="AA215" i="9"/>
  <c r="AC214" i="9"/>
  <c r="AA214" i="9"/>
  <c r="AC213" i="9"/>
  <c r="AA213" i="9"/>
  <c r="AC212" i="9"/>
  <c r="AA212" i="9"/>
  <c r="AC211" i="9"/>
  <c r="AA211" i="9"/>
  <c r="AC210" i="9"/>
  <c r="AA210" i="9"/>
  <c r="AC209" i="9"/>
  <c r="AA209" i="9"/>
  <c r="AC208" i="9"/>
  <c r="AA208" i="9"/>
  <c r="AC207" i="9"/>
  <c r="AA207" i="9"/>
  <c r="AC206" i="9"/>
  <c r="AA206" i="9"/>
  <c r="AC205" i="9"/>
  <c r="AA205" i="9"/>
  <c r="AC204" i="9"/>
  <c r="AA204" i="9"/>
  <c r="AC203" i="9"/>
  <c r="AA203" i="9"/>
  <c r="AC202" i="9"/>
  <c r="AA202" i="9"/>
  <c r="Y200" i="10"/>
  <c r="M200" i="10"/>
  <c r="E200" i="10"/>
  <c r="Y135" i="10"/>
  <c r="AB135" i="10" s="1"/>
  <c r="M135" i="10"/>
  <c r="E135" i="10"/>
  <c r="Y71" i="10"/>
  <c r="M71" i="10"/>
  <c r="E71" i="10"/>
  <c r="Y240" i="10"/>
  <c r="M240" i="10"/>
  <c r="E240" i="10"/>
  <c r="Y239" i="10"/>
  <c r="M239" i="10"/>
  <c r="E239" i="10"/>
  <c r="Y238" i="10"/>
  <c r="M238" i="10"/>
  <c r="E238" i="10"/>
  <c r="Y236" i="10"/>
  <c r="M236" i="10"/>
  <c r="E236" i="10"/>
  <c r="Y235" i="10"/>
  <c r="M235" i="10"/>
  <c r="E235" i="10"/>
  <c r="Y234" i="10"/>
  <c r="M234" i="10"/>
  <c r="E234" i="10"/>
  <c r="Y233" i="10"/>
  <c r="M233" i="10"/>
  <c r="E233" i="10"/>
  <c r="Y231" i="10"/>
  <c r="M231" i="10"/>
  <c r="E231" i="10"/>
  <c r="Y230" i="10"/>
  <c r="M230" i="10"/>
  <c r="Y229" i="10"/>
  <c r="M229" i="10"/>
  <c r="E229" i="10"/>
  <c r="Y228" i="10"/>
  <c r="M228" i="10"/>
  <c r="E228" i="10"/>
  <c r="Y227" i="10"/>
  <c r="M227" i="10"/>
  <c r="E227" i="10"/>
  <c r="Y226" i="10"/>
  <c r="M226" i="10"/>
  <c r="E226" i="10"/>
  <c r="Y225" i="10"/>
  <c r="M225" i="10"/>
  <c r="E225" i="10"/>
  <c r="Y224" i="10"/>
  <c r="M224" i="10"/>
  <c r="E224" i="10"/>
  <c r="Y223" i="10"/>
  <c r="M223" i="10"/>
  <c r="E223" i="10"/>
  <c r="Y222" i="10"/>
  <c r="M222" i="10"/>
  <c r="E222" i="10"/>
  <c r="Y221" i="10"/>
  <c r="M221" i="10"/>
  <c r="E221" i="10"/>
  <c r="Y220" i="10"/>
  <c r="M220" i="10"/>
  <c r="E220" i="10"/>
  <c r="Y219" i="10"/>
  <c r="M219" i="10"/>
  <c r="E219" i="10"/>
  <c r="Y218" i="10"/>
  <c r="M218" i="10"/>
  <c r="E218" i="10"/>
  <c r="Y217" i="10"/>
  <c r="M217" i="10"/>
  <c r="Y216" i="10"/>
  <c r="M216" i="10"/>
  <c r="Y215" i="10"/>
  <c r="M215" i="10"/>
  <c r="E215" i="10"/>
  <c r="Y214" i="10"/>
  <c r="M214" i="10"/>
  <c r="E214" i="10"/>
  <c r="Y213" i="10"/>
  <c r="M213" i="10"/>
  <c r="E213" i="10"/>
  <c r="Y212" i="10"/>
  <c r="M212" i="10"/>
  <c r="E212" i="10"/>
  <c r="Y211" i="10"/>
  <c r="M211" i="10"/>
  <c r="E211" i="10"/>
  <c r="Y210" i="10"/>
  <c r="M210" i="10"/>
  <c r="E210" i="10"/>
  <c r="Y209" i="10"/>
  <c r="M209" i="10"/>
  <c r="E209" i="10"/>
  <c r="Y208" i="10"/>
  <c r="M208" i="10"/>
  <c r="E208" i="10"/>
  <c r="Y207" i="10"/>
  <c r="M207" i="10"/>
  <c r="E207" i="10"/>
  <c r="Y206" i="10"/>
  <c r="M206" i="10"/>
  <c r="E206" i="10"/>
  <c r="Y205" i="10"/>
  <c r="M205" i="10"/>
  <c r="E205" i="10"/>
  <c r="Y204" i="10"/>
  <c r="E204" i="10"/>
  <c r="Y203" i="10"/>
  <c r="M203" i="10"/>
  <c r="E203" i="10"/>
  <c r="Y202" i="10"/>
  <c r="M202" i="10"/>
  <c r="E202" i="10"/>
  <c r="Y201" i="10"/>
  <c r="M201" i="10"/>
  <c r="E201" i="10"/>
  <c r="Y199" i="10"/>
  <c r="M199" i="10"/>
  <c r="E199" i="10"/>
  <c r="Y198" i="10"/>
  <c r="M198" i="10"/>
  <c r="E198" i="10"/>
  <c r="Y197" i="10"/>
  <c r="M197" i="10"/>
  <c r="E197" i="10"/>
  <c r="Y196" i="10"/>
  <c r="M196" i="10"/>
  <c r="E196" i="10"/>
  <c r="Y195" i="10"/>
  <c r="M195" i="10"/>
  <c r="E195" i="10"/>
  <c r="Y194" i="10"/>
  <c r="M194" i="10"/>
  <c r="E194" i="10"/>
  <c r="Y193" i="10"/>
  <c r="M193" i="10"/>
  <c r="E193" i="10"/>
  <c r="Y192" i="10"/>
  <c r="M192" i="10"/>
  <c r="E192" i="10"/>
  <c r="Y191" i="10"/>
  <c r="M191" i="10"/>
  <c r="E191" i="10"/>
  <c r="Y190" i="10"/>
  <c r="M190" i="10"/>
  <c r="E190" i="10"/>
  <c r="Y189" i="10"/>
  <c r="M189" i="10"/>
  <c r="E189" i="10"/>
  <c r="Y188" i="10"/>
  <c r="M188" i="10"/>
  <c r="E188" i="10"/>
  <c r="Y187" i="10"/>
  <c r="M187" i="10"/>
  <c r="E187" i="10"/>
  <c r="Y186" i="10"/>
  <c r="M186" i="10"/>
  <c r="E186" i="10"/>
  <c r="Y185" i="10"/>
  <c r="M185" i="10"/>
  <c r="E185" i="10"/>
  <c r="Y184" i="10"/>
  <c r="M184" i="10"/>
  <c r="E184" i="10"/>
  <c r="Y183" i="10"/>
  <c r="M183" i="10"/>
  <c r="E183" i="10"/>
  <c r="Y182" i="10"/>
  <c r="AB182" i="10" s="1"/>
  <c r="M182" i="10"/>
  <c r="E182" i="10"/>
  <c r="Y181" i="10"/>
  <c r="M181" i="10"/>
  <c r="E181" i="10"/>
  <c r="Y180" i="10"/>
  <c r="M180" i="10"/>
  <c r="E180" i="10"/>
  <c r="Y179" i="10"/>
  <c r="M179" i="10"/>
  <c r="E179" i="10"/>
  <c r="Y178" i="10"/>
  <c r="M178" i="10"/>
  <c r="E178" i="10"/>
  <c r="Y176" i="10"/>
  <c r="M176" i="10"/>
  <c r="E176" i="10"/>
  <c r="Y175" i="10"/>
  <c r="M175" i="10"/>
  <c r="E175" i="10"/>
  <c r="Y174" i="10"/>
  <c r="M174" i="10"/>
  <c r="E174" i="10"/>
  <c r="Y173" i="10"/>
  <c r="M173" i="10"/>
  <c r="E173" i="10"/>
  <c r="Y172" i="10"/>
  <c r="M172" i="10"/>
  <c r="E172" i="10"/>
  <c r="Y171" i="10"/>
  <c r="E171" i="10"/>
  <c r="Y170" i="10"/>
  <c r="M170" i="10"/>
  <c r="E170" i="10"/>
  <c r="Y169" i="10"/>
  <c r="M169" i="10"/>
  <c r="E169" i="10"/>
  <c r="Y168" i="10"/>
  <c r="M168" i="10"/>
  <c r="Y167" i="10"/>
  <c r="M167" i="10"/>
  <c r="E167" i="10"/>
  <c r="Y166" i="10"/>
  <c r="M166" i="10"/>
  <c r="E166" i="10"/>
  <c r="Y165" i="10"/>
  <c r="M165" i="10"/>
  <c r="E165" i="10"/>
  <c r="Y164" i="10"/>
  <c r="M164" i="10"/>
  <c r="E164" i="10"/>
  <c r="Y163" i="10"/>
  <c r="M163" i="10"/>
  <c r="E163" i="10"/>
  <c r="Y162" i="10"/>
  <c r="M162" i="10"/>
  <c r="E162" i="10"/>
  <c r="Y161" i="10"/>
  <c r="AB161" i="10" s="1"/>
  <c r="M161" i="10"/>
  <c r="E161" i="10"/>
  <c r="Y160" i="10"/>
  <c r="M160" i="10"/>
  <c r="E160" i="10"/>
  <c r="Y159" i="10"/>
  <c r="M159" i="10"/>
  <c r="Y158" i="10"/>
  <c r="M158" i="10"/>
  <c r="E158" i="10"/>
  <c r="Y157" i="10"/>
  <c r="M157" i="10"/>
  <c r="E157" i="10"/>
  <c r="Y155" i="10"/>
  <c r="M155" i="10"/>
  <c r="E155" i="10"/>
  <c r="Y154" i="10"/>
  <c r="M154" i="10"/>
  <c r="E154" i="10"/>
  <c r="Y153" i="10"/>
  <c r="M153" i="10"/>
  <c r="E153" i="10"/>
  <c r="Y152" i="10"/>
  <c r="M152" i="10"/>
  <c r="E152" i="10"/>
  <c r="Y151" i="10"/>
  <c r="M151" i="10"/>
  <c r="E151" i="10"/>
  <c r="Y150" i="10"/>
  <c r="M150" i="10"/>
  <c r="E150" i="10"/>
  <c r="Y149" i="10"/>
  <c r="M149" i="10"/>
  <c r="E149" i="10"/>
  <c r="Y148" i="10"/>
  <c r="M148" i="10"/>
  <c r="Y147" i="10"/>
  <c r="M147" i="10"/>
  <c r="E147" i="10"/>
  <c r="Y146" i="10"/>
  <c r="M146" i="10"/>
  <c r="E146" i="10"/>
  <c r="Y145" i="10"/>
  <c r="M145" i="10"/>
  <c r="E145" i="10"/>
  <c r="Y144" i="10"/>
  <c r="M144" i="10"/>
  <c r="Y143" i="10"/>
  <c r="M143" i="10"/>
  <c r="E143" i="10"/>
  <c r="Y142" i="10"/>
  <c r="M142" i="10"/>
  <c r="E142" i="10"/>
  <c r="Y141" i="10"/>
  <c r="M141" i="10"/>
  <c r="E141" i="10"/>
  <c r="Y140" i="10"/>
  <c r="M140" i="10"/>
  <c r="E140" i="10"/>
  <c r="Y139" i="10"/>
  <c r="M139" i="10"/>
  <c r="E139" i="10"/>
  <c r="Y138" i="10"/>
  <c r="M138" i="10"/>
  <c r="E138" i="10"/>
  <c r="Y137" i="10"/>
  <c r="M137" i="10"/>
  <c r="E137" i="10"/>
  <c r="Y136" i="10"/>
  <c r="M136" i="10"/>
  <c r="Y133" i="10"/>
  <c r="M133" i="10"/>
  <c r="E133" i="10"/>
  <c r="Y132" i="10"/>
  <c r="M132" i="10"/>
  <c r="E132" i="10"/>
  <c r="Y131" i="10"/>
  <c r="M131" i="10"/>
  <c r="E131" i="10"/>
  <c r="Y130" i="10"/>
  <c r="M130" i="10"/>
  <c r="E130" i="10"/>
  <c r="Y129" i="10"/>
  <c r="M129" i="10"/>
  <c r="E129" i="10"/>
  <c r="Y128" i="10"/>
  <c r="M128" i="10"/>
  <c r="E128" i="10"/>
  <c r="Y127" i="10"/>
  <c r="M127" i="10"/>
  <c r="E127" i="10"/>
  <c r="Y126" i="10"/>
  <c r="M126" i="10"/>
  <c r="E126" i="10"/>
  <c r="Y125" i="10"/>
  <c r="M125" i="10"/>
  <c r="Y124" i="10"/>
  <c r="M124" i="10"/>
  <c r="Y122" i="10"/>
  <c r="M122" i="10"/>
  <c r="E122" i="10"/>
  <c r="Y121" i="10"/>
  <c r="M121" i="10"/>
  <c r="E121" i="10"/>
  <c r="Y120" i="10"/>
  <c r="M120" i="10"/>
  <c r="E120" i="10"/>
  <c r="Y119" i="10"/>
  <c r="AB119" i="10" s="1"/>
  <c r="M119" i="10"/>
  <c r="E119" i="10"/>
  <c r="Y118" i="10"/>
  <c r="M118" i="10"/>
  <c r="E118" i="10"/>
  <c r="Y117" i="10"/>
  <c r="M117" i="10"/>
  <c r="E117" i="10"/>
  <c r="Y116" i="10"/>
  <c r="M116" i="10"/>
  <c r="E116" i="10"/>
  <c r="Y115" i="10"/>
  <c r="M115" i="10"/>
  <c r="E115" i="10"/>
  <c r="Y114" i="10"/>
  <c r="M114" i="10"/>
  <c r="E114" i="10"/>
  <c r="Y113" i="10"/>
  <c r="M113" i="10"/>
  <c r="E113" i="10"/>
  <c r="Y111" i="10"/>
  <c r="M111" i="10"/>
  <c r="E111" i="10"/>
  <c r="Y110" i="10"/>
  <c r="M110" i="10"/>
  <c r="E110" i="10"/>
  <c r="Y109" i="10"/>
  <c r="M109" i="10"/>
  <c r="E109" i="10"/>
  <c r="Y108" i="10"/>
  <c r="M108" i="10"/>
  <c r="E108" i="10"/>
  <c r="Y107" i="10"/>
  <c r="M107" i="10"/>
  <c r="E107" i="10"/>
  <c r="Y106" i="10"/>
  <c r="M106" i="10"/>
  <c r="E106" i="10"/>
  <c r="Y105" i="10"/>
  <c r="M105" i="10"/>
  <c r="E105" i="10"/>
  <c r="Y104" i="10"/>
  <c r="M104" i="10"/>
  <c r="E104" i="10"/>
  <c r="Y103" i="10"/>
  <c r="M103" i="10"/>
  <c r="E103" i="10"/>
  <c r="Y102" i="10"/>
  <c r="M102" i="10"/>
  <c r="E102" i="10"/>
  <c r="Y101" i="10"/>
  <c r="M101" i="10"/>
  <c r="E101" i="10"/>
  <c r="Y100" i="10"/>
  <c r="M100" i="10"/>
  <c r="E100" i="10"/>
  <c r="Y98" i="10"/>
  <c r="M98" i="10"/>
  <c r="E98" i="10"/>
  <c r="Y97" i="10"/>
  <c r="M97" i="10"/>
  <c r="E97" i="10"/>
  <c r="Y96" i="10"/>
  <c r="E96" i="10"/>
  <c r="Y95" i="10"/>
  <c r="M95" i="10"/>
  <c r="E95" i="10"/>
  <c r="Y94" i="10"/>
  <c r="M94" i="10"/>
  <c r="E94" i="10"/>
  <c r="Y93" i="10"/>
  <c r="M93" i="10"/>
  <c r="E93" i="10"/>
  <c r="Y92" i="10"/>
  <c r="M92" i="10"/>
  <c r="E92" i="10"/>
  <c r="Y91" i="10"/>
  <c r="M91" i="10"/>
  <c r="E91" i="10"/>
  <c r="Y90" i="10"/>
  <c r="M90" i="10"/>
  <c r="Y89" i="10"/>
  <c r="Y88" i="10"/>
  <c r="M88" i="10"/>
  <c r="Y87" i="10"/>
  <c r="M87" i="10"/>
  <c r="E87" i="10"/>
  <c r="Y86" i="10"/>
  <c r="M86" i="10"/>
  <c r="E86" i="10"/>
  <c r="Y85" i="10"/>
  <c r="M85" i="10"/>
  <c r="E85" i="10"/>
  <c r="Y84" i="10"/>
  <c r="M84" i="10"/>
  <c r="E84" i="10"/>
  <c r="Y83" i="10"/>
  <c r="M83" i="10"/>
  <c r="E83" i="10"/>
  <c r="Y82" i="10"/>
  <c r="M82" i="10"/>
  <c r="E82" i="10"/>
  <c r="Y81" i="10"/>
  <c r="M81" i="10"/>
  <c r="E81" i="10"/>
  <c r="Y80" i="10"/>
  <c r="M80" i="10"/>
  <c r="E80" i="10"/>
  <c r="Y79" i="10"/>
  <c r="M79" i="10"/>
  <c r="E79" i="10"/>
  <c r="Y78" i="10"/>
  <c r="M78" i="10"/>
  <c r="E78" i="10"/>
  <c r="Y77" i="10"/>
  <c r="M77" i="10"/>
  <c r="E77" i="10"/>
  <c r="Y75" i="10"/>
  <c r="M75" i="10"/>
  <c r="E75" i="10"/>
  <c r="Y74" i="10"/>
  <c r="M74" i="10"/>
  <c r="E74" i="10"/>
  <c r="Y73" i="10"/>
  <c r="M73" i="10"/>
  <c r="E73" i="10"/>
  <c r="Y72" i="10"/>
  <c r="M72" i="10"/>
  <c r="E72" i="10"/>
  <c r="Y70" i="10"/>
  <c r="M70" i="10"/>
  <c r="E70" i="10"/>
  <c r="Y69" i="10"/>
  <c r="M69" i="10"/>
  <c r="E69" i="10"/>
  <c r="Y68" i="10"/>
  <c r="M68" i="10"/>
  <c r="E68" i="10"/>
  <c r="Y67" i="10"/>
  <c r="M67" i="10"/>
  <c r="E67" i="10"/>
  <c r="Y66" i="10"/>
  <c r="M66" i="10"/>
  <c r="E66" i="10"/>
  <c r="Y63" i="10"/>
  <c r="M63" i="10"/>
  <c r="E63" i="10"/>
  <c r="Y62" i="10"/>
  <c r="M62" i="10"/>
  <c r="E62" i="10"/>
  <c r="Y61" i="10"/>
  <c r="E61" i="10"/>
  <c r="Y60" i="10"/>
  <c r="M60" i="10"/>
  <c r="E60" i="10"/>
  <c r="Y58" i="10"/>
  <c r="M58" i="10"/>
  <c r="E58" i="10"/>
  <c r="Y57" i="10"/>
  <c r="M57" i="10"/>
  <c r="E57" i="10"/>
  <c r="Y56" i="10"/>
  <c r="M56" i="10"/>
  <c r="E56" i="10"/>
  <c r="Y55" i="10"/>
  <c r="M55" i="10"/>
  <c r="E55" i="10"/>
  <c r="Y54" i="10"/>
  <c r="M54" i="10"/>
  <c r="E54" i="10"/>
  <c r="Y53" i="10"/>
  <c r="M53" i="10"/>
  <c r="E53" i="10"/>
  <c r="Y52" i="10"/>
  <c r="M52" i="10"/>
  <c r="E52" i="10"/>
  <c r="Y51" i="10"/>
  <c r="M51" i="10"/>
  <c r="E51" i="10"/>
  <c r="Y50" i="10"/>
  <c r="M50" i="10"/>
  <c r="E50" i="10"/>
  <c r="Y49" i="10"/>
  <c r="M49" i="10"/>
  <c r="E49" i="10"/>
  <c r="Y48" i="10"/>
  <c r="M48" i="10"/>
  <c r="E48" i="10"/>
  <c r="Y47" i="10"/>
  <c r="AA47" i="8" s="1"/>
  <c r="M47" i="10"/>
  <c r="E47" i="10"/>
  <c r="Y46" i="10"/>
  <c r="M46" i="10"/>
  <c r="E46" i="10"/>
  <c r="Y45" i="10"/>
  <c r="M45" i="10"/>
  <c r="E45" i="10"/>
  <c r="Y44" i="10"/>
  <c r="M44" i="10"/>
  <c r="E44" i="10"/>
  <c r="Y42" i="10"/>
  <c r="M42" i="10"/>
  <c r="E42" i="10"/>
  <c r="Y41" i="10"/>
  <c r="M41" i="10"/>
  <c r="E41" i="10"/>
  <c r="Y40" i="10"/>
  <c r="M40" i="10"/>
  <c r="E40" i="10"/>
  <c r="Y39" i="10"/>
  <c r="M39" i="10"/>
  <c r="E39" i="10"/>
  <c r="Y38" i="10"/>
  <c r="M38" i="10"/>
  <c r="E38" i="10"/>
  <c r="Y37" i="10"/>
  <c r="M37" i="10"/>
  <c r="E37" i="10"/>
  <c r="Y36" i="10"/>
  <c r="M36" i="10"/>
  <c r="E36" i="10"/>
  <c r="Y35" i="10"/>
  <c r="M35" i="10"/>
  <c r="E35" i="10"/>
  <c r="Y34" i="10"/>
  <c r="M34" i="10"/>
  <c r="E34" i="10"/>
  <c r="Y33" i="10"/>
  <c r="M33" i="10"/>
  <c r="E33" i="10"/>
  <c r="Y32" i="10"/>
  <c r="M32" i="10"/>
  <c r="E32" i="10"/>
  <c r="Y31" i="10"/>
  <c r="M31" i="10"/>
  <c r="Y30" i="10"/>
  <c r="M30" i="10"/>
  <c r="E30" i="10"/>
  <c r="Y29" i="10"/>
  <c r="M29" i="10"/>
  <c r="E29" i="10"/>
  <c r="Y28" i="10"/>
  <c r="M28" i="10"/>
  <c r="E28" i="10"/>
  <c r="Y27" i="10"/>
  <c r="M27" i="10"/>
  <c r="E27" i="10"/>
  <c r="Y26" i="10"/>
  <c r="M26" i="10"/>
  <c r="E26" i="10"/>
  <c r="Y25" i="10"/>
  <c r="M25" i="10"/>
  <c r="E25" i="10"/>
  <c r="Y24" i="10"/>
  <c r="M24" i="10"/>
  <c r="E24" i="10"/>
  <c r="Y23" i="10"/>
  <c r="M23" i="10"/>
  <c r="E23" i="10"/>
  <c r="Y22" i="10"/>
  <c r="M22" i="10"/>
  <c r="E22" i="10"/>
  <c r="Y21" i="10"/>
  <c r="M21" i="10"/>
  <c r="E21" i="10"/>
  <c r="Y20" i="10"/>
  <c r="M20" i="10"/>
  <c r="E20" i="10"/>
  <c r="Y19" i="10"/>
  <c r="M19" i="10"/>
  <c r="E19" i="10"/>
  <c r="Y17" i="10"/>
  <c r="M17" i="10"/>
  <c r="E17" i="10"/>
  <c r="Y16" i="10"/>
  <c r="M16" i="10"/>
  <c r="E16" i="10"/>
  <c r="Y15" i="10"/>
  <c r="M15" i="10"/>
  <c r="E15" i="10"/>
  <c r="Y14" i="10"/>
  <c r="M14" i="10"/>
  <c r="E14" i="10"/>
  <c r="Y13" i="10"/>
  <c r="M13" i="10"/>
  <c r="E13" i="10"/>
  <c r="Y12" i="10"/>
  <c r="M12" i="10"/>
  <c r="E12" i="10"/>
  <c r="AY232" i="13" l="1"/>
  <c r="AY117" i="15"/>
  <c r="S52" i="12"/>
  <c r="W45" i="12"/>
  <c r="AR13" i="5"/>
  <c r="AY190" i="13"/>
  <c r="AY198" i="13"/>
  <c r="AY202" i="13"/>
  <c r="AY205" i="13"/>
  <c r="AY209" i="13"/>
  <c r="AY213" i="13"/>
  <c r="AY217" i="13"/>
  <c r="AR122" i="5"/>
  <c r="U123" i="3"/>
  <c r="AB14" i="10"/>
  <c r="AA14" i="8"/>
  <c r="AC14" i="8" s="1"/>
  <c r="AY188" i="13"/>
  <c r="AY192" i="13"/>
  <c r="AY196" i="13"/>
  <c r="AY200" i="13"/>
  <c r="AY207" i="13"/>
  <c r="AY215" i="13"/>
  <c r="AY211" i="13"/>
  <c r="AY170" i="13"/>
  <c r="AY172" i="13"/>
  <c r="AY174" i="13"/>
  <c r="AY152" i="13"/>
  <c r="AY111" i="15"/>
  <c r="AY106" i="13"/>
  <c r="AY93" i="13"/>
  <c r="AA82" i="9"/>
  <c r="AY64" i="15"/>
  <c r="AY40" i="13"/>
  <c r="AY42" i="13"/>
  <c r="AY219" i="13"/>
  <c r="AY221" i="13"/>
  <c r="AY223" i="13"/>
  <c r="AY225" i="13"/>
  <c r="AY227" i="13"/>
  <c r="AC44" i="9"/>
  <c r="AY126" i="15"/>
  <c r="AY127" i="15"/>
  <c r="AY132" i="15"/>
  <c r="AY133" i="15"/>
  <c r="AY135" i="15"/>
  <c r="AY136" i="15"/>
  <c r="AY137" i="15"/>
  <c r="AY138" i="15"/>
  <c r="AY140" i="15"/>
  <c r="AY141" i="15"/>
  <c r="AY142" i="15"/>
  <c r="AY143" i="15"/>
  <c r="AY144" i="15"/>
  <c r="AY145" i="15"/>
  <c r="AY146" i="15"/>
  <c r="AY148" i="15"/>
  <c r="AY150" i="15"/>
  <c r="AY152" i="15"/>
  <c r="AY153" i="15"/>
  <c r="AY155" i="15"/>
  <c r="AY156" i="15"/>
  <c r="AY157" i="15"/>
  <c r="AY158" i="15"/>
  <c r="AY159" i="15"/>
  <c r="AY162" i="15"/>
  <c r="AY164" i="15"/>
  <c r="AY165" i="15"/>
  <c r="AY166" i="15"/>
  <c r="AY167" i="15"/>
  <c r="AY169" i="15"/>
  <c r="AY170" i="15"/>
  <c r="AY171" i="15"/>
  <c r="AY172" i="15"/>
  <c r="AY173" i="15"/>
  <c r="AY174" i="15"/>
  <c r="AY175" i="15"/>
  <c r="AY179" i="15"/>
  <c r="AY180" i="15"/>
  <c r="AY181" i="15"/>
  <c r="AY183" i="15"/>
  <c r="AY184" i="15"/>
  <c r="AY185" i="15"/>
  <c r="AY186" i="15"/>
  <c r="AY187" i="15"/>
  <c r="AY188" i="15"/>
  <c r="AY189" i="15"/>
  <c r="AY190" i="15"/>
  <c r="AY191" i="15"/>
  <c r="AY192" i="15"/>
  <c r="AY193" i="15"/>
  <c r="AY194" i="15"/>
  <c r="AY195" i="15"/>
  <c r="AY196" i="15"/>
  <c r="AY197" i="15"/>
  <c r="AY198" i="15"/>
  <c r="AY200" i="15"/>
  <c r="AY201" i="15"/>
  <c r="AY202" i="15"/>
  <c r="AY203" i="15"/>
  <c r="AY206" i="15"/>
  <c r="AY207" i="15"/>
  <c r="AY208" i="15"/>
  <c r="AY209" i="15"/>
  <c r="AY210" i="15"/>
  <c r="AY211" i="15"/>
  <c r="AY213" i="15"/>
  <c r="AY216" i="15"/>
  <c r="AY217" i="15"/>
  <c r="AY218" i="15"/>
  <c r="AY219" i="15"/>
  <c r="AY220" i="15"/>
  <c r="AY221" i="15"/>
  <c r="AY224" i="15"/>
  <c r="AY225" i="15"/>
  <c r="AY226" i="15"/>
  <c r="AY227" i="15"/>
  <c r="AY231" i="15"/>
  <c r="AY232" i="15"/>
  <c r="AY233" i="15"/>
  <c r="AY234" i="15"/>
  <c r="AY66" i="15"/>
  <c r="AY68" i="15"/>
  <c r="AY69" i="15"/>
  <c r="AY70" i="15"/>
  <c r="AY71" i="15"/>
  <c r="AY72" i="15"/>
  <c r="AY73" i="15"/>
  <c r="AY77" i="15"/>
  <c r="AY80" i="15"/>
  <c r="AY81" i="15"/>
  <c r="AY82" i="15"/>
  <c r="AY83" i="15"/>
  <c r="AY84" i="15"/>
  <c r="AY86" i="15"/>
  <c r="AY87" i="15"/>
  <c r="AY88" i="15"/>
  <c r="AY89" i="15"/>
  <c r="AY90" i="15"/>
  <c r="AY91" i="15"/>
  <c r="AY92" i="15"/>
  <c r="AY93" i="15"/>
  <c r="AY94" i="15"/>
  <c r="AY95" i="15"/>
  <c r="AY97" i="15"/>
  <c r="AY98" i="15"/>
  <c r="AY99" i="15"/>
  <c r="AY100" i="15"/>
  <c r="AY101" i="15"/>
  <c r="AY102" i="15"/>
  <c r="AY103" i="15"/>
  <c r="AY104" i="15"/>
  <c r="AY105" i="15"/>
  <c r="AY106" i="15"/>
  <c r="AY107" i="15"/>
  <c r="AY112" i="15"/>
  <c r="AY113" i="15"/>
  <c r="AY114" i="15"/>
  <c r="AY41" i="13"/>
  <c r="AY48" i="13"/>
  <c r="AY60" i="13"/>
  <c r="AY70" i="13"/>
  <c r="AY72" i="13"/>
  <c r="AY74" i="13"/>
  <c r="AY76" i="13"/>
  <c r="AY78" i="13"/>
  <c r="AY80" i="13"/>
  <c r="AY82" i="13"/>
  <c r="AY84" i="13"/>
  <c r="AY86" i="13"/>
  <c r="AY88" i="13"/>
  <c r="AY90" i="13"/>
  <c r="AY92" i="13"/>
  <c r="AY94" i="13"/>
  <c r="AY97" i="13"/>
  <c r="AY99" i="13"/>
  <c r="AY101" i="13"/>
  <c r="AY103" i="13"/>
  <c r="AY105" i="13"/>
  <c r="AY107" i="13"/>
  <c r="AY110" i="13"/>
  <c r="AY112" i="13"/>
  <c r="AY114" i="13"/>
  <c r="AY116" i="13"/>
  <c r="AY118" i="13"/>
  <c r="AY120" i="13"/>
  <c r="AY122" i="13"/>
  <c r="AY124" i="13"/>
  <c r="AY126" i="13"/>
  <c r="AY128" i="13"/>
  <c r="AY130" i="13"/>
  <c r="AY132" i="13"/>
  <c r="AY134" i="13"/>
  <c r="AY136" i="13"/>
  <c r="AY138" i="13"/>
  <c r="AY140" i="13"/>
  <c r="AY142" i="13"/>
  <c r="AY144" i="13"/>
  <c r="AY146" i="13"/>
  <c r="AY148" i="13"/>
  <c r="AY151" i="13"/>
  <c r="AY155" i="13"/>
  <c r="AY157" i="13"/>
  <c r="AY159" i="13"/>
  <c r="AY161" i="13"/>
  <c r="AY165" i="13"/>
  <c r="AY171" i="13"/>
  <c r="AY173" i="13"/>
  <c r="AY175" i="13"/>
  <c r="AY177" i="13"/>
  <c r="AY179" i="13"/>
  <c r="AY181" i="13"/>
  <c r="AY183" i="13"/>
  <c r="AY185" i="13"/>
  <c r="AY187" i="13"/>
  <c r="AY189" i="13"/>
  <c r="AY191" i="13"/>
  <c r="AY193" i="13"/>
  <c r="AY195" i="13"/>
  <c r="AY197" i="13"/>
  <c r="AY199" i="13"/>
  <c r="AY201" i="13"/>
  <c r="AY206" i="13"/>
  <c r="AY208" i="13"/>
  <c r="AY210" i="13"/>
  <c r="AY214" i="13"/>
  <c r="AY216" i="13"/>
  <c r="AY218" i="13"/>
  <c r="AY220" i="13"/>
  <c r="AY222" i="13"/>
  <c r="AY224" i="13"/>
  <c r="AY226" i="13"/>
  <c r="AY236" i="13"/>
  <c r="AY231" i="13"/>
  <c r="AY233" i="13"/>
  <c r="AY235" i="13"/>
  <c r="AC12" i="9"/>
  <c r="AY222" i="15"/>
  <c r="AY64" i="13"/>
  <c r="AY66" i="13"/>
  <c r="AY75" i="15"/>
  <c r="AY228" i="15"/>
  <c r="AY228" i="13"/>
  <c r="AY74" i="15"/>
  <c r="AY62" i="15"/>
  <c r="AY161" i="15"/>
  <c r="AY177" i="15"/>
  <c r="AY153" i="13"/>
  <c r="AY78" i="15"/>
  <c r="AY230" i="15"/>
  <c r="AY229" i="15"/>
  <c r="AY229" i="13"/>
  <c r="AY223" i="15"/>
  <c r="AY215" i="15"/>
  <c r="AY214" i="15"/>
  <c r="AY212" i="15"/>
  <c r="AY212" i="13"/>
  <c r="AY205" i="15"/>
  <c r="AY204" i="15"/>
  <c r="AY204" i="13"/>
  <c r="AY199" i="15"/>
  <c r="AY194" i="13"/>
  <c r="AY182" i="15"/>
  <c r="AY178" i="15"/>
  <c r="AY176" i="15"/>
  <c r="AY176" i="13"/>
  <c r="AY169" i="13"/>
  <c r="AY168" i="15"/>
  <c r="AY167" i="13"/>
  <c r="AY163" i="15"/>
  <c r="AY163" i="13"/>
  <c r="AY160" i="15"/>
  <c r="AY154" i="15"/>
  <c r="AY151" i="15"/>
  <c r="AY147" i="15"/>
  <c r="AY147" i="13"/>
  <c r="AY139" i="15"/>
  <c r="AY134" i="15"/>
  <c r="AY131" i="15"/>
  <c r="AY130" i="15"/>
  <c r="AY129" i="15"/>
  <c r="AY128" i="15"/>
  <c r="AY125" i="15"/>
  <c r="AY118" i="15"/>
  <c r="AY63" i="15"/>
  <c r="AY62" i="13"/>
  <c r="AY116" i="15"/>
  <c r="AY115" i="15"/>
  <c r="AY115" i="13"/>
  <c r="AY110" i="15"/>
  <c r="AY109" i="15"/>
  <c r="AY109" i="13"/>
  <c r="AY104" i="13"/>
  <c r="AY102" i="13"/>
  <c r="AY96" i="13"/>
  <c r="AY87" i="13"/>
  <c r="AY85" i="15"/>
  <c r="AY79" i="15"/>
  <c r="AY76" i="15"/>
  <c r="AY68" i="13"/>
  <c r="AY67" i="15"/>
  <c r="AY57" i="13"/>
  <c r="AY58" i="13"/>
  <c r="AY47" i="13"/>
  <c r="AY56" i="13"/>
  <c r="AY54" i="13"/>
  <c r="AY49" i="13"/>
  <c r="AY50" i="13"/>
  <c r="AY52" i="13"/>
  <c r="AY53" i="13"/>
  <c r="AY39" i="13"/>
  <c r="AA12" i="9"/>
  <c r="BM231" i="15"/>
  <c r="BM232" i="15"/>
  <c r="BM233" i="15"/>
  <c r="BM234" i="15"/>
  <c r="BN236" i="6"/>
  <c r="W236" i="6"/>
  <c r="AZ236" i="6"/>
  <c r="W234" i="6"/>
  <c r="BM233" i="14"/>
  <c r="BM231" i="14"/>
  <c r="AS233" i="14"/>
  <c r="AS231" i="14"/>
  <c r="W233" i="14"/>
  <c r="AY233" i="14"/>
  <c r="W231" i="14"/>
  <c r="AY231" i="14" l="1"/>
  <c r="AZ234" i="6"/>
  <c r="BN234" i="6"/>
  <c r="K184" i="6" l="1"/>
  <c r="AS116" i="14" l="1"/>
  <c r="W116" i="14"/>
  <c r="AY116" i="14" l="1"/>
  <c r="AB85" i="10" l="1"/>
  <c r="AA221" i="8"/>
  <c r="AA220" i="8"/>
  <c r="AA219" i="8"/>
  <c r="AA218" i="8"/>
  <c r="AA217" i="8"/>
  <c r="AA216" i="8"/>
  <c r="AA215" i="8"/>
  <c r="AA214" i="8"/>
  <c r="AA213" i="8"/>
  <c r="AA212" i="8"/>
  <c r="AA211" i="8"/>
  <c r="AA210" i="8"/>
  <c r="AA209" i="8"/>
  <c r="AA208" i="8"/>
  <c r="AA207" i="8"/>
  <c r="AA206" i="8"/>
  <c r="AA205" i="8"/>
  <c r="AA204" i="8"/>
  <c r="AA203" i="8"/>
  <c r="AA202" i="8"/>
  <c r="AA201" i="8"/>
  <c r="AA199" i="8"/>
  <c r="AA198" i="8"/>
  <c r="AA197" i="8"/>
  <c r="AA196" i="8"/>
  <c r="AA195" i="8"/>
  <c r="AC195" i="8" s="1"/>
  <c r="AA194" i="8"/>
  <c r="AA193" i="8"/>
  <c r="AA192" i="8"/>
  <c r="AA191" i="8"/>
  <c r="AA190" i="8"/>
  <c r="AA189" i="8"/>
  <c r="AA188" i="8"/>
  <c r="AA187" i="8"/>
  <c r="AA186" i="8"/>
  <c r="AA185" i="8"/>
  <c r="AA184" i="8"/>
  <c r="AA183" i="8"/>
  <c r="AA182" i="8"/>
  <c r="AA181" i="8"/>
  <c r="AA180" i="8"/>
  <c r="AA179" i="8"/>
  <c r="AA178" i="8"/>
  <c r="AA176" i="8"/>
  <c r="AA175" i="8"/>
  <c r="AA174" i="8"/>
  <c r="AA173" i="8"/>
  <c r="AA172" i="8"/>
  <c r="AA171" i="8"/>
  <c r="AA170" i="8"/>
  <c r="AA169" i="8"/>
  <c r="AA168" i="8"/>
  <c r="AA167" i="8"/>
  <c r="AA166" i="8"/>
  <c r="AA165" i="8"/>
  <c r="AA164" i="8"/>
  <c r="AA163" i="8"/>
  <c r="AA162" i="8"/>
  <c r="AA161" i="8"/>
  <c r="AA160" i="8"/>
  <c r="AA159" i="8"/>
  <c r="AA158" i="8"/>
  <c r="AA157" i="8"/>
  <c r="AA155" i="8"/>
  <c r="AA154" i="8"/>
  <c r="AA153" i="8"/>
  <c r="AA152" i="8"/>
  <c r="AA151" i="8"/>
  <c r="AA150" i="8"/>
  <c r="AA149" i="8"/>
  <c r="AA148" i="8"/>
  <c r="AB116" i="10"/>
  <c r="AA111" i="8"/>
  <c r="AB105" i="10"/>
  <c r="AC148" i="8"/>
  <c r="AR201" i="5"/>
  <c r="W188" i="6"/>
  <c r="W187" i="6"/>
  <c r="W186" i="6"/>
  <c r="W185" i="6"/>
  <c r="W184" i="6"/>
  <c r="E184" i="6"/>
  <c r="AZ184" i="6" s="1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AZ170" i="6"/>
  <c r="W169" i="6"/>
  <c r="W168" i="6"/>
  <c r="W166" i="6"/>
  <c r="W165" i="6"/>
  <c r="W164" i="6"/>
  <c r="W163" i="6"/>
  <c r="W162" i="6"/>
  <c r="W161" i="6"/>
  <c r="W160" i="6"/>
  <c r="W159" i="6"/>
  <c r="W158" i="6"/>
  <c r="W157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0" i="6"/>
  <c r="W99" i="6"/>
  <c r="W238" i="6"/>
  <c r="W237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AZ196" i="6"/>
  <c r="W195" i="6"/>
  <c r="AZ188" i="6"/>
  <c r="AZ187" i="6"/>
  <c r="AZ186" i="6"/>
  <c r="AZ185" i="6"/>
  <c r="AJ184" i="6"/>
  <c r="AT184" i="6" s="1"/>
  <c r="AZ183" i="6"/>
  <c r="AZ182" i="6"/>
  <c r="AZ181" i="6"/>
  <c r="AZ180" i="6"/>
  <c r="AZ179" i="6"/>
  <c r="AZ178" i="6"/>
  <c r="AZ177" i="6"/>
  <c r="AZ176" i="6"/>
  <c r="AZ174" i="6"/>
  <c r="AZ173" i="6"/>
  <c r="AZ172" i="6"/>
  <c r="AZ171" i="6"/>
  <c r="AZ169" i="6"/>
  <c r="AZ168" i="6"/>
  <c r="AZ166" i="6"/>
  <c r="AZ165" i="6"/>
  <c r="AZ164" i="6"/>
  <c r="AZ163" i="6"/>
  <c r="AZ162" i="6"/>
  <c r="AZ161" i="6"/>
  <c r="AZ160" i="6"/>
  <c r="AZ159" i="6"/>
  <c r="AZ158" i="6"/>
  <c r="AZ157" i="6"/>
  <c r="AZ155" i="6"/>
  <c r="AZ154" i="6"/>
  <c r="AZ153" i="6"/>
  <c r="AZ152" i="6"/>
  <c r="AZ151" i="6"/>
  <c r="AZ150" i="6"/>
  <c r="AZ149" i="6"/>
  <c r="AZ148" i="6"/>
  <c r="AZ147" i="6"/>
  <c r="AZ146" i="6"/>
  <c r="AZ145" i="6"/>
  <c r="AZ144" i="6"/>
  <c r="AZ143" i="6"/>
  <c r="AZ142" i="6"/>
  <c r="AZ141" i="6"/>
  <c r="AZ140" i="6"/>
  <c r="AZ139" i="6"/>
  <c r="AZ138" i="6"/>
  <c r="AZ137" i="6"/>
  <c r="AZ136" i="6"/>
  <c r="AZ135" i="6"/>
  <c r="AZ134" i="6"/>
  <c r="AZ133" i="6"/>
  <c r="AZ132" i="6"/>
  <c r="AZ131" i="6"/>
  <c r="AZ130" i="6"/>
  <c r="AZ129" i="6"/>
  <c r="AZ127" i="6"/>
  <c r="AZ126" i="6"/>
  <c r="AZ125" i="6"/>
  <c r="AZ124" i="6"/>
  <c r="AZ123" i="6"/>
  <c r="AZ122" i="6"/>
  <c r="AZ121" i="6"/>
  <c r="AZ120" i="6"/>
  <c r="AZ119" i="6"/>
  <c r="AZ118" i="6"/>
  <c r="AZ117" i="6"/>
  <c r="AZ115" i="6"/>
  <c r="AZ113" i="6"/>
  <c r="AZ112" i="6"/>
  <c r="AZ111" i="6"/>
  <c r="AZ110" i="6"/>
  <c r="AZ109" i="6"/>
  <c r="AZ106" i="6"/>
  <c r="AZ105" i="6"/>
  <c r="AZ104" i="6"/>
  <c r="AZ103" i="6"/>
  <c r="AZ102" i="6"/>
  <c r="AZ100" i="6"/>
  <c r="AZ99" i="6"/>
  <c r="AZ238" i="6"/>
  <c r="AZ237" i="6"/>
  <c r="AZ233" i="6"/>
  <c r="AZ232" i="6"/>
  <c r="AZ231" i="6"/>
  <c r="AZ230" i="6"/>
  <c r="AZ229" i="6"/>
  <c r="AZ227" i="6"/>
  <c r="AZ226" i="6"/>
  <c r="AZ225" i="6"/>
  <c r="AZ224" i="6"/>
  <c r="AZ223" i="6"/>
  <c r="AZ222" i="6"/>
  <c r="AZ221" i="6"/>
  <c r="AZ220" i="6"/>
  <c r="AZ219" i="6"/>
  <c r="AZ218" i="6"/>
  <c r="AZ217" i="6"/>
  <c r="AZ216" i="6"/>
  <c r="AZ215" i="6"/>
  <c r="AZ214" i="6"/>
  <c r="AZ213" i="6"/>
  <c r="AZ212" i="6"/>
  <c r="AZ211" i="6"/>
  <c r="AZ210" i="6"/>
  <c r="AZ209" i="6"/>
  <c r="AZ208" i="6"/>
  <c r="AZ207" i="6"/>
  <c r="AZ206" i="6"/>
  <c r="AZ205" i="6"/>
  <c r="AZ204" i="6"/>
  <c r="AZ203" i="6"/>
  <c r="AZ202" i="6"/>
  <c r="AZ201" i="6"/>
  <c r="AZ200" i="6"/>
  <c r="AZ199" i="6"/>
  <c r="AZ198" i="6"/>
  <c r="AZ197" i="6"/>
  <c r="AZ195" i="6"/>
  <c r="AS235" i="14"/>
  <c r="AS234" i="14"/>
  <c r="AS230" i="14"/>
  <c r="AS229" i="14"/>
  <c r="AS228" i="14"/>
  <c r="AS227" i="14"/>
  <c r="AS226" i="14"/>
  <c r="AS225" i="14"/>
  <c r="AS224" i="14"/>
  <c r="AS223" i="14"/>
  <c r="AS222" i="14"/>
  <c r="AS221" i="14"/>
  <c r="AS220" i="14"/>
  <c r="AS219" i="14"/>
  <c r="AS218" i="14"/>
  <c r="AS217" i="14"/>
  <c r="AS216" i="14"/>
  <c r="AS215" i="14"/>
  <c r="AS214" i="14"/>
  <c r="AS213" i="14"/>
  <c r="AS212" i="14"/>
  <c r="AS211" i="14"/>
  <c r="AS210" i="14"/>
  <c r="AS209" i="14"/>
  <c r="AS208" i="14"/>
  <c r="AS207" i="14"/>
  <c r="AS206" i="14"/>
  <c r="AS205" i="14"/>
  <c r="AS204" i="14"/>
  <c r="AS203" i="14"/>
  <c r="AS202" i="14"/>
  <c r="AS201" i="14"/>
  <c r="AS200" i="14"/>
  <c r="AS199" i="14"/>
  <c r="AS198" i="14"/>
  <c r="AS197" i="14"/>
  <c r="AS196" i="14"/>
  <c r="AS195" i="14"/>
  <c r="AS194" i="14"/>
  <c r="AS193" i="14"/>
  <c r="AS192" i="14"/>
  <c r="AS191" i="14"/>
  <c r="AS190" i="14"/>
  <c r="AS189" i="14"/>
  <c r="AS188" i="14"/>
  <c r="AS186" i="14"/>
  <c r="AS185" i="14"/>
  <c r="AS184" i="14"/>
  <c r="AS183" i="14"/>
  <c r="AS182" i="14"/>
  <c r="AS181" i="14"/>
  <c r="AS179" i="14"/>
  <c r="AS178" i="14"/>
  <c r="AS177" i="14"/>
  <c r="AS176" i="14"/>
  <c r="AS175" i="14"/>
  <c r="AS174" i="14"/>
  <c r="AS173" i="14"/>
  <c r="AS172" i="14"/>
  <c r="AS171" i="14"/>
  <c r="AS170" i="14"/>
  <c r="AS169" i="14"/>
  <c r="AS168" i="14"/>
  <c r="AS167" i="14"/>
  <c r="AS166" i="14"/>
  <c r="AS165" i="14"/>
  <c r="AS163" i="14"/>
  <c r="AS162" i="14"/>
  <c r="AS161" i="14"/>
  <c r="AS160" i="14"/>
  <c r="AS159" i="14"/>
  <c r="AS158" i="14"/>
  <c r="AS157" i="14"/>
  <c r="AS156" i="14"/>
  <c r="AS155" i="14"/>
  <c r="AS154" i="14"/>
  <c r="AS152" i="14"/>
  <c r="AS151" i="14"/>
  <c r="AS150" i="14"/>
  <c r="AS149" i="14"/>
  <c r="AS148" i="14"/>
  <c r="AS147" i="14"/>
  <c r="AS146" i="14"/>
  <c r="AS145" i="14"/>
  <c r="AS144" i="14"/>
  <c r="AS143" i="14"/>
  <c r="AS142" i="14"/>
  <c r="AS141" i="14"/>
  <c r="AS140" i="14"/>
  <c r="AS139" i="14"/>
  <c r="AS138" i="14"/>
  <c r="AS137" i="14"/>
  <c r="AS136" i="14"/>
  <c r="AS135" i="14"/>
  <c r="AS134" i="14"/>
  <c r="AS133" i="14"/>
  <c r="AS132" i="14"/>
  <c r="AS131" i="14"/>
  <c r="AS130" i="14"/>
  <c r="AS129" i="14"/>
  <c r="AS128" i="14"/>
  <c r="AS127" i="14"/>
  <c r="AS126" i="14"/>
  <c r="AS125" i="14"/>
  <c r="AS124" i="14"/>
  <c r="AS123" i="14"/>
  <c r="AS122" i="14"/>
  <c r="AS121" i="14"/>
  <c r="AS120" i="14"/>
  <c r="AS119" i="14"/>
  <c r="AS118" i="14"/>
  <c r="AS117" i="14"/>
  <c r="AS115" i="14"/>
  <c r="AS114" i="14"/>
  <c r="AS113" i="14"/>
  <c r="AS112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8" i="14"/>
  <c r="AS97" i="14"/>
  <c r="AS96" i="14"/>
  <c r="AS95" i="14"/>
  <c r="AS94" i="14"/>
  <c r="AS93" i="14"/>
  <c r="W235" i="14"/>
  <c r="W234" i="14"/>
  <c r="W230" i="14"/>
  <c r="W229" i="14"/>
  <c r="W228" i="14"/>
  <c r="W227" i="14"/>
  <c r="W226" i="14"/>
  <c r="AY226" i="14"/>
  <c r="W225" i="14"/>
  <c r="W224" i="14"/>
  <c r="AY224" i="14"/>
  <c r="W223" i="14"/>
  <c r="AY223" i="14"/>
  <c r="W222" i="14"/>
  <c r="W221" i="14"/>
  <c r="W220" i="14"/>
  <c r="W219" i="14"/>
  <c r="W218" i="14"/>
  <c r="W217" i="14"/>
  <c r="W216" i="14"/>
  <c r="W215" i="14"/>
  <c r="W214" i="14"/>
  <c r="W213" i="14"/>
  <c r="W212" i="14"/>
  <c r="W211" i="14"/>
  <c r="W210" i="14"/>
  <c r="W209" i="14"/>
  <c r="W208" i="14"/>
  <c r="W207" i="14"/>
  <c r="AY207" i="14"/>
  <c r="W206" i="14"/>
  <c r="W205" i="14"/>
  <c r="AY205" i="14"/>
  <c r="W204" i="14"/>
  <c r="W203" i="14"/>
  <c r="AY203" i="14"/>
  <c r="W202" i="14"/>
  <c r="AY202" i="14"/>
  <c r="W201" i="14"/>
  <c r="AY201" i="14"/>
  <c r="W200" i="14"/>
  <c r="W199" i="14"/>
  <c r="W198" i="14"/>
  <c r="W197" i="14"/>
  <c r="AY197" i="14"/>
  <c r="W196" i="14"/>
  <c r="AY196" i="14"/>
  <c r="W195" i="14"/>
  <c r="AY195" i="14"/>
  <c r="W194" i="14"/>
  <c r="AY194" i="14"/>
  <c r="W193" i="14"/>
  <c r="W192" i="14"/>
  <c r="W191" i="14"/>
  <c r="AY191" i="14"/>
  <c r="W190" i="14"/>
  <c r="W189" i="14"/>
  <c r="W188" i="14"/>
  <c r="AY188" i="14"/>
  <c r="W187" i="14"/>
  <c r="W186" i="14"/>
  <c r="W185" i="14"/>
  <c r="W184" i="14"/>
  <c r="AY184" i="14"/>
  <c r="W183" i="14"/>
  <c r="W182" i="14"/>
  <c r="W181" i="14"/>
  <c r="AY181" i="14"/>
  <c r="W179" i="14"/>
  <c r="W178" i="14"/>
  <c r="W177" i="14"/>
  <c r="W176" i="14"/>
  <c r="AY176" i="14"/>
  <c r="W175" i="14"/>
  <c r="AY175" i="14"/>
  <c r="W174" i="14"/>
  <c r="W173" i="14"/>
  <c r="W172" i="14"/>
  <c r="W171" i="14"/>
  <c r="W170" i="14"/>
  <c r="W169" i="14"/>
  <c r="AY169" i="14"/>
  <c r="W168" i="14"/>
  <c r="W167" i="14"/>
  <c r="AY167" i="14"/>
  <c r="W166" i="14"/>
  <c r="AY166" i="14"/>
  <c r="W165" i="14"/>
  <c r="W163" i="14"/>
  <c r="AY163" i="14"/>
  <c r="W162" i="14"/>
  <c r="W161" i="14"/>
  <c r="W160" i="14"/>
  <c r="W159" i="14"/>
  <c r="W158" i="14"/>
  <c r="W157" i="14"/>
  <c r="W156" i="14"/>
  <c r="W155" i="14"/>
  <c r="AY155" i="14"/>
  <c r="W154" i="14"/>
  <c r="W152" i="14"/>
  <c r="W150" i="14"/>
  <c r="W149" i="14"/>
  <c r="W148" i="14"/>
  <c r="AY148" i="14"/>
  <c r="W147" i="14"/>
  <c r="AY147" i="14"/>
  <c r="W146" i="14"/>
  <c r="W145" i="14"/>
  <c r="W144" i="14"/>
  <c r="W143" i="14"/>
  <c r="W142" i="14"/>
  <c r="AY142" i="14"/>
  <c r="W140" i="14"/>
  <c r="AY140" i="14"/>
  <c r="W139" i="14"/>
  <c r="AY139" i="14"/>
  <c r="W138" i="14"/>
  <c r="AY138" i="14"/>
  <c r="W137" i="14"/>
  <c r="AY137" i="14"/>
  <c r="W136" i="14"/>
  <c r="W135" i="14"/>
  <c r="W134" i="14"/>
  <c r="W133" i="14"/>
  <c r="W132" i="14"/>
  <c r="W131" i="14"/>
  <c r="W130" i="14"/>
  <c r="W129" i="14"/>
  <c r="AY129" i="14"/>
  <c r="W128" i="14"/>
  <c r="W127" i="14"/>
  <c r="AY127" i="14"/>
  <c r="W126" i="14"/>
  <c r="AY126" i="14"/>
  <c r="W125" i="14"/>
  <c r="W124" i="14"/>
  <c r="W123" i="14"/>
  <c r="W122" i="14"/>
  <c r="W121" i="14"/>
  <c r="W120" i="14"/>
  <c r="W119" i="14"/>
  <c r="W118" i="14"/>
  <c r="W117" i="14"/>
  <c r="W115" i="14"/>
  <c r="W114" i="14"/>
  <c r="W113" i="14"/>
  <c r="W112" i="14"/>
  <c r="W110" i="14"/>
  <c r="AY110" i="14"/>
  <c r="W109" i="14"/>
  <c r="AY109" i="14"/>
  <c r="W108" i="14"/>
  <c r="W107" i="14"/>
  <c r="W106" i="14"/>
  <c r="W105" i="14"/>
  <c r="W104" i="14"/>
  <c r="W103" i="14"/>
  <c r="AY103" i="14"/>
  <c r="W102" i="14"/>
  <c r="W101" i="14"/>
  <c r="W100" i="14"/>
  <c r="W98" i="14"/>
  <c r="W97" i="14"/>
  <c r="W96" i="14"/>
  <c r="AY96" i="14"/>
  <c r="W95" i="14"/>
  <c r="W94" i="14"/>
  <c r="W93" i="14"/>
  <c r="BN63" i="6"/>
  <c r="E89" i="14"/>
  <c r="AY104" i="14" l="1"/>
  <c r="AY150" i="14"/>
  <c r="AY178" i="14"/>
  <c r="AY95" i="14"/>
  <c r="AY132" i="14"/>
  <c r="AY186" i="14"/>
  <c r="AY190" i="14"/>
  <c r="AY146" i="14"/>
  <c r="AY174" i="14"/>
  <c r="AY193" i="14"/>
  <c r="AZ228" i="6"/>
  <c r="AZ107" i="6"/>
  <c r="AR191" i="5"/>
  <c r="AR147" i="5"/>
  <c r="AC192" i="8"/>
  <c r="AY235" i="14"/>
  <c r="AY234" i="14"/>
  <c r="AY230" i="14"/>
  <c r="AY229" i="14"/>
  <c r="AY228" i="14"/>
  <c r="AY227" i="14"/>
  <c r="AY225" i="14"/>
  <c r="AY222" i="14"/>
  <c r="AY221" i="14"/>
  <c r="AY220" i="14"/>
  <c r="AY219" i="14"/>
  <c r="AY218" i="14"/>
  <c r="AY217" i="14"/>
  <c r="AR221" i="5"/>
  <c r="AY216" i="14"/>
  <c r="AR220" i="5"/>
  <c r="AY215" i="14"/>
  <c r="AR219" i="5"/>
  <c r="AY214" i="14"/>
  <c r="AR218" i="5"/>
  <c r="AY211" i="14"/>
  <c r="AY213" i="14"/>
  <c r="AR217" i="5"/>
  <c r="AR216" i="5"/>
  <c r="AY212" i="14"/>
  <c r="AR215" i="5"/>
  <c r="AY210" i="14"/>
  <c r="AR214" i="5"/>
  <c r="AY209" i="14"/>
  <c r="AR213" i="5"/>
  <c r="AY208" i="14"/>
  <c r="AR212" i="5"/>
  <c r="AR211" i="5"/>
  <c r="AY206" i="14"/>
  <c r="AR210" i="5"/>
  <c r="AR209" i="5"/>
  <c r="AC209" i="8"/>
  <c r="AY204" i="14"/>
  <c r="AR208" i="5"/>
  <c r="AR207" i="5"/>
  <c r="AR206" i="5"/>
  <c r="AR205" i="5"/>
  <c r="AY200" i="14"/>
  <c r="AR204" i="5"/>
  <c r="AY199" i="14"/>
  <c r="AR203" i="5"/>
  <c r="AY198" i="14"/>
  <c r="AR202" i="5"/>
  <c r="AR198" i="5"/>
  <c r="AR197" i="5"/>
  <c r="AR196" i="5"/>
  <c r="AR195" i="5"/>
  <c r="AY192" i="14"/>
  <c r="AR194" i="5"/>
  <c r="AR193" i="5"/>
  <c r="AY189" i="14"/>
  <c r="AR192" i="5"/>
  <c r="AY187" i="14"/>
  <c r="AR190" i="5"/>
  <c r="AR189" i="5"/>
  <c r="AY185" i="14"/>
  <c r="AR188" i="5"/>
  <c r="AR187" i="5"/>
  <c r="AY183" i="14"/>
  <c r="AR186" i="5"/>
  <c r="AY182" i="14"/>
  <c r="AR185" i="5"/>
  <c r="AR184" i="5"/>
  <c r="AR183" i="5"/>
  <c r="AY179" i="14"/>
  <c r="AR182" i="5"/>
  <c r="AR181" i="5"/>
  <c r="AY177" i="14"/>
  <c r="AR180" i="5"/>
  <c r="AR178" i="5"/>
  <c r="AR179" i="5"/>
  <c r="AR177" i="5"/>
  <c r="AY173" i="14"/>
  <c r="AY172" i="14"/>
  <c r="AZ175" i="6"/>
  <c r="AR175" i="5"/>
  <c r="AY171" i="14"/>
  <c r="AY170" i="14"/>
  <c r="AR173" i="5"/>
  <c r="AR172" i="5"/>
  <c r="AR174" i="5"/>
  <c r="AY168" i="14"/>
  <c r="AR171" i="5"/>
  <c r="AY162" i="14"/>
  <c r="AR169" i="5"/>
  <c r="AR170" i="5"/>
  <c r="AY165" i="14"/>
  <c r="AR168" i="5"/>
  <c r="AR167" i="5"/>
  <c r="AR166" i="5"/>
  <c r="AY161" i="14"/>
  <c r="AR165" i="5"/>
  <c r="AY160" i="14"/>
  <c r="AR164" i="5"/>
  <c r="AY159" i="14"/>
  <c r="AR163" i="5"/>
  <c r="AY158" i="14"/>
  <c r="AR162" i="5"/>
  <c r="AY157" i="14"/>
  <c r="AR161" i="5"/>
  <c r="AY156" i="14"/>
  <c r="AR160" i="5"/>
  <c r="AR159" i="5"/>
  <c r="AR158" i="5"/>
  <c r="AY154" i="14"/>
  <c r="AY152" i="14"/>
  <c r="AR157" i="5"/>
  <c r="AR155" i="5"/>
  <c r="AY151" i="14"/>
  <c r="AR154" i="5"/>
  <c r="AR153" i="5"/>
  <c r="AY149" i="14"/>
  <c r="AR152" i="5"/>
  <c r="AR151" i="5"/>
  <c r="AR150" i="5"/>
  <c r="AR149" i="5"/>
  <c r="AY145" i="14"/>
  <c r="AR148" i="5"/>
  <c r="AY144" i="14"/>
  <c r="AY143" i="14"/>
  <c r="AY141" i="14"/>
  <c r="AY136" i="14"/>
  <c r="AY135" i="14"/>
  <c r="AY134" i="14"/>
  <c r="AY133" i="14"/>
  <c r="AY131" i="14"/>
  <c r="AY130" i="14"/>
  <c r="AR130" i="5"/>
  <c r="AY128" i="14"/>
  <c r="AY123" i="14"/>
  <c r="AY125" i="14"/>
  <c r="AZ128" i="6"/>
  <c r="AY124" i="14"/>
  <c r="AY122" i="14"/>
  <c r="AY121" i="14"/>
  <c r="AY120" i="14"/>
  <c r="AY119" i="14"/>
  <c r="AY118" i="14"/>
  <c r="AY117" i="14"/>
  <c r="AY115" i="14"/>
  <c r="AY114" i="14"/>
  <c r="AY113" i="14"/>
  <c r="AZ116" i="6"/>
  <c r="AY112" i="14"/>
  <c r="AY108" i="14"/>
  <c r="AY107" i="14"/>
  <c r="AY106" i="14"/>
  <c r="AZ108" i="6"/>
  <c r="AY105" i="14"/>
  <c r="AY102" i="14"/>
  <c r="AY101" i="14"/>
  <c r="AY100" i="14"/>
  <c r="AY98" i="14"/>
  <c r="AY97" i="14"/>
  <c r="AY94" i="14"/>
  <c r="AY93" i="14"/>
  <c r="W30" i="14" l="1"/>
  <c r="W31" i="14"/>
  <c r="W32" i="14"/>
  <c r="W33" i="14"/>
  <c r="W34" i="14"/>
  <c r="W35" i="14"/>
  <c r="W36" i="14"/>
  <c r="W37" i="14"/>
  <c r="E13" i="6" l="1"/>
  <c r="AJ91" i="6"/>
  <c r="K11" i="14"/>
  <c r="S10" i="1"/>
  <c r="AA70" i="8"/>
  <c r="AA69" i="8"/>
  <c r="AA68" i="8"/>
  <c r="AA67" i="8"/>
  <c r="AA66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50" i="8"/>
  <c r="AA49" i="8"/>
  <c r="AA48" i="8"/>
  <c r="AA46" i="8"/>
  <c r="AA45" i="8"/>
  <c r="AA44" i="8"/>
  <c r="AA42" i="8"/>
  <c r="AA41" i="8"/>
  <c r="AA40" i="8"/>
  <c r="AA39" i="8"/>
  <c r="AA38" i="8"/>
  <c r="AA37" i="8"/>
  <c r="AA36" i="8"/>
  <c r="AA35" i="8"/>
  <c r="AA34" i="8"/>
  <c r="AA33" i="8"/>
  <c r="AA32" i="8"/>
  <c r="AA31" i="8"/>
  <c r="AA30" i="8"/>
  <c r="AA29" i="8"/>
  <c r="AA28" i="8"/>
  <c r="AA27" i="8"/>
  <c r="AA26" i="8"/>
  <c r="AA25" i="8"/>
  <c r="AA24" i="8"/>
  <c r="AA23" i="8"/>
  <c r="BM19" i="14"/>
  <c r="BM29" i="15" l="1"/>
  <c r="AI29" i="15"/>
  <c r="AS29" i="15" s="1"/>
  <c r="W29" i="15"/>
  <c r="BM47" i="13"/>
  <c r="BM39" i="13"/>
  <c r="BM54" i="14"/>
  <c r="AS54" i="14"/>
  <c r="W54" i="14"/>
  <c r="BM53" i="14"/>
  <c r="AS53" i="14"/>
  <c r="W53" i="14"/>
  <c r="BM52" i="14"/>
  <c r="AS52" i="14"/>
  <c r="BM51" i="14"/>
  <c r="AS51" i="14"/>
  <c r="W51" i="14"/>
  <c r="BM50" i="14"/>
  <c r="AS50" i="14"/>
  <c r="W50" i="14"/>
  <c r="BM49" i="14"/>
  <c r="AS49" i="14"/>
  <c r="W49" i="14"/>
  <c r="BM48" i="14"/>
  <c r="AS48" i="14"/>
  <c r="W48" i="14"/>
  <c r="BM47" i="14"/>
  <c r="AS47" i="14"/>
  <c r="W47" i="14"/>
  <c r="BM46" i="14"/>
  <c r="AS46" i="14"/>
  <c r="W46" i="14"/>
  <c r="BM45" i="14"/>
  <c r="AS45" i="14"/>
  <c r="W45" i="14"/>
  <c r="BM44" i="14"/>
  <c r="AS44" i="14"/>
  <c r="W44" i="14"/>
  <c r="BM42" i="14"/>
  <c r="AS42" i="14"/>
  <c r="W42" i="14"/>
  <c r="BM41" i="14"/>
  <c r="AS41" i="14"/>
  <c r="W41" i="14"/>
  <c r="BM40" i="14"/>
  <c r="AS40" i="14"/>
  <c r="W40" i="14"/>
  <c r="BM39" i="14"/>
  <c r="AS39" i="14"/>
  <c r="W39" i="14"/>
  <c r="BM38" i="14"/>
  <c r="AS38" i="14"/>
  <c r="W38" i="14"/>
  <c r="BM37" i="14"/>
  <c r="AS37" i="14"/>
  <c r="BM36" i="14"/>
  <c r="AS36" i="14"/>
  <c r="BM35" i="14"/>
  <c r="AS35" i="14"/>
  <c r="BM34" i="14"/>
  <c r="AS34" i="14"/>
  <c r="BM33" i="14"/>
  <c r="AS33" i="14"/>
  <c r="BM32" i="14"/>
  <c r="AS32" i="14"/>
  <c r="BM31" i="14"/>
  <c r="AS31" i="14"/>
  <c r="BM30" i="14"/>
  <c r="AS30" i="14"/>
  <c r="BM29" i="14"/>
  <c r="AS29" i="14"/>
  <c r="W29" i="14"/>
  <c r="BM28" i="14"/>
  <c r="AS28" i="14"/>
  <c r="W28" i="14"/>
  <c r="BM27" i="14"/>
  <c r="AS27" i="14"/>
  <c r="W27" i="14"/>
  <c r="BM26" i="14"/>
  <c r="AS26" i="14"/>
  <c r="W26" i="14"/>
  <c r="BM25" i="14"/>
  <c r="AS25" i="14"/>
  <c r="W25" i="14"/>
  <c r="BM24" i="14"/>
  <c r="AS24" i="14"/>
  <c r="W24" i="14"/>
  <c r="BM23" i="14"/>
  <c r="AS23" i="14"/>
  <c r="W23" i="14"/>
  <c r="AY23" i="14"/>
  <c r="BN56" i="6"/>
  <c r="W56" i="6"/>
  <c r="AZ56" i="6"/>
  <c r="BN55" i="6"/>
  <c r="W55" i="6"/>
  <c r="BN54" i="6"/>
  <c r="W54" i="6"/>
  <c r="AZ54" i="6"/>
  <c r="BN53" i="6"/>
  <c r="W53" i="6"/>
  <c r="BN52" i="6"/>
  <c r="W52" i="6"/>
  <c r="BN51" i="6"/>
  <c r="W51" i="6"/>
  <c r="AZ51" i="6"/>
  <c r="BN50" i="6"/>
  <c r="W50" i="6"/>
  <c r="BN49" i="6"/>
  <c r="W49" i="6"/>
  <c r="BN48" i="6"/>
  <c r="W48" i="6"/>
  <c r="AZ48" i="6"/>
  <c r="BN47" i="6"/>
  <c r="W47" i="6"/>
  <c r="AZ47" i="6"/>
  <c r="BN46" i="6"/>
  <c r="W46" i="6"/>
  <c r="BN44" i="6"/>
  <c r="W44" i="6"/>
  <c r="AZ44" i="6"/>
  <c r="BN43" i="6"/>
  <c r="W43" i="6"/>
  <c r="AZ43" i="6"/>
  <c r="BN42" i="6"/>
  <c r="W42" i="6"/>
  <c r="BN41" i="6"/>
  <c r="W41" i="6"/>
  <c r="BN40" i="6"/>
  <c r="W40" i="6"/>
  <c r="BN39" i="6"/>
  <c r="W39" i="6"/>
  <c r="BN38" i="6"/>
  <c r="W38" i="6"/>
  <c r="BN37" i="6"/>
  <c r="W37" i="6"/>
  <c r="AZ37" i="6"/>
  <c r="BN36" i="6"/>
  <c r="W36" i="6"/>
  <c r="BN35" i="6"/>
  <c r="W35" i="6"/>
  <c r="BN34" i="6"/>
  <c r="W34" i="6"/>
  <c r="AZ34" i="6"/>
  <c r="BN33" i="6"/>
  <c r="W33" i="6"/>
  <c r="BN32" i="6"/>
  <c r="W32" i="6"/>
  <c r="AZ32" i="6"/>
  <c r="BN31" i="6"/>
  <c r="W31" i="6"/>
  <c r="AZ31" i="6"/>
  <c r="BN30" i="6"/>
  <c r="W30" i="6"/>
  <c r="BN29" i="6"/>
  <c r="W29" i="6"/>
  <c r="BN28" i="6"/>
  <c r="W28" i="6"/>
  <c r="BN27" i="6"/>
  <c r="W27" i="6"/>
  <c r="U53" i="3"/>
  <c r="S54" i="7"/>
  <c r="S53" i="7"/>
  <c r="S52" i="7"/>
  <c r="S51" i="7"/>
  <c r="S50" i="7"/>
  <c r="S49" i="7"/>
  <c r="S48" i="7"/>
  <c r="S47" i="7"/>
  <c r="S46" i="7"/>
  <c r="S45" i="7"/>
  <c r="S44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AY30" i="14" l="1"/>
  <c r="AY35" i="14"/>
  <c r="AY28" i="14"/>
  <c r="AY29" i="15"/>
  <c r="AY25" i="14"/>
  <c r="AY36" i="14"/>
  <c r="AY40" i="14"/>
  <c r="AY42" i="14"/>
  <c r="AY44" i="14"/>
  <c r="AY45" i="14"/>
  <c r="AY53" i="14"/>
  <c r="AZ27" i="6"/>
  <c r="AZ28" i="6"/>
  <c r="AZ35" i="6"/>
  <c r="AZ36" i="6"/>
  <c r="AZ38" i="6"/>
  <c r="AC32" i="8"/>
  <c r="AY41" i="14"/>
  <c r="AY31" i="14"/>
  <c r="AY32" i="14"/>
  <c r="AY24" i="14"/>
  <c r="AY26" i="14"/>
  <c r="AY27" i="14"/>
  <c r="AY29" i="14"/>
  <c r="AY33" i="14"/>
  <c r="AY34" i="14"/>
  <c r="AY37" i="14"/>
  <c r="AY38" i="14"/>
  <c r="AY39" i="14"/>
  <c r="AY46" i="14"/>
  <c r="AY47" i="14"/>
  <c r="AY48" i="14"/>
  <c r="AY49" i="14"/>
  <c r="AY50" i="14"/>
  <c r="AY51" i="14"/>
  <c r="AY52" i="14"/>
  <c r="AY54" i="14"/>
  <c r="AZ52" i="6"/>
  <c r="AZ50" i="6"/>
  <c r="AZ29" i="6"/>
  <c r="AZ33" i="6"/>
  <c r="AZ39" i="6"/>
  <c r="AZ40" i="6"/>
  <c r="AZ41" i="6"/>
  <c r="AZ42" i="6"/>
  <c r="AZ46" i="6"/>
  <c r="AZ49" i="6"/>
  <c r="AZ53" i="6"/>
  <c r="AZ55" i="6"/>
  <c r="BM65" i="15" l="1"/>
  <c r="W65" i="15"/>
  <c r="BM64" i="15"/>
  <c r="W64" i="15"/>
  <c r="BM63" i="15"/>
  <c r="BM62" i="15"/>
  <c r="W62" i="15"/>
  <c r="BM62" i="13"/>
  <c r="BM61" i="13"/>
  <c r="BM60" i="13"/>
  <c r="BM59" i="13"/>
  <c r="BM58" i="13"/>
  <c r="BM57" i="13"/>
  <c r="Y57" i="13"/>
  <c r="BA57" i="13" s="1"/>
  <c r="BM56" i="13"/>
  <c r="BM65" i="14"/>
  <c r="AS65" i="14"/>
  <c r="W65" i="14"/>
  <c r="AY65" i="14"/>
  <c r="BM64" i="14"/>
  <c r="AS64" i="14"/>
  <c r="W64" i="14"/>
  <c r="AY64" i="14"/>
  <c r="BM63" i="14"/>
  <c r="AS63" i="14"/>
  <c r="W63" i="14"/>
  <c r="AY63" i="14"/>
  <c r="BM62" i="14"/>
  <c r="AS62" i="14"/>
  <c r="W62" i="14"/>
  <c r="AY62" i="14"/>
  <c r="BM61" i="14"/>
  <c r="AS61" i="14"/>
  <c r="W61" i="14"/>
  <c r="AY61" i="14"/>
  <c r="BM60" i="14"/>
  <c r="AS60" i="14"/>
  <c r="W60" i="14"/>
  <c r="AY60" i="14"/>
  <c r="BM59" i="14"/>
  <c r="AS59" i="14"/>
  <c r="Y59" i="14"/>
  <c r="BA59" i="14" s="1"/>
  <c r="W59" i="14"/>
  <c r="AY59" i="14"/>
  <c r="BM58" i="14"/>
  <c r="AS58" i="14"/>
  <c r="W58" i="14"/>
  <c r="AY58" i="14"/>
  <c r="BM57" i="14"/>
  <c r="AS57" i="14"/>
  <c r="AY57" i="14"/>
  <c r="BN67" i="6"/>
  <c r="W67" i="6"/>
  <c r="BN66" i="6"/>
  <c r="W66" i="6"/>
  <c r="AZ66" i="6"/>
  <c r="BN65" i="6"/>
  <c r="W65" i="6"/>
  <c r="BN64" i="6"/>
  <c r="W64" i="6"/>
  <c r="W63" i="6"/>
  <c r="BN62" i="6"/>
  <c r="W62" i="6"/>
  <c r="AZ62" i="6"/>
  <c r="BN61" i="6"/>
  <c r="Z61" i="6"/>
  <c r="BB61" i="6" s="1"/>
  <c r="W61" i="6"/>
  <c r="AZ61" i="6"/>
  <c r="BN60" i="6"/>
  <c r="W60" i="6"/>
  <c r="BN59" i="6"/>
  <c r="W59" i="6"/>
  <c r="BN58" i="6"/>
  <c r="W58" i="6"/>
  <c r="BN57" i="6"/>
  <c r="W57" i="6"/>
  <c r="S67" i="7"/>
  <c r="S66" i="7"/>
  <c r="S65" i="7"/>
  <c r="S64" i="7"/>
  <c r="S63" i="7"/>
  <c r="S62" i="7"/>
  <c r="S60" i="7"/>
  <c r="S59" i="7"/>
  <c r="S58" i="7"/>
  <c r="S57" i="7"/>
  <c r="S56" i="7"/>
  <c r="AB67" i="10"/>
  <c r="AB66" i="10"/>
  <c r="AB63" i="10"/>
  <c r="AB62" i="10"/>
  <c r="AB61" i="10"/>
  <c r="AB60" i="10"/>
  <c r="AB59" i="10"/>
  <c r="AB58" i="10"/>
  <c r="AB57" i="10"/>
  <c r="AB56" i="10"/>
  <c r="AB55" i="10"/>
  <c r="AZ67" i="6" l="1"/>
  <c r="AZ64" i="6"/>
  <c r="AZ60" i="6"/>
  <c r="AZ63" i="6"/>
  <c r="AZ65" i="6"/>
  <c r="S55" i="7"/>
  <c r="AZ57" i="6"/>
  <c r="AZ58" i="6"/>
  <c r="AZ59" i="6"/>
  <c r="BM67" i="15" l="1"/>
  <c r="W75" i="15"/>
  <c r="W218" i="12"/>
  <c r="W217" i="12"/>
  <c r="W216" i="12"/>
  <c r="W215" i="12"/>
  <c r="W214" i="12"/>
  <c r="W213" i="12"/>
  <c r="W212" i="12"/>
  <c r="W209" i="12"/>
  <c r="W208" i="12"/>
  <c r="W207" i="12"/>
  <c r="W206" i="12"/>
  <c r="W205" i="12"/>
  <c r="W203" i="12"/>
  <c r="W202" i="12"/>
  <c r="W201" i="12"/>
  <c r="W200" i="12"/>
  <c r="W199" i="12"/>
  <c r="W198" i="12"/>
  <c r="W197" i="12"/>
  <c r="W196" i="12"/>
  <c r="W195" i="12"/>
  <c r="S194" i="12"/>
  <c r="W194" i="12" s="1"/>
  <c r="W193" i="12"/>
  <c r="W192" i="12"/>
  <c r="W191" i="12"/>
  <c r="W190" i="12"/>
  <c r="W189" i="12"/>
  <c r="W188" i="12"/>
  <c r="W187" i="12"/>
  <c r="W186" i="12"/>
  <c r="W184" i="12"/>
  <c r="W183" i="12"/>
  <c r="W182" i="12"/>
  <c r="W181" i="12"/>
  <c r="W180" i="12"/>
  <c r="W179" i="12"/>
  <c r="W178" i="12"/>
  <c r="W176" i="12"/>
  <c r="W175" i="12"/>
  <c r="W173" i="12"/>
  <c r="W172" i="12"/>
  <c r="W171" i="12"/>
  <c r="W170" i="12"/>
  <c r="W169" i="12"/>
  <c r="W168" i="12"/>
  <c r="W167" i="12"/>
  <c r="W166" i="12"/>
  <c r="W165" i="12"/>
  <c r="W164" i="12"/>
  <c r="W163" i="12"/>
  <c r="W162" i="12"/>
  <c r="W161" i="12"/>
  <c r="W160" i="12"/>
  <c r="W159" i="12"/>
  <c r="W158" i="12"/>
  <c r="W157" i="12"/>
  <c r="W155" i="12"/>
  <c r="W154" i="12"/>
  <c r="W153" i="12"/>
  <c r="W152" i="12"/>
  <c r="W151" i="12"/>
  <c r="W150" i="12"/>
  <c r="W149" i="12"/>
  <c r="W148" i="12"/>
  <c r="BM168" i="15"/>
  <c r="W168" i="15"/>
  <c r="BM167" i="15"/>
  <c r="W167" i="15"/>
  <c r="BM166" i="15"/>
  <c r="W166" i="15"/>
  <c r="BM165" i="15"/>
  <c r="W165" i="15"/>
  <c r="BM164" i="15"/>
  <c r="W164" i="15"/>
  <c r="BM163" i="15"/>
  <c r="W163" i="15"/>
  <c r="BM162" i="15"/>
  <c r="W162" i="15"/>
  <c r="BM161" i="15"/>
  <c r="W161" i="15"/>
  <c r="BM160" i="15"/>
  <c r="W160" i="15"/>
  <c r="BM159" i="15"/>
  <c r="W159" i="15"/>
  <c r="BM158" i="15"/>
  <c r="W158" i="15"/>
  <c r="BM157" i="15"/>
  <c r="W157" i="15"/>
  <c r="BM156" i="15"/>
  <c r="W156" i="15"/>
  <c r="BM155" i="15"/>
  <c r="W155" i="15"/>
  <c r="BM154" i="15"/>
  <c r="W154" i="15"/>
  <c r="BM212" i="13"/>
  <c r="BM211" i="13"/>
  <c r="BM210" i="13"/>
  <c r="BM209" i="13"/>
  <c r="BM208" i="13"/>
  <c r="BM207" i="13"/>
  <c r="BM206" i="13"/>
  <c r="BM205" i="13"/>
  <c r="BM204" i="13"/>
  <c r="BM203" i="13"/>
  <c r="BM202" i="13"/>
  <c r="BM201" i="13"/>
  <c r="BM200" i="13"/>
  <c r="BM199" i="13"/>
  <c r="BM198" i="13"/>
  <c r="BM197" i="13"/>
  <c r="BM196" i="13"/>
  <c r="BM195" i="13"/>
  <c r="BM194" i="13"/>
  <c r="BM192" i="13"/>
  <c r="BM191" i="13"/>
  <c r="BM190" i="13"/>
  <c r="BM189" i="13"/>
  <c r="BM188" i="13"/>
  <c r="BM187" i="13"/>
  <c r="BM186" i="13"/>
  <c r="BM185" i="13"/>
  <c r="BM184" i="13"/>
  <c r="BM183" i="13"/>
  <c r="BM182" i="13"/>
  <c r="BM181" i="13"/>
  <c r="BM180" i="13"/>
  <c r="BM179" i="13"/>
  <c r="BM178" i="13"/>
  <c r="BM177" i="13"/>
  <c r="BM176" i="13"/>
  <c r="BM175" i="13"/>
  <c r="BM174" i="13"/>
  <c r="BM173" i="13"/>
  <c r="BM172" i="13"/>
  <c r="BM171" i="13"/>
  <c r="BM170" i="13"/>
  <c r="BM169" i="13"/>
  <c r="BM168" i="13"/>
  <c r="BM167" i="13"/>
  <c r="BM166" i="13"/>
  <c r="BM165" i="13"/>
  <c r="BM164" i="13"/>
  <c r="BM163" i="13"/>
  <c r="BM162" i="13"/>
  <c r="BM161" i="13"/>
  <c r="BM160" i="13"/>
  <c r="BM159" i="13"/>
  <c r="BM158" i="13"/>
  <c r="BM157" i="13"/>
  <c r="BM156" i="13"/>
  <c r="BM155" i="13"/>
  <c r="BM154" i="13"/>
  <c r="BM153" i="13"/>
  <c r="BM152" i="13"/>
  <c r="BM151" i="13"/>
  <c r="BM150" i="13"/>
  <c r="BM148" i="13"/>
  <c r="BM147" i="13"/>
  <c r="BM213" i="13"/>
  <c r="BM214" i="13"/>
  <c r="BM215" i="13"/>
  <c r="BM216" i="13"/>
  <c r="BM217" i="13"/>
  <c r="BM218" i="13"/>
  <c r="BM219" i="13"/>
  <c r="BM220" i="13"/>
  <c r="BM221" i="13"/>
  <c r="BM222" i="13"/>
  <c r="BM223" i="13"/>
  <c r="BM224" i="13"/>
  <c r="BM225" i="13"/>
  <c r="BM226" i="13"/>
  <c r="BM227" i="13"/>
  <c r="BM228" i="13"/>
  <c r="BM229" i="13"/>
  <c r="BM230" i="13"/>
  <c r="BM231" i="13"/>
  <c r="BM232" i="13"/>
  <c r="BM233" i="13"/>
  <c r="BM235" i="13"/>
  <c r="BM236" i="13"/>
  <c r="E238" i="13"/>
  <c r="K238" i="13"/>
  <c r="W238" i="13"/>
  <c r="AI238" i="13"/>
  <c r="AS238" i="13"/>
  <c r="BM238" i="13"/>
  <c r="E239" i="13"/>
  <c r="K239" i="13"/>
  <c r="W239" i="13"/>
  <c r="AS239" i="13"/>
  <c r="BM239" i="13"/>
  <c r="E240" i="13"/>
  <c r="K240" i="13"/>
  <c r="AY240" i="13" s="1"/>
  <c r="W240" i="13"/>
  <c r="AI240" i="13"/>
  <c r="AS240" i="13" s="1"/>
  <c r="BM240" i="13"/>
  <c r="E241" i="13"/>
  <c r="K241" i="13"/>
  <c r="W241" i="13"/>
  <c r="AI241" i="13"/>
  <c r="AS241" i="13" s="1"/>
  <c r="BM241" i="13"/>
  <c r="E242" i="13"/>
  <c r="K242" i="13"/>
  <c r="AY242" i="13" s="1"/>
  <c r="W242" i="13"/>
  <c r="AI242" i="13"/>
  <c r="AS242" i="13" s="1"/>
  <c r="BM242" i="13"/>
  <c r="E243" i="13"/>
  <c r="K243" i="13"/>
  <c r="W243" i="13"/>
  <c r="AI243" i="13"/>
  <c r="AS243" i="13" s="1"/>
  <c r="BM243" i="13"/>
  <c r="E244" i="13"/>
  <c r="K244" i="13"/>
  <c r="AY244" i="13" s="1"/>
  <c r="W244" i="13"/>
  <c r="AI244" i="13"/>
  <c r="BM244" i="13"/>
  <c r="BM214" i="14"/>
  <c r="BM213" i="14"/>
  <c r="BM212" i="14"/>
  <c r="BM211" i="14"/>
  <c r="BM210" i="14"/>
  <c r="BM209" i="14"/>
  <c r="BM208" i="14"/>
  <c r="BM207" i="14"/>
  <c r="BM206" i="14"/>
  <c r="BM205" i="14"/>
  <c r="BM204" i="14"/>
  <c r="BM203" i="14"/>
  <c r="BM202" i="14"/>
  <c r="BM201" i="14"/>
  <c r="BM200" i="14"/>
  <c r="BM199" i="14"/>
  <c r="BM198" i="14"/>
  <c r="BM197" i="14"/>
  <c r="BM196" i="14"/>
  <c r="BM195" i="14"/>
  <c r="BM194" i="14"/>
  <c r="BM193" i="14"/>
  <c r="BM192" i="14"/>
  <c r="BM191" i="14"/>
  <c r="BM190" i="14"/>
  <c r="BM189" i="14"/>
  <c r="BM188" i="14"/>
  <c r="BM187" i="14"/>
  <c r="BM186" i="14"/>
  <c r="BM185" i="14"/>
  <c r="BM184" i="14"/>
  <c r="BM183" i="14"/>
  <c r="BM182" i="14"/>
  <c r="BM181" i="14"/>
  <c r="BM180" i="14"/>
  <c r="AI180" i="14"/>
  <c r="AS180" i="14" s="1"/>
  <c r="W180" i="14"/>
  <c r="K180" i="14"/>
  <c r="AY180" i="14" s="1"/>
  <c r="BM179" i="14"/>
  <c r="BM178" i="14"/>
  <c r="BM177" i="14"/>
  <c r="BM176" i="14"/>
  <c r="BM175" i="14"/>
  <c r="BM174" i="14"/>
  <c r="BM173" i="14"/>
  <c r="BM172" i="14"/>
  <c r="BM171" i="14"/>
  <c r="BM170" i="14"/>
  <c r="BM169" i="14"/>
  <c r="BM168" i="14"/>
  <c r="BM167" i="14"/>
  <c r="BM166" i="14"/>
  <c r="BM165" i="14"/>
  <c r="BM163" i="14"/>
  <c r="BM162" i="14"/>
  <c r="BM161" i="14"/>
  <c r="BM160" i="14"/>
  <c r="BM159" i="14"/>
  <c r="BM158" i="14"/>
  <c r="BM157" i="14"/>
  <c r="BM156" i="14"/>
  <c r="BM155" i="14"/>
  <c r="BM154" i="14"/>
  <c r="BM152" i="14"/>
  <c r="BM151" i="14"/>
  <c r="BM150" i="14"/>
  <c r="BM149" i="14"/>
  <c r="BM148" i="14"/>
  <c r="BM147" i="14"/>
  <c r="BM146" i="14"/>
  <c r="BN217" i="6"/>
  <c r="BN216" i="6"/>
  <c r="BN215" i="6"/>
  <c r="BN214" i="6"/>
  <c r="BN213" i="6"/>
  <c r="BN212" i="6"/>
  <c r="BN211" i="6"/>
  <c r="BN210" i="6"/>
  <c r="BN209" i="6"/>
  <c r="BN208" i="6"/>
  <c r="BN207" i="6"/>
  <c r="BN206" i="6"/>
  <c r="BN205" i="6"/>
  <c r="BN204" i="6"/>
  <c r="BN203" i="6"/>
  <c r="BN202" i="6"/>
  <c r="BN201" i="6"/>
  <c r="BN200" i="6"/>
  <c r="BN199" i="6"/>
  <c r="BN198" i="6"/>
  <c r="BN197" i="6"/>
  <c r="BN196" i="6"/>
  <c r="BN195" i="6"/>
  <c r="BN194" i="6"/>
  <c r="W194" i="6"/>
  <c r="BN193" i="6"/>
  <c r="W193" i="6"/>
  <c r="BN192" i="6"/>
  <c r="W192" i="6"/>
  <c r="BN191" i="6"/>
  <c r="W191" i="6"/>
  <c r="BN190" i="6"/>
  <c r="W190" i="6"/>
  <c r="BN189" i="6"/>
  <c r="W189" i="6"/>
  <c r="BN188" i="6"/>
  <c r="BN187" i="6"/>
  <c r="BN186" i="6"/>
  <c r="BN185" i="6"/>
  <c r="BN184" i="6"/>
  <c r="BN182" i="6"/>
  <c r="BN181" i="6"/>
  <c r="BN180" i="6"/>
  <c r="BN179" i="6"/>
  <c r="BN178" i="6"/>
  <c r="BN177" i="6"/>
  <c r="BN176" i="6"/>
  <c r="BN174" i="6"/>
  <c r="BN173" i="6"/>
  <c r="BN172" i="6"/>
  <c r="BN171" i="6"/>
  <c r="BN170" i="6"/>
  <c r="BN169" i="6"/>
  <c r="BN166" i="6"/>
  <c r="BN165" i="6"/>
  <c r="BN164" i="6"/>
  <c r="BN162" i="6"/>
  <c r="BN161" i="6"/>
  <c r="BN160" i="6"/>
  <c r="BN157" i="6"/>
  <c r="BN155" i="6"/>
  <c r="BN154" i="6"/>
  <c r="BN153" i="6"/>
  <c r="BN152" i="6"/>
  <c r="BN151" i="6"/>
  <c r="BN150" i="6"/>
  <c r="BN149" i="6"/>
  <c r="BN148" i="6"/>
  <c r="S218" i="7"/>
  <c r="S217" i="7"/>
  <c r="AM217" i="2" s="1"/>
  <c r="S216" i="7"/>
  <c r="S215" i="7"/>
  <c r="S214" i="7"/>
  <c r="AM214" i="2" s="1"/>
  <c r="S213" i="7"/>
  <c r="AM213" i="2" s="1"/>
  <c r="S212" i="7"/>
  <c r="AM212" i="2" s="1"/>
  <c r="S211" i="7"/>
  <c r="AM211" i="2" s="1"/>
  <c r="S210" i="7"/>
  <c r="AM210" i="2" s="1"/>
  <c r="S208" i="7"/>
  <c r="S207" i="7"/>
  <c r="S206" i="7"/>
  <c r="S205" i="7"/>
  <c r="S204" i="7"/>
  <c r="AM204" i="2" s="1"/>
  <c r="S203" i="7"/>
  <c r="S202" i="7"/>
  <c r="S201" i="7"/>
  <c r="S200" i="7"/>
  <c r="S199" i="7"/>
  <c r="AM199" i="2" s="1"/>
  <c r="S198" i="7"/>
  <c r="AM198" i="2" s="1"/>
  <c r="S197" i="7"/>
  <c r="S196" i="7"/>
  <c r="S195" i="7"/>
  <c r="AM195" i="2" s="1"/>
  <c r="S194" i="7"/>
  <c r="S193" i="7"/>
  <c r="S192" i="7"/>
  <c r="S191" i="7"/>
  <c r="AM191" i="2" s="1"/>
  <c r="S190" i="7"/>
  <c r="S189" i="7"/>
  <c r="S188" i="7"/>
  <c r="S187" i="7"/>
  <c r="S186" i="7"/>
  <c r="S185" i="7"/>
  <c r="V185" i="7" s="1"/>
  <c r="S184" i="7"/>
  <c r="AM183" i="2" s="1"/>
  <c r="S183" i="7"/>
  <c r="S182" i="7"/>
  <c r="AM181" i="2" s="1"/>
  <c r="S181" i="7"/>
  <c r="S179" i="7"/>
  <c r="S178" i="7"/>
  <c r="AM177" i="2" s="1"/>
  <c r="S177" i="7"/>
  <c r="S176" i="7"/>
  <c r="S175" i="7"/>
  <c r="AM174" i="2" s="1"/>
  <c r="S174" i="7"/>
  <c r="S173" i="7"/>
  <c r="S172" i="7"/>
  <c r="AM171" i="2" s="1"/>
  <c r="S171" i="7"/>
  <c r="S170" i="7"/>
  <c r="S169" i="7"/>
  <c r="S167" i="7"/>
  <c r="S166" i="7"/>
  <c r="S165" i="7"/>
  <c r="AM165" i="2" s="1"/>
  <c r="S164" i="7"/>
  <c r="AM164" i="2" s="1"/>
  <c r="S163" i="7"/>
  <c r="S162" i="7"/>
  <c r="S161" i="7"/>
  <c r="AM161" i="2" s="1"/>
  <c r="S160" i="7"/>
  <c r="AM160" i="2" s="1"/>
  <c r="S159" i="7"/>
  <c r="S158" i="7"/>
  <c r="S157" i="7"/>
  <c r="S155" i="7"/>
  <c r="S154" i="7"/>
  <c r="AM154" i="2" s="1"/>
  <c r="S153" i="7"/>
  <c r="S152" i="7"/>
  <c r="S151" i="7"/>
  <c r="S150" i="7"/>
  <c r="S149" i="7"/>
  <c r="S148" i="7"/>
  <c r="AC201" i="9"/>
  <c r="AA201" i="9"/>
  <c r="AC199" i="9"/>
  <c r="AC196" i="8"/>
  <c r="AC194" i="8"/>
  <c r="AC190" i="8"/>
  <c r="AC188" i="8"/>
  <c r="AC187" i="8"/>
  <c r="AC185" i="8"/>
  <c r="AC183" i="8"/>
  <c r="AC181" i="8"/>
  <c r="AC179" i="8"/>
  <c r="AC178" i="8"/>
  <c r="AC176" i="8"/>
  <c r="AC175" i="8"/>
  <c r="AC174" i="8"/>
  <c r="AC172" i="8"/>
  <c r="AC171" i="8"/>
  <c r="AC170" i="8"/>
  <c r="AC169" i="8"/>
  <c r="AC167" i="8"/>
  <c r="AC166" i="8"/>
  <c r="AC164" i="8"/>
  <c r="AC157" i="8"/>
  <c r="AC155" i="8"/>
  <c r="AC154" i="8"/>
  <c r="AC153" i="8"/>
  <c r="AC150" i="8"/>
  <c r="AC149" i="8"/>
  <c r="AB218" i="10"/>
  <c r="AB217" i="10"/>
  <c r="AB216" i="10"/>
  <c r="AB215" i="10"/>
  <c r="AB214" i="10"/>
  <c r="AB213" i="10"/>
  <c r="AB212" i="10"/>
  <c r="AB211" i="10"/>
  <c r="AB210" i="10"/>
  <c r="AB209" i="10"/>
  <c r="AB208" i="10"/>
  <c r="AB207" i="10"/>
  <c r="AB206" i="10"/>
  <c r="AB205" i="10"/>
  <c r="AB204" i="10"/>
  <c r="AB203" i="10"/>
  <c r="AB202" i="10"/>
  <c r="AB201" i="10"/>
  <c r="AB199" i="10"/>
  <c r="AB198" i="10"/>
  <c r="AB197" i="10"/>
  <c r="AB196" i="10"/>
  <c r="AB195" i="10"/>
  <c r="AB194" i="10"/>
  <c r="AB193" i="10"/>
  <c r="AB192" i="10"/>
  <c r="AB191" i="10"/>
  <c r="AB190" i="10"/>
  <c r="AB189" i="10"/>
  <c r="AB188" i="10"/>
  <c r="AB187" i="10"/>
  <c r="AB186" i="10"/>
  <c r="AB185" i="10"/>
  <c r="AB184" i="10"/>
  <c r="AB183" i="10"/>
  <c r="AB181" i="10"/>
  <c r="AB180" i="10"/>
  <c r="AB179" i="10"/>
  <c r="AB178" i="10"/>
  <c r="AB176" i="10"/>
  <c r="AB175" i="10"/>
  <c r="AB174" i="10"/>
  <c r="AB173" i="10"/>
  <c r="AB172" i="10"/>
  <c r="AB171" i="10"/>
  <c r="AB170" i="10"/>
  <c r="AB169" i="10"/>
  <c r="AB168" i="10"/>
  <c r="AB167" i="10"/>
  <c r="AB166" i="10"/>
  <c r="AB165" i="10"/>
  <c r="AB164" i="10"/>
  <c r="AB163" i="10"/>
  <c r="AB162" i="10"/>
  <c r="AB160" i="10"/>
  <c r="AB159" i="10"/>
  <c r="AB158" i="10"/>
  <c r="AB157" i="10"/>
  <c r="AB155" i="10"/>
  <c r="AB154" i="10"/>
  <c r="AB153" i="10"/>
  <c r="AB152" i="10"/>
  <c r="AB151" i="10"/>
  <c r="AB150" i="10"/>
  <c r="AB149" i="10"/>
  <c r="AB148" i="10"/>
  <c r="AY238" i="13" l="1"/>
  <c r="AY243" i="13"/>
  <c r="AY241" i="13"/>
  <c r="AY239" i="13"/>
  <c r="AZ191" i="6"/>
  <c r="AZ193" i="6"/>
  <c r="AZ194" i="6"/>
  <c r="U192" i="7"/>
  <c r="AM192" i="2"/>
  <c r="U218" i="7"/>
  <c r="AM218" i="2"/>
  <c r="V216" i="7"/>
  <c r="AM216" i="2"/>
  <c r="U215" i="7"/>
  <c r="AM215" i="2"/>
  <c r="W211" i="12"/>
  <c r="U208" i="7"/>
  <c r="AM208" i="2"/>
  <c r="U207" i="7"/>
  <c r="AM207" i="2"/>
  <c r="U206" i="7"/>
  <c r="AM206" i="2"/>
  <c r="V205" i="7"/>
  <c r="AM205" i="2"/>
  <c r="U203" i="7"/>
  <c r="AM203" i="2"/>
  <c r="U202" i="7"/>
  <c r="AM202" i="2"/>
  <c r="U201" i="7"/>
  <c r="AM201" i="2"/>
  <c r="U200" i="7"/>
  <c r="AB200" i="10"/>
  <c r="AA200" i="8"/>
  <c r="U197" i="7"/>
  <c r="AM197" i="2"/>
  <c r="U196" i="7"/>
  <c r="AM196" i="2"/>
  <c r="V194" i="7"/>
  <c r="AM194" i="2"/>
  <c r="U193" i="7"/>
  <c r="AM193" i="2"/>
  <c r="U190" i="7"/>
  <c r="AM189" i="2"/>
  <c r="U189" i="7"/>
  <c r="AM188" i="2"/>
  <c r="U188" i="7"/>
  <c r="AM187" i="2"/>
  <c r="U187" i="7"/>
  <c r="AM186" i="2"/>
  <c r="U186" i="7"/>
  <c r="AM185" i="2"/>
  <c r="U185" i="7"/>
  <c r="AM184" i="2"/>
  <c r="U183" i="7"/>
  <c r="AM182" i="2"/>
  <c r="V181" i="7"/>
  <c r="AM180" i="2"/>
  <c r="U180" i="7"/>
  <c r="AM179" i="2"/>
  <c r="U179" i="7"/>
  <c r="AM178" i="2"/>
  <c r="U177" i="7"/>
  <c r="AM176" i="2"/>
  <c r="U176" i="7"/>
  <c r="AM175" i="2"/>
  <c r="U173" i="7"/>
  <c r="AM172" i="2"/>
  <c r="U174" i="7"/>
  <c r="AM173" i="2"/>
  <c r="V170" i="7"/>
  <c r="AM169" i="2"/>
  <c r="U171" i="7"/>
  <c r="AM170" i="2"/>
  <c r="U169" i="7"/>
  <c r="AM168" i="2"/>
  <c r="U167" i="7"/>
  <c r="AM167" i="2"/>
  <c r="U166" i="7"/>
  <c r="AM166" i="2"/>
  <c r="V163" i="7"/>
  <c r="AM163" i="2"/>
  <c r="V162" i="7"/>
  <c r="AM162" i="2"/>
  <c r="U159" i="7"/>
  <c r="AM159" i="2"/>
  <c r="U158" i="7"/>
  <c r="AM158" i="2"/>
  <c r="V157" i="7"/>
  <c r="AM157" i="2"/>
  <c r="U155" i="7"/>
  <c r="AM155" i="2"/>
  <c r="V153" i="7"/>
  <c r="AM153" i="2"/>
  <c r="U152" i="7"/>
  <c r="AM152" i="2"/>
  <c r="V151" i="7"/>
  <c r="AM151" i="2"/>
  <c r="U150" i="7"/>
  <c r="AM150" i="2"/>
  <c r="U149" i="7"/>
  <c r="AM149" i="2"/>
  <c r="V148" i="7"/>
  <c r="AM148" i="2"/>
  <c r="U181" i="7"/>
  <c r="AZ192" i="6"/>
  <c r="AZ190" i="6"/>
  <c r="W185" i="12"/>
  <c r="W204" i="12"/>
  <c r="AM200" i="2"/>
  <c r="U151" i="7"/>
  <c r="U194" i="7"/>
  <c r="U170" i="7"/>
  <c r="U162" i="7"/>
  <c r="AC182" i="8"/>
  <c r="AA199" i="9"/>
  <c r="W174" i="12"/>
  <c r="W210" i="12"/>
  <c r="BN163" i="6"/>
  <c r="BN168" i="6"/>
  <c r="BN183" i="6"/>
  <c r="AZ189" i="6"/>
  <c r="S209" i="7"/>
  <c r="V209" i="7" s="1"/>
  <c r="U216" i="7"/>
  <c r="U148" i="7"/>
  <c r="U153" i="7"/>
  <c r="U157" i="7"/>
  <c r="U163" i="7"/>
  <c r="U205" i="7"/>
  <c r="AC151" i="8"/>
  <c r="AC158" i="8"/>
  <c r="AC159" i="8"/>
  <c r="AC161" i="8"/>
  <c r="AC162" i="8"/>
  <c r="AC163" i="8"/>
  <c r="AC193" i="8"/>
  <c r="AC198" i="8"/>
  <c r="V154" i="7"/>
  <c r="U154" i="7"/>
  <c r="V160" i="7"/>
  <c r="U160" i="7"/>
  <c r="V164" i="7"/>
  <c r="U164" i="7"/>
  <c r="V175" i="7"/>
  <c r="U175" i="7"/>
  <c r="V184" i="7"/>
  <c r="U184" i="7"/>
  <c r="V198" i="7"/>
  <c r="U198" i="7"/>
  <c r="V204" i="7"/>
  <c r="U204" i="7"/>
  <c r="V211" i="7"/>
  <c r="U211" i="7"/>
  <c r="V213" i="7"/>
  <c r="U213" i="7"/>
  <c r="V161" i="7"/>
  <c r="U161" i="7"/>
  <c r="V165" i="7"/>
  <c r="U165" i="7"/>
  <c r="V172" i="7"/>
  <c r="U172" i="7"/>
  <c r="V178" i="7"/>
  <c r="U178" i="7"/>
  <c r="V182" i="7"/>
  <c r="U182" i="7"/>
  <c r="V191" i="7"/>
  <c r="U191" i="7"/>
  <c r="V195" i="7"/>
  <c r="U195" i="7"/>
  <c r="V199" i="7"/>
  <c r="U199" i="7"/>
  <c r="V210" i="7"/>
  <c r="U210" i="7"/>
  <c r="V212" i="7"/>
  <c r="U212" i="7"/>
  <c r="V214" i="7"/>
  <c r="U214" i="7"/>
  <c r="V217" i="7"/>
  <c r="U217" i="7"/>
  <c r="V150" i="7"/>
  <c r="V152" i="7"/>
  <c r="V155" i="7"/>
  <c r="V166" i="7"/>
  <c r="V169" i="7"/>
  <c r="V173" i="7"/>
  <c r="V174" i="7"/>
  <c r="V179" i="7"/>
  <c r="V186" i="7"/>
  <c r="V187" i="7"/>
  <c r="V188" i="7"/>
  <c r="V189" i="7"/>
  <c r="V190" i="7"/>
  <c r="V192" i="7"/>
  <c r="V196" i="7"/>
  <c r="V197" i="7"/>
  <c r="V201" i="7"/>
  <c r="V202" i="7"/>
  <c r="V203" i="7"/>
  <c r="V206" i="7"/>
  <c r="V207" i="7"/>
  <c r="V208" i="7"/>
  <c r="V215" i="7"/>
  <c r="V149" i="7"/>
  <c r="V158" i="7"/>
  <c r="V159" i="7"/>
  <c r="V167" i="7"/>
  <c r="V171" i="7"/>
  <c r="V176" i="7"/>
  <c r="V177" i="7"/>
  <c r="V180" i="7"/>
  <c r="V183" i="7"/>
  <c r="V193" i="7"/>
  <c r="V200" i="7"/>
  <c r="V218" i="7"/>
  <c r="AC152" i="8"/>
  <c r="AC160" i="8"/>
  <c r="AC165" i="8"/>
  <c r="AC168" i="8"/>
  <c r="AC173" i="8"/>
  <c r="AC180" i="8"/>
  <c r="AC184" i="8"/>
  <c r="AC186" i="8"/>
  <c r="AC189" i="8"/>
  <c r="AC191" i="8"/>
  <c r="AC197" i="8"/>
  <c r="AC199" i="8"/>
  <c r="U209" i="7" l="1"/>
  <c r="AM209" i="2"/>
  <c r="W234" i="15" l="1"/>
  <c r="W232" i="15"/>
  <c r="W231" i="15"/>
  <c r="BM230" i="15"/>
  <c r="W230" i="15"/>
  <c r="BM229" i="15"/>
  <c r="W229" i="15"/>
  <c r="W228" i="15"/>
  <c r="W227" i="15"/>
  <c r="W226" i="15"/>
  <c r="W225" i="15"/>
  <c r="W224" i="15"/>
  <c r="BM223" i="15"/>
  <c r="W223" i="15"/>
  <c r="BM222" i="15"/>
  <c r="W222" i="15"/>
  <c r="BM221" i="15"/>
  <c r="W221" i="15"/>
  <c r="BM220" i="15"/>
  <c r="W220" i="15"/>
  <c r="BM219" i="15"/>
  <c r="BM218" i="15"/>
  <c r="W218" i="15"/>
  <c r="BM217" i="15"/>
  <c r="W217" i="15"/>
  <c r="BM216" i="15"/>
  <c r="W216" i="15"/>
  <c r="BM215" i="15"/>
  <c r="W215" i="15"/>
  <c r="BM214" i="15"/>
  <c r="W214" i="15"/>
  <c r="BM213" i="15"/>
  <c r="W213" i="15"/>
  <c r="W212" i="15"/>
  <c r="BM211" i="15"/>
  <c r="W211" i="15"/>
  <c r="BM210" i="15"/>
  <c r="W210" i="15"/>
  <c r="BM209" i="15"/>
  <c r="W209" i="15"/>
  <c r="BM208" i="15"/>
  <c r="W208" i="15"/>
  <c r="BM207" i="15"/>
  <c r="W207" i="15"/>
  <c r="BM206" i="15"/>
  <c r="W206" i="15"/>
  <c r="BM205" i="15"/>
  <c r="W205" i="15"/>
  <c r="BM204" i="15"/>
  <c r="W204" i="15"/>
  <c r="BM203" i="15"/>
  <c r="W203" i="15"/>
  <c r="BM202" i="15"/>
  <c r="W202" i="15"/>
  <c r="BM201" i="15"/>
  <c r="W201" i="15"/>
  <c r="BM200" i="15"/>
  <c r="W200" i="15"/>
  <c r="BM199" i="15"/>
  <c r="W199" i="15"/>
  <c r="BM198" i="15"/>
  <c r="W198" i="15"/>
  <c r="BM197" i="15"/>
  <c r="W197" i="15"/>
  <c r="BM196" i="15"/>
  <c r="W196" i="15"/>
  <c r="BM195" i="15"/>
  <c r="W195" i="15"/>
  <c r="BM194" i="15"/>
  <c r="W194" i="15"/>
  <c r="W193" i="15"/>
  <c r="BM192" i="15"/>
  <c r="W192" i="15"/>
  <c r="BM191" i="15"/>
  <c r="W191" i="15"/>
  <c r="BM190" i="15"/>
  <c r="W190" i="15"/>
  <c r="BM189" i="15"/>
  <c r="W189" i="15"/>
  <c r="BM188" i="15"/>
  <c r="W188" i="15"/>
  <c r="BM187" i="15"/>
  <c r="W187" i="15"/>
  <c r="BM186" i="15"/>
  <c r="W186" i="15"/>
  <c r="BM185" i="15"/>
  <c r="W185" i="15"/>
  <c r="BM184" i="15"/>
  <c r="W184" i="15"/>
  <c r="BM183" i="15"/>
  <c r="W183" i="15"/>
  <c r="BM182" i="15"/>
  <c r="W182" i="15"/>
  <c r="BM181" i="15"/>
  <c r="W181" i="15"/>
  <c r="BM180" i="15"/>
  <c r="W180" i="15"/>
  <c r="BM179" i="15"/>
  <c r="W179" i="15"/>
  <c r="BM178" i="15"/>
  <c r="W178" i="15"/>
  <c r="BM177" i="15"/>
  <c r="W177" i="15"/>
  <c r="BM176" i="15"/>
  <c r="W176" i="15"/>
  <c r="BM175" i="15"/>
  <c r="W175" i="15"/>
  <c r="BM174" i="15"/>
  <c r="W174" i="15"/>
  <c r="BM173" i="15"/>
  <c r="W173" i="15"/>
  <c r="BM172" i="15"/>
  <c r="W172" i="15"/>
  <c r="BM171" i="15"/>
  <c r="W171" i="15"/>
  <c r="BM170" i="15"/>
  <c r="W170" i="15"/>
  <c r="BM169" i="15"/>
  <c r="W169" i="15"/>
  <c r="BM153" i="15"/>
  <c r="W153" i="15"/>
  <c r="BM152" i="15"/>
  <c r="W152" i="15"/>
  <c r="BM151" i="15"/>
  <c r="W151" i="15"/>
  <c r="BM150" i="15"/>
  <c r="W150" i="15"/>
  <c r="BM148" i="15"/>
  <c r="W148" i="15"/>
  <c r="BM147" i="15"/>
  <c r="W147" i="15"/>
  <c r="BM146" i="15"/>
  <c r="W146" i="15"/>
  <c r="W145" i="15"/>
  <c r="BM144" i="15"/>
  <c r="W144" i="15"/>
  <c r="BM143" i="15"/>
  <c r="W143" i="15"/>
  <c r="BM142" i="15"/>
  <c r="W142" i="15"/>
  <c r="BM141" i="15"/>
  <c r="W141" i="15"/>
  <c r="BM140" i="15"/>
  <c r="W140" i="15"/>
  <c r="BM139" i="15"/>
  <c r="W139" i="15"/>
  <c r="BM138" i="15"/>
  <c r="W138" i="15"/>
  <c r="BM137" i="15"/>
  <c r="W137" i="15"/>
  <c r="BM136" i="15"/>
  <c r="W136" i="15"/>
  <c r="BM135" i="15"/>
  <c r="W135" i="15"/>
  <c r="BM134" i="15"/>
  <c r="W134" i="15"/>
  <c r="BM133" i="15"/>
  <c r="W133" i="15"/>
  <c r="BM132" i="15"/>
  <c r="W132" i="15"/>
  <c r="BM131" i="15"/>
  <c r="W131" i="15"/>
  <c r="BM130" i="15"/>
  <c r="W130" i="15"/>
  <c r="BM129" i="15"/>
  <c r="W129" i="15"/>
  <c r="BM128" i="15"/>
  <c r="W128" i="15"/>
  <c r="BM127" i="15"/>
  <c r="W127" i="15"/>
  <c r="BM126" i="15"/>
  <c r="W126" i="15"/>
  <c r="BM125" i="15"/>
  <c r="W125" i="15"/>
  <c r="BM124" i="15"/>
  <c r="W124" i="15"/>
  <c r="K124" i="15"/>
  <c r="E124" i="15"/>
  <c r="BM123" i="15"/>
  <c r="W123" i="15"/>
  <c r="K123" i="15"/>
  <c r="E123" i="15"/>
  <c r="BM122" i="15"/>
  <c r="W122" i="15"/>
  <c r="K122" i="15"/>
  <c r="E122" i="15"/>
  <c r="BM121" i="15"/>
  <c r="W121" i="15"/>
  <c r="K121" i="15"/>
  <c r="E121" i="15"/>
  <c r="BM120" i="15"/>
  <c r="W120" i="15"/>
  <c r="K120" i="15"/>
  <c r="E120" i="15"/>
  <c r="BM119" i="15"/>
  <c r="W119" i="15"/>
  <c r="K119" i="15"/>
  <c r="E119" i="15"/>
  <c r="BM118" i="15"/>
  <c r="W118" i="15"/>
  <c r="BM117" i="15"/>
  <c r="W117" i="15"/>
  <c r="BM116" i="15"/>
  <c r="W116" i="15"/>
  <c r="BM115" i="15"/>
  <c r="W115" i="15"/>
  <c r="BM114" i="15"/>
  <c r="W114" i="15"/>
  <c r="BM113" i="15"/>
  <c r="W113" i="15"/>
  <c r="BM112" i="15"/>
  <c r="W112" i="15"/>
  <c r="BM111" i="15"/>
  <c r="W111" i="15"/>
  <c r="BM110" i="15"/>
  <c r="W110" i="15"/>
  <c r="BM109" i="15"/>
  <c r="W109" i="15"/>
  <c r="BM107" i="15"/>
  <c r="W107" i="15"/>
  <c r="BM106" i="15"/>
  <c r="W106" i="15"/>
  <c r="BM105" i="15"/>
  <c r="W105" i="15"/>
  <c r="BM104" i="15"/>
  <c r="W104" i="15"/>
  <c r="BM103" i="15"/>
  <c r="W103" i="15"/>
  <c r="BM102" i="15"/>
  <c r="W102" i="15"/>
  <c r="BM101" i="15"/>
  <c r="W101" i="15"/>
  <c r="BM100" i="15"/>
  <c r="W100" i="15"/>
  <c r="BM99" i="15"/>
  <c r="W99" i="15"/>
  <c r="BM98" i="15"/>
  <c r="W98" i="15"/>
  <c r="BM97" i="15"/>
  <c r="W97" i="15"/>
  <c r="BM95" i="15"/>
  <c r="W95" i="15"/>
  <c r="BM94" i="15"/>
  <c r="W94" i="15"/>
  <c r="BM93" i="15"/>
  <c r="W93" i="15"/>
  <c r="BM92" i="15"/>
  <c r="W92" i="15"/>
  <c r="BM91" i="15"/>
  <c r="W91" i="15"/>
  <c r="BM90" i="15"/>
  <c r="W90" i="15"/>
  <c r="BM89" i="15"/>
  <c r="W89" i="15"/>
  <c r="BM88" i="15"/>
  <c r="W88" i="15"/>
  <c r="BM87" i="15"/>
  <c r="W87" i="15"/>
  <c r="BM86" i="15"/>
  <c r="W86" i="15"/>
  <c r="BM85" i="15"/>
  <c r="W85" i="15"/>
  <c r="BM84" i="15"/>
  <c r="W84" i="15"/>
  <c r="BM83" i="15"/>
  <c r="W83" i="15"/>
  <c r="BM82" i="15"/>
  <c r="W82" i="15"/>
  <c r="BM81" i="15"/>
  <c r="W81" i="15"/>
  <c r="BM80" i="15"/>
  <c r="W80" i="15"/>
  <c r="BM79" i="15"/>
  <c r="W79" i="15"/>
  <c r="BM78" i="15"/>
  <c r="W78" i="15"/>
  <c r="BM77" i="15"/>
  <c r="W77" i="15"/>
  <c r="BM76" i="15"/>
  <c r="W76" i="15"/>
  <c r="BM75" i="15"/>
  <c r="BM74" i="15"/>
  <c r="W74" i="15"/>
  <c r="BM73" i="15"/>
  <c r="W73" i="15"/>
  <c r="BM72" i="15"/>
  <c r="W72" i="15"/>
  <c r="BM71" i="15"/>
  <c r="W71" i="15"/>
  <c r="BM70" i="15"/>
  <c r="W70" i="15"/>
  <c r="BM69" i="15"/>
  <c r="W69" i="15"/>
  <c r="BM68" i="15"/>
  <c r="W68" i="15"/>
  <c r="W67" i="15"/>
  <c r="BM66" i="15"/>
  <c r="W66" i="15"/>
  <c r="BM61" i="15"/>
  <c r="AI61" i="15"/>
  <c r="AS61" i="15" s="1"/>
  <c r="W61" i="15"/>
  <c r="BM60" i="15"/>
  <c r="AI60" i="15"/>
  <c r="AS60" i="15" s="1"/>
  <c r="W60" i="15"/>
  <c r="BM59" i="15"/>
  <c r="AI59" i="15"/>
  <c r="AS59" i="15" s="1"/>
  <c r="W59" i="15"/>
  <c r="BM58" i="15"/>
  <c r="AI58" i="15"/>
  <c r="AS58" i="15" s="1"/>
  <c r="Y58" i="15"/>
  <c r="BA58" i="15" s="1"/>
  <c r="W58" i="15"/>
  <c r="BM57" i="15"/>
  <c r="AI57" i="15"/>
  <c r="AS57" i="15" s="1"/>
  <c r="W57" i="15"/>
  <c r="BM56" i="15"/>
  <c r="AI56" i="15"/>
  <c r="AS56" i="15" s="1"/>
  <c r="W56" i="15"/>
  <c r="BM55" i="15"/>
  <c r="AI55" i="15"/>
  <c r="AS55" i="15" s="1"/>
  <c r="W55" i="15"/>
  <c r="BM54" i="15"/>
  <c r="AS54" i="15"/>
  <c r="W54" i="15"/>
  <c r="BM53" i="15"/>
  <c r="AI53" i="15"/>
  <c r="AS53" i="15" s="1"/>
  <c r="W53" i="15"/>
  <c r="BM52" i="15"/>
  <c r="AI52" i="15"/>
  <c r="AS52" i="15" s="1"/>
  <c r="W52" i="15"/>
  <c r="BM51" i="15"/>
  <c r="AI51" i="15"/>
  <c r="AS51" i="15" s="1"/>
  <c r="W51" i="15"/>
  <c r="BM50" i="15"/>
  <c r="AI50" i="15"/>
  <c r="AS50" i="15" s="1"/>
  <c r="W50" i="15"/>
  <c r="BM49" i="15"/>
  <c r="AI49" i="15"/>
  <c r="AS49" i="15" s="1"/>
  <c r="W49" i="15"/>
  <c r="BM48" i="15"/>
  <c r="AI48" i="15"/>
  <c r="AS48" i="15" s="1"/>
  <c r="W48" i="15"/>
  <c r="BM47" i="15"/>
  <c r="AI47" i="15"/>
  <c r="AS47" i="15" s="1"/>
  <c r="W47" i="15"/>
  <c r="BM43" i="15"/>
  <c r="AI43" i="15"/>
  <c r="AS43" i="15" s="1"/>
  <c r="W43" i="15"/>
  <c r="BM42" i="15"/>
  <c r="AI42" i="15"/>
  <c r="AS42" i="15" s="1"/>
  <c r="W42" i="15"/>
  <c r="BM41" i="15"/>
  <c r="AI41" i="15"/>
  <c r="AS41" i="15" s="1"/>
  <c r="W41" i="15"/>
  <c r="BM40" i="15"/>
  <c r="AI40" i="15"/>
  <c r="AS40" i="15" s="1"/>
  <c r="W40" i="15"/>
  <c r="BM39" i="15"/>
  <c r="AI39" i="15"/>
  <c r="AS39" i="15" s="1"/>
  <c r="W39" i="15"/>
  <c r="AI37" i="15"/>
  <c r="W37" i="15"/>
  <c r="AI36" i="15"/>
  <c r="AS36" i="15" s="1"/>
  <c r="W36" i="15"/>
  <c r="AI35" i="15"/>
  <c r="W35" i="15"/>
  <c r="AI34" i="15"/>
  <c r="AS34" i="15" s="1"/>
  <c r="AY34" i="15"/>
  <c r="AI33" i="15"/>
  <c r="AS33" i="15" s="1"/>
  <c r="W33" i="15"/>
  <c r="AY33" i="15"/>
  <c r="AS32" i="15"/>
  <c r="W32" i="15"/>
  <c r="AY32" i="15"/>
  <c r="BM31" i="15"/>
  <c r="AI31" i="15"/>
  <c r="AS31" i="15" s="1"/>
  <c r="W31" i="15"/>
  <c r="BM30" i="15"/>
  <c r="AI30" i="15"/>
  <c r="AS30" i="15" s="1"/>
  <c r="W30" i="15"/>
  <c r="AI28" i="15"/>
  <c r="W28" i="15"/>
  <c r="K28" i="15"/>
  <c r="E28" i="15"/>
  <c r="BM27" i="15"/>
  <c r="K27" i="15" s="1"/>
  <c r="AI27" i="15"/>
  <c r="AS27" i="15" s="1"/>
  <c r="W27" i="15"/>
  <c r="E27" i="15"/>
  <c r="BM26" i="15"/>
  <c r="BM25" i="15"/>
  <c r="K25" i="15" s="1"/>
  <c r="AI25" i="15"/>
  <c r="AS25" i="15" s="1"/>
  <c r="W25" i="15"/>
  <c r="E25" i="15"/>
  <c r="BM24" i="15"/>
  <c r="K24" i="15" s="1"/>
  <c r="AI24" i="15"/>
  <c r="AS24" i="15" s="1"/>
  <c r="W24" i="15"/>
  <c r="E24" i="15"/>
  <c r="BM23" i="15"/>
  <c r="K23" i="15" s="1"/>
  <c r="AI23" i="15"/>
  <c r="AS23" i="15" s="1"/>
  <c r="W23" i="15"/>
  <c r="E23" i="15"/>
  <c r="BM22" i="15"/>
  <c r="K22" i="15" s="1"/>
  <c r="AI22" i="15"/>
  <c r="AS22" i="15" s="1"/>
  <c r="W22" i="15"/>
  <c r="E22" i="15"/>
  <c r="BM21" i="15"/>
  <c r="K21" i="15" s="1"/>
  <c r="AI21" i="15"/>
  <c r="AS21" i="15" s="1"/>
  <c r="W21" i="15"/>
  <c r="E21" i="15"/>
  <c r="BM20" i="15"/>
  <c r="K20" i="15" s="1"/>
  <c r="AI20" i="15"/>
  <c r="AS20" i="15" s="1"/>
  <c r="W20" i="15"/>
  <c r="E20" i="15"/>
  <c r="BM19" i="15"/>
  <c r="K19" i="15" s="1"/>
  <c r="AI19" i="15"/>
  <c r="AS19" i="15" s="1"/>
  <c r="W19" i="15"/>
  <c r="E19" i="15"/>
  <c r="BM18" i="15"/>
  <c r="K18" i="15" s="1"/>
  <c r="AI18" i="15"/>
  <c r="W18" i="15"/>
  <c r="E18" i="15"/>
  <c r="BM17" i="15"/>
  <c r="K17" i="15" s="1"/>
  <c r="AI17" i="15"/>
  <c r="AS17" i="15" s="1"/>
  <c r="W17" i="15"/>
  <c r="E17" i="15"/>
  <c r="BM16" i="15"/>
  <c r="K16" i="15" s="1"/>
  <c r="AS16" i="15"/>
  <c r="W16" i="15"/>
  <c r="E16" i="15"/>
  <c r="BM15" i="15"/>
  <c r="K15" i="15" s="1"/>
  <c r="AS15" i="15"/>
  <c r="E15" i="15"/>
  <c r="BM14" i="15"/>
  <c r="AI14" i="15"/>
  <c r="AS14" i="15" s="1"/>
  <c r="W14" i="15"/>
  <c r="K14" i="15"/>
  <c r="E14" i="15"/>
  <c r="BM13" i="15"/>
  <c r="AI13" i="15"/>
  <c r="AS13" i="15" s="1"/>
  <c r="W13" i="15"/>
  <c r="K13" i="15"/>
  <c r="E13" i="15"/>
  <c r="BM12" i="15"/>
  <c r="M12" i="15" s="1"/>
  <c r="K12" i="15" s="1"/>
  <c r="W12" i="15"/>
  <c r="E12" i="15"/>
  <c r="BM11" i="15"/>
  <c r="M11" i="15" s="1"/>
  <c r="K11" i="15" s="1"/>
  <c r="AI11" i="15"/>
  <c r="AS11" i="15" s="1"/>
  <c r="W11" i="15"/>
  <c r="E11" i="15"/>
  <c r="E11" i="14"/>
  <c r="AY119" i="15" l="1"/>
  <c r="AY120" i="15"/>
  <c r="AY121" i="15"/>
  <c r="AY122" i="15"/>
  <c r="AY123" i="15"/>
  <c r="AY124" i="15"/>
  <c r="AY28" i="15"/>
  <c r="AY21" i="15"/>
  <c r="AY23" i="15"/>
  <c r="AY25" i="15"/>
  <c r="AY30" i="15"/>
  <c r="AY31" i="15"/>
  <c r="AY35" i="15"/>
  <c r="AY39" i="15"/>
  <c r="AY53" i="15"/>
  <c r="AY54" i="15"/>
  <c r="AY16" i="15"/>
  <c r="AY19" i="15"/>
  <c r="AY27" i="15"/>
  <c r="AY20" i="15"/>
  <c r="AY24" i="15"/>
  <c r="AY40" i="15"/>
  <c r="AY41" i="15"/>
  <c r="AY49" i="15"/>
  <c r="AY50" i="15"/>
  <c r="AY56" i="15"/>
  <c r="AY57" i="15"/>
  <c r="AY58" i="15"/>
  <c r="AY60" i="15"/>
  <c r="AY61" i="15"/>
  <c r="AY11" i="15"/>
  <c r="AY15" i="15"/>
  <c r="AY18" i="15"/>
  <c r="AY36" i="15"/>
  <c r="AY13" i="15"/>
  <c r="AY42" i="15"/>
  <c r="AY43" i="15"/>
  <c r="AY47" i="15"/>
  <c r="AY48" i="15"/>
  <c r="AY51" i="15"/>
  <c r="AY52" i="15"/>
  <c r="AY55" i="15"/>
  <c r="AY59" i="15"/>
  <c r="AY12" i="15"/>
  <c r="AY14" i="15"/>
  <c r="AY17" i="15"/>
  <c r="AY37" i="15"/>
  <c r="AY22" i="15"/>
  <c r="S127" i="7" l="1"/>
  <c r="W11" i="8"/>
  <c r="Y10" i="10"/>
  <c r="AB10" i="10" s="1"/>
  <c r="W74" i="12"/>
  <c r="W12" i="12"/>
  <c r="S11" i="12"/>
  <c r="W11" i="12" s="1"/>
  <c r="W92" i="12"/>
  <c r="W91" i="12"/>
  <c r="W89" i="12"/>
  <c r="W85" i="12"/>
  <c r="W84" i="12"/>
  <c r="W83" i="12"/>
  <c r="W81" i="12"/>
  <c r="W80" i="12"/>
  <c r="W79" i="12"/>
  <c r="W78" i="12"/>
  <c r="W77" i="12"/>
  <c r="W76" i="12"/>
  <c r="W75" i="12"/>
  <c r="W72" i="12"/>
  <c r="W71" i="12"/>
  <c r="S70" i="12"/>
  <c r="W70" i="12" s="1"/>
  <c r="W68" i="12"/>
  <c r="W63" i="12"/>
  <c r="W62" i="12"/>
  <c r="W61" i="12"/>
  <c r="W60" i="12"/>
  <c r="W59" i="12"/>
  <c r="W57" i="12"/>
  <c r="W56" i="12"/>
  <c r="W55" i="12"/>
  <c r="W54" i="12"/>
  <c r="W53" i="12"/>
  <c r="W52" i="12"/>
  <c r="W51" i="12"/>
  <c r="W50" i="12"/>
  <c r="W49" i="12"/>
  <c r="W48" i="12"/>
  <c r="W41" i="12"/>
  <c r="W40" i="12"/>
  <c r="W39" i="12"/>
  <c r="W38" i="12"/>
  <c r="W35" i="12"/>
  <c r="W34" i="12"/>
  <c r="W33" i="12"/>
  <c r="W32" i="12"/>
  <c r="W31" i="12"/>
  <c r="W28" i="12"/>
  <c r="BM87" i="13"/>
  <c r="BM68" i="13"/>
  <c r="BM33" i="13"/>
  <c r="AI33" i="13"/>
  <c r="AS33" i="13" s="1"/>
  <c r="W33" i="13"/>
  <c r="K33" i="13"/>
  <c r="E33" i="13"/>
  <c r="AS91" i="14"/>
  <c r="W91" i="14"/>
  <c r="BM89" i="14"/>
  <c r="AS89" i="14"/>
  <c r="W89" i="14"/>
  <c r="K89" i="14"/>
  <c r="AY89" i="14" s="1"/>
  <c r="BM88" i="14"/>
  <c r="AS88" i="14"/>
  <c r="W88" i="14"/>
  <c r="BM84" i="14"/>
  <c r="AS84" i="14"/>
  <c r="W84" i="14"/>
  <c r="BM80" i="14"/>
  <c r="AS80" i="14"/>
  <c r="W80" i="14"/>
  <c r="BM79" i="14"/>
  <c r="BM78" i="14"/>
  <c r="AS78" i="14"/>
  <c r="W78" i="14"/>
  <c r="BM77" i="14"/>
  <c r="AS77" i="14"/>
  <c r="W77" i="14"/>
  <c r="BM76" i="14"/>
  <c r="AS76" i="14"/>
  <c r="W76" i="14"/>
  <c r="BM75" i="14"/>
  <c r="AS75" i="14"/>
  <c r="W75" i="14"/>
  <c r="BM74" i="14"/>
  <c r="AS74" i="14"/>
  <c r="W74" i="14"/>
  <c r="BM73" i="14"/>
  <c r="AS73" i="14"/>
  <c r="W73" i="14"/>
  <c r="BM71" i="14"/>
  <c r="AS71" i="14"/>
  <c r="W71" i="14"/>
  <c r="AS70" i="14"/>
  <c r="W70" i="14"/>
  <c r="BM69" i="14"/>
  <c r="AS69" i="14"/>
  <c r="W69" i="14"/>
  <c r="BM68" i="14"/>
  <c r="AS68" i="14"/>
  <c r="W68" i="14"/>
  <c r="AY68" i="14"/>
  <c r="AS67" i="14"/>
  <c r="W67" i="14"/>
  <c r="AY67" i="14"/>
  <c r="BN93" i="6"/>
  <c r="W93" i="6"/>
  <c r="BN91" i="6"/>
  <c r="AT91" i="6"/>
  <c r="W91" i="6"/>
  <c r="K91" i="6"/>
  <c r="E91" i="6"/>
  <c r="BN90" i="6"/>
  <c r="W90" i="6"/>
  <c r="W87" i="6"/>
  <c r="BN82" i="6"/>
  <c r="W82" i="6"/>
  <c r="BN81" i="6"/>
  <c r="W81" i="6"/>
  <c r="BN80" i="6"/>
  <c r="W80" i="6"/>
  <c r="BN79" i="6"/>
  <c r="W79" i="6"/>
  <c r="BN78" i="6"/>
  <c r="W78" i="6"/>
  <c r="BN76" i="6"/>
  <c r="W76" i="6"/>
  <c r="BN75" i="6"/>
  <c r="W75" i="6"/>
  <c r="BN73" i="6"/>
  <c r="W73" i="6"/>
  <c r="BN72" i="6"/>
  <c r="W72" i="6"/>
  <c r="BN71" i="6"/>
  <c r="W71" i="6"/>
  <c r="BN70" i="6"/>
  <c r="W70" i="6"/>
  <c r="W69" i="6"/>
  <c r="AR92" i="5"/>
  <c r="AR84" i="5"/>
  <c r="AR77" i="5"/>
  <c r="AR61" i="5"/>
  <c r="AR59" i="5"/>
  <c r="AR58" i="5"/>
  <c r="AR57" i="5"/>
  <c r="U54" i="3"/>
  <c r="AR49" i="5"/>
  <c r="U33" i="3"/>
  <c r="S92" i="7"/>
  <c r="V92" i="7" s="1"/>
  <c r="S91" i="7"/>
  <c r="V91" i="7" s="1"/>
  <c r="S89" i="7"/>
  <c r="V89" i="7" s="1"/>
  <c r="S88" i="7"/>
  <c r="V88" i="7" s="1"/>
  <c r="S86" i="7"/>
  <c r="U86" i="7" s="1"/>
  <c r="S85" i="7"/>
  <c r="U85" i="7" s="1"/>
  <c r="S84" i="7"/>
  <c r="U84" i="7" s="1"/>
  <c r="S83" i="7"/>
  <c r="S81" i="7"/>
  <c r="S80" i="7"/>
  <c r="AM80" i="2" s="1"/>
  <c r="S79" i="7"/>
  <c r="V79" i="7" s="1"/>
  <c r="S78" i="7"/>
  <c r="U78" i="7" s="1"/>
  <c r="S77" i="7"/>
  <c r="S76" i="7"/>
  <c r="S75" i="7"/>
  <c r="S74" i="7"/>
  <c r="AM74" i="2" s="1"/>
  <c r="S72" i="7"/>
  <c r="AM72" i="2" s="1"/>
  <c r="S71" i="7"/>
  <c r="S70" i="7"/>
  <c r="V70" i="7" s="1"/>
  <c r="S69" i="7"/>
  <c r="S68" i="7"/>
  <c r="V68" i="7" s="1"/>
  <c r="AM63" i="2"/>
  <c r="AM62" i="2"/>
  <c r="V62" i="7"/>
  <c r="U60" i="7"/>
  <c r="AM59" i="2"/>
  <c r="AM57" i="2"/>
  <c r="AM54" i="2"/>
  <c r="U53" i="7"/>
  <c r="U50" i="7"/>
  <c r="AM48" i="2"/>
  <c r="U45" i="7"/>
  <c r="AM41" i="2"/>
  <c r="U40" i="7"/>
  <c r="V38" i="7"/>
  <c r="AM36" i="2"/>
  <c r="AM35" i="2"/>
  <c r="AM34" i="2"/>
  <c r="AM31" i="2"/>
  <c r="U29" i="7"/>
  <c r="AB82" i="10"/>
  <c r="AA80" i="8"/>
  <c r="AB108" i="10"/>
  <c r="U163" i="3"/>
  <c r="U158" i="3"/>
  <c r="AA239" i="8"/>
  <c r="AB222" i="10"/>
  <c r="U222" i="3"/>
  <c r="U186" i="3"/>
  <c r="U185" i="3"/>
  <c r="AY20" i="14"/>
  <c r="S11" i="7"/>
  <c r="U11" i="7" s="1"/>
  <c r="Y11" i="10"/>
  <c r="AA11" i="8" s="1"/>
  <c r="AA262" i="8"/>
  <c r="AA261" i="8"/>
  <c r="AA260" i="8"/>
  <c r="AA259" i="8"/>
  <c r="AC259" i="8" s="1"/>
  <c r="AA258" i="8"/>
  <c r="AA257" i="8"/>
  <c r="AA256" i="8"/>
  <c r="AA255" i="8"/>
  <c r="AC255" i="8" s="1"/>
  <c r="AA254" i="8"/>
  <c r="AA253" i="8"/>
  <c r="AC253" i="8" s="1"/>
  <c r="AA252" i="8"/>
  <c r="AA251" i="8"/>
  <c r="AA250" i="8"/>
  <c r="AA249" i="8"/>
  <c r="AA248" i="8"/>
  <c r="AA245" i="8"/>
  <c r="AA244" i="8"/>
  <c r="AA242" i="8"/>
  <c r="AA247" i="8"/>
  <c r="AA240" i="8"/>
  <c r="AB239" i="10"/>
  <c r="W246" i="12"/>
  <c r="U246" i="3"/>
  <c r="U246" i="7"/>
  <c r="AA246" i="8"/>
  <c r="W233" i="12"/>
  <c r="BN231" i="6"/>
  <c r="S233" i="7"/>
  <c r="AM232" i="2" s="1"/>
  <c r="AA233" i="8"/>
  <c r="W231" i="12"/>
  <c r="BM227" i="14"/>
  <c r="BN230" i="6"/>
  <c r="S232" i="7"/>
  <c r="V232" i="7" s="1"/>
  <c r="AA231" i="8"/>
  <c r="W229" i="12"/>
  <c r="BM225" i="14"/>
  <c r="BN228" i="6"/>
  <c r="S230" i="7"/>
  <c r="AM229" i="2" s="1"/>
  <c r="U230" i="3"/>
  <c r="AA229" i="8"/>
  <c r="W227" i="12"/>
  <c r="BM223" i="14"/>
  <c r="S228" i="7"/>
  <c r="V228" i="7" s="1"/>
  <c r="AA227" i="8"/>
  <c r="BN222" i="6"/>
  <c r="U214" i="3"/>
  <c r="AA238" i="8"/>
  <c r="AA236" i="8"/>
  <c r="AA235" i="8"/>
  <c r="AA234" i="8"/>
  <c r="AA230" i="8"/>
  <c r="AA228" i="8"/>
  <c r="AA226" i="8"/>
  <c r="AA225" i="8"/>
  <c r="AA224" i="8"/>
  <c r="AA223" i="8"/>
  <c r="U242" i="3"/>
  <c r="AR234" i="5"/>
  <c r="AR226" i="5"/>
  <c r="U224" i="3"/>
  <c r="U209" i="3"/>
  <c r="U208" i="3"/>
  <c r="U184" i="3"/>
  <c r="U255" i="7"/>
  <c r="V254" i="7"/>
  <c r="V253" i="7"/>
  <c r="V252" i="7"/>
  <c r="V251" i="7"/>
  <c r="U250" i="7"/>
  <c r="U249" i="7"/>
  <c r="V248" i="7"/>
  <c r="V247" i="7"/>
  <c r="U245" i="7"/>
  <c r="U244" i="7"/>
  <c r="U242" i="7"/>
  <c r="U241" i="7"/>
  <c r="S240" i="7"/>
  <c r="V240" i="7" s="1"/>
  <c r="S239" i="7"/>
  <c r="U239" i="7" s="1"/>
  <c r="S238" i="7"/>
  <c r="V238" i="7" s="1"/>
  <c r="S236" i="7"/>
  <c r="V236" i="7" s="1"/>
  <c r="S235" i="7"/>
  <c r="V235" i="7" s="1"/>
  <c r="S234" i="7"/>
  <c r="V234" i="7" s="1"/>
  <c r="S231" i="7"/>
  <c r="V231" i="7" s="1"/>
  <c r="S229" i="7"/>
  <c r="AM228" i="2" s="1"/>
  <c r="S227" i="7"/>
  <c r="U227" i="7" s="1"/>
  <c r="S226" i="7"/>
  <c r="U226" i="7" s="1"/>
  <c r="S225" i="7"/>
  <c r="S224" i="7"/>
  <c r="S223" i="7"/>
  <c r="V223" i="7" s="1"/>
  <c r="S222" i="7"/>
  <c r="V222" i="7" s="1"/>
  <c r="S221" i="7"/>
  <c r="AM220" i="2" s="1"/>
  <c r="S220" i="7"/>
  <c r="AM219" i="2" s="1"/>
  <c r="AA147" i="8"/>
  <c r="AA146" i="8"/>
  <c r="AA145" i="8"/>
  <c r="AA144" i="8"/>
  <c r="AA143" i="8"/>
  <c r="AA142" i="8"/>
  <c r="AA141" i="8"/>
  <c r="AA140" i="8"/>
  <c r="S118" i="7"/>
  <c r="U118" i="7" s="1"/>
  <c r="AA107" i="8"/>
  <c r="AA73" i="8"/>
  <c r="AC73" i="8" s="1"/>
  <c r="AA139" i="8"/>
  <c r="AA138" i="8"/>
  <c r="AA137" i="8"/>
  <c r="AA136" i="8"/>
  <c r="AA135" i="8"/>
  <c r="AA134" i="8"/>
  <c r="AA133" i="8"/>
  <c r="AA132" i="8"/>
  <c r="AA131" i="8"/>
  <c r="AA130" i="8"/>
  <c r="AA129" i="8"/>
  <c r="AA128" i="8"/>
  <c r="AA127" i="8"/>
  <c r="AA126" i="8"/>
  <c r="AA125" i="8"/>
  <c r="AA124" i="8"/>
  <c r="AA122" i="8"/>
  <c r="AA121" i="8"/>
  <c r="AA120" i="8"/>
  <c r="AA119" i="8"/>
  <c r="AA118" i="8"/>
  <c r="AA117" i="8"/>
  <c r="AA116" i="8"/>
  <c r="AA115" i="8"/>
  <c r="AA114" i="8"/>
  <c r="AB113" i="10"/>
  <c r="AA110" i="8"/>
  <c r="AA109" i="8"/>
  <c r="AA108" i="8"/>
  <c r="AC108" i="8" s="1"/>
  <c r="AA106" i="8"/>
  <c r="AC106" i="8" s="1"/>
  <c r="AA105" i="8"/>
  <c r="AC105" i="8" s="1"/>
  <c r="AA104" i="8"/>
  <c r="AA103" i="8"/>
  <c r="AC103" i="8" s="1"/>
  <c r="AA102" i="8"/>
  <c r="AC102" i="8" s="1"/>
  <c r="AA101" i="8"/>
  <c r="AC101" i="8" s="1"/>
  <c r="AA100" i="8"/>
  <c r="AA98" i="8"/>
  <c r="AC98" i="8" s="1"/>
  <c r="AA97" i="8"/>
  <c r="AA96" i="8"/>
  <c r="AA94" i="8"/>
  <c r="AA93" i="8"/>
  <c r="AC93" i="8" s="1"/>
  <c r="AA90" i="8"/>
  <c r="AC90" i="8" s="1"/>
  <c r="AA87" i="8"/>
  <c r="AC87" i="8" s="1"/>
  <c r="AA82" i="8"/>
  <c r="AC82" i="8" s="1"/>
  <c r="W46" i="12"/>
  <c r="U46" i="7"/>
  <c r="AB26" i="10"/>
  <c r="AB24" i="10"/>
  <c r="AB20" i="10"/>
  <c r="AB18" i="10"/>
  <c r="AA17" i="8"/>
  <c r="AC17" i="8" s="1"/>
  <c r="AA16" i="8"/>
  <c r="AA15" i="8"/>
  <c r="AA13" i="8"/>
  <c r="AA12" i="8"/>
  <c r="BN238" i="6"/>
  <c r="BN237" i="6"/>
  <c r="BN233" i="6"/>
  <c r="BN232" i="6"/>
  <c r="BN229" i="6"/>
  <c r="BN221" i="6"/>
  <c r="BN220" i="6"/>
  <c r="BN219" i="6"/>
  <c r="BN218" i="6"/>
  <c r="BN147" i="6"/>
  <c r="BN146" i="6"/>
  <c r="BN145" i="6"/>
  <c r="BN144" i="6"/>
  <c r="BN143" i="6"/>
  <c r="BN142" i="6"/>
  <c r="BN141" i="6"/>
  <c r="BN140" i="6"/>
  <c r="BN139" i="6"/>
  <c r="BN138" i="6"/>
  <c r="BN137" i="6"/>
  <c r="BN136" i="6"/>
  <c r="BN135" i="6"/>
  <c r="BN134" i="6"/>
  <c r="BN133" i="6"/>
  <c r="BN132" i="6"/>
  <c r="BN131" i="6"/>
  <c r="BN130" i="6"/>
  <c r="BN129" i="6"/>
  <c r="BN128" i="6"/>
  <c r="BN126" i="6"/>
  <c r="BN125" i="6"/>
  <c r="BN124" i="6"/>
  <c r="BN123" i="6"/>
  <c r="BN122" i="6"/>
  <c r="BN121" i="6"/>
  <c r="BN120" i="6"/>
  <c r="BN119" i="6"/>
  <c r="BN118" i="6"/>
  <c r="BN117" i="6"/>
  <c r="BN116" i="6"/>
  <c r="BN113" i="6"/>
  <c r="BN112" i="6"/>
  <c r="BN111" i="6"/>
  <c r="BN110" i="6"/>
  <c r="BN109" i="6"/>
  <c r="BN108" i="6"/>
  <c r="BN107" i="6"/>
  <c r="BN106" i="6"/>
  <c r="BN105" i="6"/>
  <c r="BN104" i="6"/>
  <c r="BN103" i="6"/>
  <c r="BN102" i="6"/>
  <c r="BN100" i="6"/>
  <c r="BN99" i="6"/>
  <c r="BN98" i="6"/>
  <c r="BN97" i="6"/>
  <c r="BN96" i="6"/>
  <c r="BN95" i="6"/>
  <c r="BN94" i="6"/>
  <c r="BN92" i="6"/>
  <c r="BN89" i="6"/>
  <c r="AZ89" i="6"/>
  <c r="BN84" i="6"/>
  <c r="BN77" i="6"/>
  <c r="BN74" i="6"/>
  <c r="BN68" i="6"/>
  <c r="BN26" i="6"/>
  <c r="BN24" i="6"/>
  <c r="BN23" i="6"/>
  <c r="BN16" i="6"/>
  <c r="AZ16" i="6"/>
  <c r="BN14" i="6"/>
  <c r="BN13" i="6"/>
  <c r="K13" i="6"/>
  <c r="K12" i="6"/>
  <c r="AZ12" i="6" s="1"/>
  <c r="AJ12" i="6"/>
  <c r="AT12" i="6" s="1"/>
  <c r="AJ13" i="6"/>
  <c r="AT13" i="6" s="1"/>
  <c r="AZ14" i="6"/>
  <c r="AZ24" i="6"/>
  <c r="AZ26" i="6"/>
  <c r="AZ68" i="6"/>
  <c r="AZ77" i="6"/>
  <c r="AZ84" i="6"/>
  <c r="AZ85" i="6"/>
  <c r="AZ86" i="6"/>
  <c r="AZ88" i="6"/>
  <c r="AZ92" i="6"/>
  <c r="AZ94" i="6"/>
  <c r="AZ97" i="6"/>
  <c r="AZ98" i="6"/>
  <c r="BM54" i="13"/>
  <c r="U189" i="3"/>
  <c r="U188" i="3"/>
  <c r="U187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69" i="3"/>
  <c r="S130" i="7"/>
  <c r="W130" i="12"/>
  <c r="AR129" i="5"/>
  <c r="AB130" i="10"/>
  <c r="S120" i="7"/>
  <c r="V120" i="7" s="1"/>
  <c r="S121" i="7"/>
  <c r="AM120" i="2" s="1"/>
  <c r="U121" i="3"/>
  <c r="AR119" i="5"/>
  <c r="W117" i="12"/>
  <c r="U118" i="3"/>
  <c r="AM117" i="2"/>
  <c r="AB117" i="10"/>
  <c r="S10" i="12"/>
  <c r="W10" i="12" s="1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30" i="12"/>
  <c r="W42" i="12"/>
  <c r="W44" i="12"/>
  <c r="W47" i="12"/>
  <c r="W64" i="12"/>
  <c r="W67" i="12"/>
  <c r="W73" i="12"/>
  <c r="W82" i="12"/>
  <c r="W87" i="12"/>
  <c r="W90" i="12"/>
  <c r="W93" i="12"/>
  <c r="W94" i="12"/>
  <c r="W95" i="12"/>
  <c r="W96" i="12"/>
  <c r="W97" i="12"/>
  <c r="W98" i="12"/>
  <c r="W100" i="12"/>
  <c r="W101" i="12"/>
  <c r="W102" i="12"/>
  <c r="W103" i="12"/>
  <c r="W104" i="12"/>
  <c r="W105" i="12"/>
  <c r="W106" i="12"/>
  <c r="W107" i="12"/>
  <c r="W108" i="12"/>
  <c r="W109" i="12"/>
  <c r="W110" i="12"/>
  <c r="W111" i="12"/>
  <c r="W113" i="12"/>
  <c r="W114" i="12"/>
  <c r="W115" i="12"/>
  <c r="W116" i="12"/>
  <c r="W118" i="12"/>
  <c r="W119" i="12"/>
  <c r="W120" i="12"/>
  <c r="W121" i="12"/>
  <c r="W122" i="12"/>
  <c r="W124" i="12"/>
  <c r="W125" i="12"/>
  <c r="W126" i="12"/>
  <c r="W127" i="12"/>
  <c r="W128" i="12"/>
  <c r="W129" i="12"/>
  <c r="W131" i="12"/>
  <c r="W132" i="12"/>
  <c r="S133" i="12"/>
  <c r="W133" i="12" s="1"/>
  <c r="W135" i="12"/>
  <c r="W136" i="12"/>
  <c r="W137" i="12"/>
  <c r="W138" i="12"/>
  <c r="W139" i="12"/>
  <c r="W140" i="12"/>
  <c r="W141" i="12"/>
  <c r="W142" i="12"/>
  <c r="W143" i="12"/>
  <c r="W144" i="12"/>
  <c r="W145" i="12"/>
  <c r="W146" i="12"/>
  <c r="W147" i="12"/>
  <c r="W219" i="12"/>
  <c r="W220" i="12"/>
  <c r="W221" i="12"/>
  <c r="W223" i="12"/>
  <c r="W224" i="12"/>
  <c r="W225" i="12"/>
  <c r="W226" i="12"/>
  <c r="W228" i="12"/>
  <c r="W230" i="12"/>
  <c r="W235" i="12"/>
  <c r="W236" i="12"/>
  <c r="W238" i="12"/>
  <c r="W239" i="12"/>
  <c r="W240" i="12"/>
  <c r="W241" i="12"/>
  <c r="W242" i="12"/>
  <c r="W244" i="12"/>
  <c r="W245" i="12"/>
  <c r="W247" i="12"/>
  <c r="W248" i="12"/>
  <c r="W249" i="12"/>
  <c r="W250" i="12"/>
  <c r="W251" i="12"/>
  <c r="W252" i="12"/>
  <c r="W253" i="12"/>
  <c r="W254" i="12"/>
  <c r="W255" i="12"/>
  <c r="W256" i="12"/>
  <c r="W257" i="12"/>
  <c r="W258" i="12"/>
  <c r="W259" i="12"/>
  <c r="W260" i="12"/>
  <c r="W261" i="12"/>
  <c r="W262" i="12"/>
  <c r="BM67" i="13"/>
  <c r="BM116" i="13"/>
  <c r="E14" i="13"/>
  <c r="BM14" i="13"/>
  <c r="K14" i="13" s="1"/>
  <c r="W14" i="13"/>
  <c r="AI14" i="13"/>
  <c r="AS14" i="13" s="1"/>
  <c r="E15" i="13"/>
  <c r="BM15" i="13"/>
  <c r="K15" i="13" s="1"/>
  <c r="W15" i="13"/>
  <c r="AS15" i="13"/>
  <c r="BM89" i="13"/>
  <c r="E16" i="13"/>
  <c r="BM16" i="13"/>
  <c r="K16" i="13" s="1"/>
  <c r="W16" i="13"/>
  <c r="AS16" i="13"/>
  <c r="E13" i="13"/>
  <c r="BM13" i="13"/>
  <c r="K13" i="13" s="1"/>
  <c r="W13" i="13"/>
  <c r="AI13" i="13"/>
  <c r="AS13" i="13" s="1"/>
  <c r="BM128" i="13"/>
  <c r="BM78" i="13"/>
  <c r="BM96" i="13"/>
  <c r="BM139" i="13"/>
  <c r="BM141" i="13"/>
  <c r="BM140" i="13"/>
  <c r="E245" i="13"/>
  <c r="BM245" i="13"/>
  <c r="K245" i="13"/>
  <c r="W245" i="13"/>
  <c r="AI245" i="13"/>
  <c r="AS245" i="13" s="1"/>
  <c r="BM70" i="13"/>
  <c r="BM71" i="13"/>
  <c r="BM40" i="13"/>
  <c r="E21" i="13"/>
  <c r="BM21" i="13"/>
  <c r="K21" i="13" s="1"/>
  <c r="W21" i="13"/>
  <c r="AI21" i="13"/>
  <c r="AS21" i="13" s="1"/>
  <c r="E22" i="13"/>
  <c r="BM22" i="13"/>
  <c r="K22" i="13" s="1"/>
  <c r="W22" i="13"/>
  <c r="AI22" i="13"/>
  <c r="AS22" i="13" s="1"/>
  <c r="E24" i="13"/>
  <c r="BM24" i="13"/>
  <c r="K24" i="13" s="1"/>
  <c r="W24" i="13"/>
  <c r="AI24" i="13"/>
  <c r="AS24" i="13" s="1"/>
  <c r="E25" i="13"/>
  <c r="BM25" i="13"/>
  <c r="K25" i="13" s="1"/>
  <c r="W25" i="13"/>
  <c r="AI25" i="13"/>
  <c r="AS25" i="13" s="1"/>
  <c r="E30" i="13"/>
  <c r="BM30" i="13"/>
  <c r="K30" i="13" s="1"/>
  <c r="W30" i="13"/>
  <c r="AI30" i="13"/>
  <c r="AS30" i="13" s="1"/>
  <c r="E34" i="13"/>
  <c r="BM34" i="13"/>
  <c r="K34" i="13" s="1"/>
  <c r="AY34" i="13" s="1"/>
  <c r="AI34" i="13"/>
  <c r="AS34" i="13" s="1"/>
  <c r="E35" i="13"/>
  <c r="BM35" i="13"/>
  <c r="K35" i="13" s="1"/>
  <c r="W35" i="13"/>
  <c r="AI35" i="13"/>
  <c r="E36" i="13"/>
  <c r="BM36" i="13"/>
  <c r="K36" i="13" s="1"/>
  <c r="W36" i="13"/>
  <c r="AI36" i="13"/>
  <c r="AS36" i="13" s="1"/>
  <c r="E37" i="13"/>
  <c r="BM37" i="13"/>
  <c r="K37" i="13" s="1"/>
  <c r="W37" i="13"/>
  <c r="AI37" i="13"/>
  <c r="BM55" i="13"/>
  <c r="BM76" i="13"/>
  <c r="BM80" i="13"/>
  <c r="BM88" i="13"/>
  <c r="BM99" i="13"/>
  <c r="BM106" i="13"/>
  <c r="BM113" i="13"/>
  <c r="BM122" i="13"/>
  <c r="BM125" i="13"/>
  <c r="BM133" i="13"/>
  <c r="BM138" i="13"/>
  <c r="BM93" i="13"/>
  <c r="BM65" i="13"/>
  <c r="BM66" i="13"/>
  <c r="BM105" i="13"/>
  <c r="BM114" i="13"/>
  <c r="E31" i="13"/>
  <c r="BM31" i="13"/>
  <c r="K31" i="13" s="1"/>
  <c r="W31" i="13"/>
  <c r="AI31" i="13"/>
  <c r="AS31" i="13" s="1"/>
  <c r="BM69" i="13"/>
  <c r="BM86" i="13"/>
  <c r="BM91" i="13"/>
  <c r="BM94" i="13"/>
  <c r="BM100" i="13"/>
  <c r="E247" i="13"/>
  <c r="BM247" i="13"/>
  <c r="K247" i="13"/>
  <c r="AY247" i="13" s="1"/>
  <c r="W247" i="13"/>
  <c r="AI247" i="13"/>
  <c r="AS247" i="13" s="1"/>
  <c r="BM49" i="13"/>
  <c r="E23" i="13"/>
  <c r="BM23" i="13"/>
  <c r="K23" i="13" s="1"/>
  <c r="W23" i="13"/>
  <c r="AI23" i="13"/>
  <c r="AS23" i="13" s="1"/>
  <c r="E26" i="13"/>
  <c r="BM26" i="13"/>
  <c r="K26" i="13" s="1"/>
  <c r="W26" i="13"/>
  <c r="AI26" i="13"/>
  <c r="AS26" i="13" s="1"/>
  <c r="BM77" i="13"/>
  <c r="E249" i="13"/>
  <c r="BM249" i="13"/>
  <c r="K249" i="13"/>
  <c r="W249" i="13"/>
  <c r="AI249" i="13"/>
  <c r="AS249" i="13" s="1"/>
  <c r="BM111" i="13"/>
  <c r="BM41" i="13"/>
  <c r="E32" i="13"/>
  <c r="K32" i="13"/>
  <c r="W32" i="13"/>
  <c r="AS32" i="13"/>
  <c r="BM50" i="13"/>
  <c r="BM52" i="13"/>
  <c r="BM64" i="13"/>
  <c r="BM82" i="13"/>
  <c r="BM97" i="13"/>
  <c r="BM121" i="13"/>
  <c r="BM142" i="13"/>
  <c r="BM144" i="13"/>
  <c r="E248" i="13"/>
  <c r="BM248" i="13"/>
  <c r="K248" i="13"/>
  <c r="W248" i="13"/>
  <c r="AS248" i="13"/>
  <c r="BM81" i="13"/>
  <c r="BM101" i="13"/>
  <c r="BM117" i="13"/>
  <c r="E28" i="13"/>
  <c r="K28" i="13"/>
  <c r="W28" i="13"/>
  <c r="AI28" i="13"/>
  <c r="BM109" i="13"/>
  <c r="BM72" i="13"/>
  <c r="BM135" i="13"/>
  <c r="BM136" i="13"/>
  <c r="BM107" i="13"/>
  <c r="BM98" i="13"/>
  <c r="E27" i="13"/>
  <c r="BM27" i="13"/>
  <c r="K27" i="13" s="1"/>
  <c r="W27" i="13"/>
  <c r="AI27" i="13"/>
  <c r="AS27" i="13" s="1"/>
  <c r="E18" i="13"/>
  <c r="BM18" i="13"/>
  <c r="K18" i="13" s="1"/>
  <c r="W18" i="13"/>
  <c r="AI18" i="13"/>
  <c r="E19" i="13"/>
  <c r="BM19" i="13"/>
  <c r="K19" i="13" s="1"/>
  <c r="W19" i="13"/>
  <c r="AI19" i="13"/>
  <c r="AS19" i="13" s="1"/>
  <c r="BM74" i="13"/>
  <c r="BM119" i="13"/>
  <c r="BM132" i="13"/>
  <c r="BM118" i="13"/>
  <c r="E250" i="13"/>
  <c r="AY250" i="13" s="1"/>
  <c r="BM250" i="13"/>
  <c r="K250" i="13"/>
  <c r="W250" i="13"/>
  <c r="AI250" i="13"/>
  <c r="AS250" i="13" s="1"/>
  <c r="BM127" i="13"/>
  <c r="E38" i="13"/>
  <c r="BM38" i="13"/>
  <c r="K38" i="13"/>
  <c r="W38" i="13"/>
  <c r="AI38" i="13"/>
  <c r="AS38" i="13" s="1"/>
  <c r="BM134" i="13"/>
  <c r="BM102" i="13"/>
  <c r="BM104" i="13"/>
  <c r="BM48" i="13"/>
  <c r="BM53" i="13"/>
  <c r="BM63" i="13"/>
  <c r="BM75" i="13"/>
  <c r="BM103" i="13"/>
  <c r="BM112" i="13"/>
  <c r="BM137" i="13"/>
  <c r="BM143" i="13"/>
  <c r="E251" i="13"/>
  <c r="BM251" i="13"/>
  <c r="K251" i="13"/>
  <c r="W251" i="13"/>
  <c r="AI251" i="13"/>
  <c r="AS251" i="13" s="1"/>
  <c r="E17" i="13"/>
  <c r="BM17" i="13"/>
  <c r="K17" i="13" s="1"/>
  <c r="W17" i="13"/>
  <c r="AI17" i="13"/>
  <c r="AS17" i="13" s="1"/>
  <c r="BM110" i="13"/>
  <c r="BM73" i="13"/>
  <c r="BM124" i="13"/>
  <c r="BM115" i="13"/>
  <c r="BM51" i="13"/>
  <c r="BM85" i="13"/>
  <c r="BM83" i="13"/>
  <c r="E12" i="13"/>
  <c r="BM12" i="13"/>
  <c r="M12" i="13" s="1"/>
  <c r="K12" i="13" s="1"/>
  <c r="W12" i="13"/>
  <c r="BM42" i="13"/>
  <c r="BM120" i="13"/>
  <c r="BM131" i="13"/>
  <c r="E11" i="13"/>
  <c r="BM11" i="13"/>
  <c r="M11" i="13" s="1"/>
  <c r="K11" i="13" s="1"/>
  <c r="W11" i="13"/>
  <c r="AI11" i="13"/>
  <c r="AS11" i="13" s="1"/>
  <c r="E20" i="13"/>
  <c r="BM20" i="13"/>
  <c r="K20" i="13" s="1"/>
  <c r="W20" i="13"/>
  <c r="AI20" i="13"/>
  <c r="AS20" i="13" s="1"/>
  <c r="BM79" i="13"/>
  <c r="BM92" i="13"/>
  <c r="BM123" i="13"/>
  <c r="BM146" i="13"/>
  <c r="BM90" i="13"/>
  <c r="BM129" i="13"/>
  <c r="BM84" i="13"/>
  <c r="BM130" i="13"/>
  <c r="E29" i="13"/>
  <c r="BM29" i="13"/>
  <c r="K29" i="13" s="1"/>
  <c r="W29" i="13"/>
  <c r="AI29" i="13"/>
  <c r="AS29" i="13" s="1"/>
  <c r="BM126" i="13"/>
  <c r="E246" i="13"/>
  <c r="BM246" i="13"/>
  <c r="K246" i="13"/>
  <c r="W246" i="13"/>
  <c r="AI246" i="13"/>
  <c r="AS246" i="13" s="1"/>
  <c r="E10" i="14"/>
  <c r="K10" i="14"/>
  <c r="W10" i="14"/>
  <c r="AI10" i="14"/>
  <c r="AS10" i="14" s="1"/>
  <c r="BM10" i="14"/>
  <c r="BM11" i="14"/>
  <c r="W11" i="14"/>
  <c r="AI11" i="14"/>
  <c r="AS11" i="14" s="1"/>
  <c r="BM12" i="14"/>
  <c r="AY12" i="14"/>
  <c r="W12" i="14"/>
  <c r="AS12" i="14"/>
  <c r="W13" i="14"/>
  <c r="AS13" i="14"/>
  <c r="BM13" i="14"/>
  <c r="W14" i="14"/>
  <c r="AS14" i="14"/>
  <c r="BM14" i="14"/>
  <c r="W15" i="14"/>
  <c r="AS15" i="14"/>
  <c r="BM15" i="14"/>
  <c r="W16" i="14"/>
  <c r="AS16" i="14"/>
  <c r="BM16" i="14"/>
  <c r="W17" i="14"/>
  <c r="AS17" i="14"/>
  <c r="BM17" i="14"/>
  <c r="W19" i="14"/>
  <c r="AS19" i="14"/>
  <c r="W20" i="14"/>
  <c r="AS20" i="14"/>
  <c r="BM20" i="14"/>
  <c r="BM21" i="14"/>
  <c r="AY21" i="14"/>
  <c r="W21" i="14"/>
  <c r="AS21" i="14"/>
  <c r="BM22" i="14"/>
  <c r="W22" i="14"/>
  <c r="AS22" i="14"/>
  <c r="AS55" i="14"/>
  <c r="BM55" i="14"/>
  <c r="AS56" i="14"/>
  <c r="BM56" i="14"/>
  <c r="AY66" i="14"/>
  <c r="W66" i="14"/>
  <c r="AS66" i="14"/>
  <c r="BM66" i="14"/>
  <c r="AY72" i="14"/>
  <c r="W72" i="14"/>
  <c r="AS72" i="14"/>
  <c r="BM72" i="14"/>
  <c r="AY82" i="14"/>
  <c r="W82" i="14"/>
  <c r="AS82" i="14"/>
  <c r="BM82" i="14"/>
  <c r="BM83" i="14"/>
  <c r="W83" i="14"/>
  <c r="AS83" i="14"/>
  <c r="W85" i="14"/>
  <c r="AS85" i="14"/>
  <c r="BM85" i="14"/>
  <c r="W86" i="14"/>
  <c r="AS86" i="14"/>
  <c r="BM86" i="14"/>
  <c r="W87" i="14"/>
  <c r="AS87" i="14"/>
  <c r="BM87" i="14"/>
  <c r="AY90" i="14"/>
  <c r="W90" i="14"/>
  <c r="AS90" i="14"/>
  <c r="BM90" i="14"/>
  <c r="W92" i="14"/>
  <c r="AS92" i="14"/>
  <c r="BM92" i="14"/>
  <c r="BM93" i="14"/>
  <c r="BM94" i="14"/>
  <c r="BM95" i="14"/>
  <c r="BM96" i="14"/>
  <c r="BM97" i="14"/>
  <c r="BM98" i="14"/>
  <c r="BM100" i="14"/>
  <c r="BM101" i="14"/>
  <c r="BM102" i="14"/>
  <c r="BM103" i="14"/>
  <c r="BM104" i="14"/>
  <c r="BM105" i="14"/>
  <c r="BM106" i="14"/>
  <c r="BM107" i="14"/>
  <c r="BM118" i="14"/>
  <c r="BM119" i="14"/>
  <c r="BM120" i="14"/>
  <c r="BM121" i="14"/>
  <c r="BM122" i="14"/>
  <c r="BM123" i="14"/>
  <c r="BM124" i="14"/>
  <c r="BM125" i="14"/>
  <c r="BM126" i="14"/>
  <c r="BM127" i="14"/>
  <c r="BM128" i="14"/>
  <c r="BM129" i="14"/>
  <c r="BM130" i="14"/>
  <c r="BM131" i="14"/>
  <c r="BM132" i="14"/>
  <c r="BM133" i="14"/>
  <c r="BM134" i="14"/>
  <c r="BM135" i="14"/>
  <c r="BM136" i="14"/>
  <c r="BM137" i="14"/>
  <c r="BM138" i="14"/>
  <c r="BM139" i="14"/>
  <c r="BM140" i="14"/>
  <c r="BM141" i="14"/>
  <c r="BM142" i="14"/>
  <c r="BM143" i="14"/>
  <c r="BM144" i="14"/>
  <c r="BM145" i="14"/>
  <c r="BM215" i="14"/>
  <c r="BM216" i="14"/>
  <c r="BM217" i="14"/>
  <c r="BM218" i="14"/>
  <c r="BM219" i="14"/>
  <c r="BM220" i="14"/>
  <c r="BM221" i="14"/>
  <c r="BM222" i="14"/>
  <c r="BM224" i="14"/>
  <c r="BM226" i="14"/>
  <c r="BM228" i="14"/>
  <c r="BM229" i="14"/>
  <c r="BM230" i="14"/>
  <c r="BM234" i="14"/>
  <c r="BM235" i="14"/>
  <c r="W12" i="6"/>
  <c r="BN12" i="6"/>
  <c r="W13" i="6"/>
  <c r="W14" i="6"/>
  <c r="W15" i="6"/>
  <c r="BN15" i="6"/>
  <c r="W16" i="6"/>
  <c r="W17" i="6"/>
  <c r="BN17" i="6"/>
  <c r="W18" i="6"/>
  <c r="BN18" i="6"/>
  <c r="W19" i="6"/>
  <c r="BN19" i="6"/>
  <c r="W21" i="6"/>
  <c r="BN21" i="6"/>
  <c r="W22" i="6"/>
  <c r="BN22" i="6"/>
  <c r="W23" i="6"/>
  <c r="W24" i="6"/>
  <c r="W25" i="6"/>
  <c r="BN25" i="6"/>
  <c r="W26" i="6"/>
  <c r="W68" i="6"/>
  <c r="W74" i="6"/>
  <c r="W77" i="6"/>
  <c r="W84" i="6"/>
  <c r="W85" i="6"/>
  <c r="W86" i="6"/>
  <c r="W88" i="6"/>
  <c r="W89" i="6"/>
  <c r="W92" i="6"/>
  <c r="W94" i="6"/>
  <c r="W95" i="6"/>
  <c r="W96" i="6"/>
  <c r="W97" i="6"/>
  <c r="W98" i="6"/>
  <c r="BN115" i="6"/>
  <c r="BN127" i="6"/>
  <c r="AH10" i="5"/>
  <c r="AH11" i="5"/>
  <c r="U17" i="3"/>
  <c r="AR19" i="5"/>
  <c r="AR25" i="5"/>
  <c r="U98" i="3"/>
  <c r="U102" i="3"/>
  <c r="U106" i="3"/>
  <c r="U108" i="3"/>
  <c r="U110" i="3"/>
  <c r="AR111" i="5"/>
  <c r="U113" i="3"/>
  <c r="U115" i="3"/>
  <c r="AR120" i="5"/>
  <c r="U124" i="3"/>
  <c r="AR124" i="5"/>
  <c r="U126" i="3"/>
  <c r="AR134" i="5"/>
  <c r="U138" i="3"/>
  <c r="AR140" i="5"/>
  <c r="U144" i="3"/>
  <c r="U146" i="3"/>
  <c r="U164" i="3"/>
  <c r="AC10" i="2"/>
  <c r="S10" i="7"/>
  <c r="U10" i="7" s="1"/>
  <c r="S12" i="7"/>
  <c r="AM12" i="2" s="1"/>
  <c r="S13" i="7"/>
  <c r="S14" i="7"/>
  <c r="AM14" i="2" s="1"/>
  <c r="S15" i="7"/>
  <c r="V15" i="7" s="1"/>
  <c r="S16" i="7"/>
  <c r="S17" i="7"/>
  <c r="U17" i="7" s="1"/>
  <c r="V18" i="7"/>
  <c r="S19" i="7"/>
  <c r="V19" i="7" s="1"/>
  <c r="S20" i="7"/>
  <c r="U20" i="7" s="1"/>
  <c r="S21" i="7"/>
  <c r="U21" i="7" s="1"/>
  <c r="S22" i="7"/>
  <c r="U22" i="7" s="1"/>
  <c r="S23" i="7"/>
  <c r="V23" i="7" s="1"/>
  <c r="U65" i="7"/>
  <c r="S73" i="7"/>
  <c r="V73" i="7" s="1"/>
  <c r="S82" i="7"/>
  <c r="V82" i="7" s="1"/>
  <c r="S87" i="7"/>
  <c r="V87" i="7" s="1"/>
  <c r="S90" i="7"/>
  <c r="U90" i="7" s="1"/>
  <c r="S93" i="7"/>
  <c r="V93" i="7" s="1"/>
  <c r="S94" i="7"/>
  <c r="AM94" i="2" s="1"/>
  <c r="S95" i="7"/>
  <c r="V95" i="7" s="1"/>
  <c r="S96" i="7"/>
  <c r="V96" i="7" s="1"/>
  <c r="S97" i="7"/>
  <c r="U97" i="7" s="1"/>
  <c r="S98" i="7"/>
  <c r="U98" i="7" s="1"/>
  <c r="S100" i="7"/>
  <c r="U100" i="7" s="1"/>
  <c r="S101" i="7"/>
  <c r="S102" i="7"/>
  <c r="V102" i="7" s="1"/>
  <c r="S103" i="7"/>
  <c r="AM103" i="2" s="1"/>
  <c r="S104" i="7"/>
  <c r="U104" i="7" s="1"/>
  <c r="S105" i="7"/>
  <c r="S106" i="7"/>
  <c r="V106" i="7" s="1"/>
  <c r="S107" i="7"/>
  <c r="U107" i="7" s="1"/>
  <c r="S108" i="7"/>
  <c r="U108" i="7" s="1"/>
  <c r="S109" i="7"/>
  <c r="U109" i="7" s="1"/>
  <c r="S110" i="7"/>
  <c r="U110" i="7" s="1"/>
  <c r="S111" i="7"/>
  <c r="V111" i="7" s="1"/>
  <c r="S113" i="7"/>
  <c r="AM113" i="2" s="1"/>
  <c r="S114" i="7"/>
  <c r="V114" i="7" s="1"/>
  <c r="S115" i="7"/>
  <c r="U115" i="7" s="1"/>
  <c r="S117" i="7"/>
  <c r="U117" i="7" s="1"/>
  <c r="S119" i="7"/>
  <c r="U119" i="7" s="1"/>
  <c r="S122" i="7"/>
  <c r="V122" i="7" s="1"/>
  <c r="S123" i="7"/>
  <c r="V123" i="7" s="1"/>
  <c r="S124" i="7"/>
  <c r="AM123" i="2" s="1"/>
  <c r="S125" i="7"/>
  <c r="AM124" i="2" s="1"/>
  <c r="S126" i="7"/>
  <c r="U126" i="7" s="1"/>
  <c r="S128" i="7"/>
  <c r="U128" i="7" s="1"/>
  <c r="S129" i="7"/>
  <c r="U129" i="7" s="1"/>
  <c r="S131" i="7"/>
  <c r="U131" i="7" s="1"/>
  <c r="S132" i="7"/>
  <c r="V132" i="7" s="1"/>
  <c r="S133" i="7"/>
  <c r="V133" i="7" s="1"/>
  <c r="S134" i="7"/>
  <c r="V134" i="7" s="1"/>
  <c r="S135" i="7"/>
  <c r="V135" i="7" s="1"/>
  <c r="S136" i="7"/>
  <c r="V136" i="7" s="1"/>
  <c r="S137" i="7"/>
  <c r="U137" i="7" s="1"/>
  <c r="S138" i="7"/>
  <c r="V138" i="7" s="1"/>
  <c r="S139" i="7"/>
  <c r="V139" i="7" s="1"/>
  <c r="S140" i="7"/>
  <c r="U140" i="7" s="1"/>
  <c r="S141" i="7"/>
  <c r="U141" i="7" s="1"/>
  <c r="S142" i="7"/>
  <c r="U142" i="7" s="1"/>
  <c r="S143" i="7"/>
  <c r="V143" i="7" s="1"/>
  <c r="S144" i="7"/>
  <c r="U144" i="7" s="1"/>
  <c r="S145" i="7"/>
  <c r="AM145" i="2" s="1"/>
  <c r="S146" i="7"/>
  <c r="V146" i="7" s="1"/>
  <c r="S147" i="7"/>
  <c r="U147" i="7" s="1"/>
  <c r="U256" i="7"/>
  <c r="U257" i="7"/>
  <c r="V258" i="7"/>
  <c r="U259" i="7"/>
  <c r="U260" i="7"/>
  <c r="AM261" i="2"/>
  <c r="U262" i="7"/>
  <c r="S11" i="4"/>
  <c r="U11" i="3"/>
  <c r="U12" i="3"/>
  <c r="U13" i="3"/>
  <c r="U14" i="3"/>
  <c r="U15" i="3"/>
  <c r="U16" i="3"/>
  <c r="U18" i="3"/>
  <c r="U19" i="3"/>
  <c r="U20" i="3"/>
  <c r="U21" i="3"/>
  <c r="U22" i="3"/>
  <c r="U23" i="3"/>
  <c r="U24" i="3"/>
  <c r="U25" i="3"/>
  <c r="U26" i="3"/>
  <c r="U27" i="3"/>
  <c r="U30" i="3"/>
  <c r="U42" i="3"/>
  <c r="U44" i="3"/>
  <c r="U47" i="3"/>
  <c r="U65" i="3"/>
  <c r="U67" i="3"/>
  <c r="U73" i="3"/>
  <c r="U82" i="3"/>
  <c r="U87" i="3"/>
  <c r="U90" i="3"/>
  <c r="U94" i="3"/>
  <c r="U95" i="3"/>
  <c r="U97" i="3"/>
  <c r="U100" i="3"/>
  <c r="U103" i="3"/>
  <c r="U104" i="3"/>
  <c r="U105" i="3"/>
  <c r="U107" i="3"/>
  <c r="U109" i="3"/>
  <c r="U111" i="3"/>
  <c r="U114" i="3"/>
  <c r="U117" i="3"/>
  <c r="U120" i="3"/>
  <c r="U122" i="3"/>
  <c r="U125" i="3"/>
  <c r="U132" i="3"/>
  <c r="U134" i="3"/>
  <c r="U135" i="3"/>
  <c r="U137" i="3"/>
  <c r="U139" i="3"/>
  <c r="U140" i="3"/>
  <c r="U143" i="3"/>
  <c r="U145" i="3"/>
  <c r="U147" i="3"/>
  <c r="U149" i="3"/>
  <c r="U151" i="3"/>
  <c r="U152" i="3"/>
  <c r="U153" i="3"/>
  <c r="U155" i="3"/>
  <c r="U157" i="3"/>
  <c r="U159" i="3"/>
  <c r="U160" i="3"/>
  <c r="U161" i="3"/>
  <c r="U162" i="3"/>
  <c r="U165" i="3"/>
  <c r="U167" i="3"/>
  <c r="U170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10" i="3"/>
  <c r="U211" i="3"/>
  <c r="U212" i="3"/>
  <c r="U213" i="3"/>
  <c r="U215" i="3"/>
  <c r="U216" i="3"/>
  <c r="U217" i="3"/>
  <c r="U218" i="3"/>
  <c r="U220" i="3"/>
  <c r="U221" i="3"/>
  <c r="U225" i="3"/>
  <c r="U226" i="3"/>
  <c r="U228" i="3"/>
  <c r="U229" i="3"/>
  <c r="U231" i="3"/>
  <c r="U234" i="3"/>
  <c r="U235" i="3"/>
  <c r="U236" i="3"/>
  <c r="U239" i="3"/>
  <c r="U240" i="3"/>
  <c r="U244" i="3"/>
  <c r="U245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1" i="3"/>
  <c r="U12" i="7"/>
  <c r="V12" i="7"/>
  <c r="U13" i="7"/>
  <c r="U15" i="7"/>
  <c r="U16" i="7"/>
  <c r="V16" i="7"/>
  <c r="V17" i="7"/>
  <c r="U18" i="7"/>
  <c r="U19" i="7"/>
  <c r="V20" i="7"/>
  <c r="V21" i="7"/>
  <c r="V22" i="7"/>
  <c r="U24" i="7"/>
  <c r="V24" i="7"/>
  <c r="U25" i="7"/>
  <c r="U26" i="7"/>
  <c r="V26" i="7"/>
  <c r="U27" i="7"/>
  <c r="V27" i="7"/>
  <c r="U30" i="7"/>
  <c r="V30" i="7"/>
  <c r="U42" i="7"/>
  <c r="V42" i="7"/>
  <c r="U44" i="7"/>
  <c r="V44" i="7"/>
  <c r="U47" i="7"/>
  <c r="V47" i="7"/>
  <c r="V65" i="7"/>
  <c r="U67" i="7"/>
  <c r="V67" i="7"/>
  <c r="U73" i="7"/>
  <c r="U82" i="7"/>
  <c r="U87" i="7"/>
  <c r="U96" i="7"/>
  <c r="V97" i="7"/>
  <c r="V100" i="7"/>
  <c r="V101" i="7"/>
  <c r="U102" i="7"/>
  <c r="V104" i="7"/>
  <c r="U105" i="7"/>
  <c r="V105" i="7"/>
  <c r="V109" i="7"/>
  <c r="U113" i="7"/>
  <c r="U114" i="7"/>
  <c r="V115" i="7"/>
  <c r="V119" i="7"/>
  <c r="V121" i="7"/>
  <c r="U123" i="7"/>
  <c r="U125" i="7"/>
  <c r="V125" i="7"/>
  <c r="V128" i="7"/>
  <c r="U135" i="7"/>
  <c r="U139" i="7"/>
  <c r="V144" i="7"/>
  <c r="V147" i="7"/>
  <c r="V221" i="7"/>
  <c r="U224" i="7"/>
  <c r="V224" i="7"/>
  <c r="U225" i="7"/>
  <c r="U229" i="7"/>
  <c r="U233" i="7"/>
  <c r="U234" i="7"/>
  <c r="U236" i="7"/>
  <c r="U238" i="7"/>
  <c r="V241" i="7"/>
  <c r="V245" i="7"/>
  <c r="V249" i="7"/>
  <c r="V250" i="7"/>
  <c r="U251" i="7"/>
  <c r="U253" i="7"/>
  <c r="U254" i="7"/>
  <c r="V255" i="7"/>
  <c r="V256" i="7"/>
  <c r="V257" i="7"/>
  <c r="V260" i="7"/>
  <c r="W10" i="8"/>
  <c r="AC10" i="9"/>
  <c r="AA19" i="8"/>
  <c r="AA20" i="8"/>
  <c r="AA21" i="8"/>
  <c r="AC133" i="9"/>
  <c r="AC260" i="8"/>
  <c r="AA10" i="9"/>
  <c r="AA133" i="9"/>
  <c r="E10" i="10"/>
  <c r="M10" i="10"/>
  <c r="E11" i="10"/>
  <c r="M11" i="10"/>
  <c r="AB13" i="10"/>
  <c r="AB15" i="10"/>
  <c r="AB17" i="10"/>
  <c r="AB19" i="10"/>
  <c r="AB21" i="10"/>
  <c r="AB23" i="10"/>
  <c r="AB25" i="10"/>
  <c r="AB27" i="10"/>
  <c r="AB30" i="10"/>
  <c r="AB42" i="10"/>
  <c r="AB44" i="10"/>
  <c r="AB47" i="10"/>
  <c r="AB90" i="10"/>
  <c r="AB93" i="10"/>
  <c r="AB97" i="10"/>
  <c r="AB100" i="10"/>
  <c r="AB101" i="10"/>
  <c r="AB104" i="10"/>
  <c r="AB106" i="10"/>
  <c r="AB107" i="10"/>
  <c r="AB109" i="10"/>
  <c r="AB111" i="10"/>
  <c r="AB114" i="10"/>
  <c r="AB118" i="10"/>
  <c r="AB120" i="10"/>
  <c r="AB121" i="10"/>
  <c r="AB122" i="10"/>
  <c r="AB124" i="10"/>
  <c r="AB125" i="10"/>
  <c r="AB126" i="10"/>
  <c r="AB127" i="10"/>
  <c r="AB128" i="10"/>
  <c r="AB129" i="10"/>
  <c r="AB131" i="10"/>
  <c r="AB133" i="10"/>
  <c r="AB134" i="10"/>
  <c r="AB137" i="10"/>
  <c r="AB138" i="10"/>
  <c r="AB139" i="10"/>
  <c r="AB141" i="10"/>
  <c r="AB145" i="10"/>
  <c r="AB147" i="10"/>
  <c r="AB219" i="10"/>
  <c r="AB220" i="10"/>
  <c r="AB221" i="10"/>
  <c r="AB224" i="10"/>
  <c r="AB225" i="10"/>
  <c r="AB226" i="10"/>
  <c r="AB227" i="10"/>
  <c r="AB228" i="10"/>
  <c r="AB230" i="10"/>
  <c r="AB234" i="10"/>
  <c r="AB235" i="10"/>
  <c r="AB236" i="10"/>
  <c r="AB238" i="10"/>
  <c r="AB240" i="10"/>
  <c r="AB242" i="10"/>
  <c r="AB244" i="10"/>
  <c r="AB245" i="10"/>
  <c r="AB247" i="10"/>
  <c r="AB248" i="10"/>
  <c r="AB249" i="10"/>
  <c r="AB250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46" i="10"/>
  <c r="AB231" i="10"/>
  <c r="AR144" i="5"/>
  <c r="AR47" i="5"/>
  <c r="AR235" i="5"/>
  <c r="AR246" i="5"/>
  <c r="AR250" i="5"/>
  <c r="AR254" i="5"/>
  <c r="AR258" i="5"/>
  <c r="U227" i="3"/>
  <c r="U232" i="3"/>
  <c r="AB223" i="10"/>
  <c r="AR231" i="5"/>
  <c r="AR229" i="5"/>
  <c r="V233" i="7"/>
  <c r="AR243" i="5"/>
  <c r="AR255" i="5"/>
  <c r="AR252" i="5"/>
  <c r="AB233" i="10"/>
  <c r="AR249" i="5"/>
  <c r="AR248" i="5"/>
  <c r="AR247" i="5"/>
  <c r="AR245" i="5"/>
  <c r="AR240" i="5"/>
  <c r="U241" i="3"/>
  <c r="AR260" i="5"/>
  <c r="AR261" i="5"/>
  <c r="U262" i="3"/>
  <c r="U260" i="3"/>
  <c r="U261" i="7"/>
  <c r="AR251" i="5"/>
  <c r="AR237" i="5"/>
  <c r="U238" i="3"/>
  <c r="AM244" i="2"/>
  <c r="AR233" i="5"/>
  <c r="AR128" i="5"/>
  <c r="U136" i="3"/>
  <c r="U133" i="3"/>
  <c r="AM141" i="2"/>
  <c r="U141" i="3"/>
  <c r="AM139" i="2"/>
  <c r="AM147" i="2"/>
  <c r="AR146" i="5"/>
  <c r="AR142" i="5"/>
  <c r="U142" i="3"/>
  <c r="AB246" i="10"/>
  <c r="AB102" i="10"/>
  <c r="AR102" i="5"/>
  <c r="AM101" i="2"/>
  <c r="U101" i="3"/>
  <c r="U101" i="7"/>
  <c r="AM100" i="2"/>
  <c r="AR116" i="5"/>
  <c r="AR114" i="5"/>
  <c r="AR113" i="5"/>
  <c r="AM121" i="2"/>
  <c r="U121" i="7"/>
  <c r="AY86" i="14"/>
  <c r="AY84" i="14"/>
  <c r="AY16" i="14"/>
  <c r="AY56" i="14"/>
  <c r="AY55" i="14"/>
  <c r="AY14" i="14"/>
  <c r="AZ78" i="6"/>
  <c r="AZ79" i="6"/>
  <c r="AZ80" i="6"/>
  <c r="AZ90" i="6"/>
  <c r="AZ69" i="6"/>
  <c r="AZ70" i="6"/>
  <c r="AZ73" i="6"/>
  <c r="AZ15" i="6"/>
  <c r="AZ17" i="6"/>
  <c r="AZ19" i="6"/>
  <c r="AZ21" i="6"/>
  <c r="AZ23" i="6"/>
  <c r="AZ25" i="6"/>
  <c r="AR145" i="5"/>
  <c r="AR139" i="5"/>
  <c r="AR133" i="5"/>
  <c r="AR123" i="5"/>
  <c r="AR106" i="5"/>
  <c r="AR98" i="5"/>
  <c r="AR97" i="5"/>
  <c r="AR66" i="5"/>
  <c r="AR42" i="5"/>
  <c r="AR27" i="5"/>
  <c r="AR26" i="5"/>
  <c r="AR24" i="5"/>
  <c r="AR117" i="5"/>
  <c r="AR244" i="5"/>
  <c r="AR253" i="5"/>
  <c r="AM104" i="2"/>
  <c r="AM98" i="2"/>
  <c r="AM90" i="2"/>
  <c r="AM87" i="2"/>
  <c r="AM47" i="2"/>
  <c r="AM44" i="2"/>
  <c r="AM246" i="2"/>
  <c r="U92" i="3"/>
  <c r="U57" i="3"/>
  <c r="U58" i="3"/>
  <c r="U59" i="3"/>
  <c r="U62" i="3"/>
  <c r="U50" i="3"/>
  <c r="U48" i="3"/>
  <c r="U49" i="3"/>
  <c r="U46" i="3"/>
  <c r="AR223" i="5"/>
  <c r="U91" i="7"/>
  <c r="U80" i="7"/>
  <c r="V80" i="7"/>
  <c r="U79" i="7"/>
  <c r="U76" i="7"/>
  <c r="V76" i="7"/>
  <c r="U71" i="7"/>
  <c r="V74" i="7"/>
  <c r="V72" i="7"/>
  <c r="U70" i="7"/>
  <c r="U66" i="7"/>
  <c r="V66" i="7"/>
  <c r="U64" i="7"/>
  <c r="V64" i="7"/>
  <c r="U62" i="7"/>
  <c r="U63" i="7"/>
  <c r="U57" i="7"/>
  <c r="V57" i="7"/>
  <c r="U59" i="7"/>
  <c r="V59" i="7"/>
  <c r="U54" i="7"/>
  <c r="V53" i="7"/>
  <c r="U48" i="7"/>
  <c r="V45" i="7"/>
  <c r="U38" i="7"/>
  <c r="U39" i="7"/>
  <c r="U36" i="7"/>
  <c r="V36" i="7"/>
  <c r="U35" i="7"/>
  <c r="U33" i="7"/>
  <c r="U32" i="7"/>
  <c r="V32" i="7"/>
  <c r="U31" i="7"/>
  <c r="V31" i="7"/>
  <c r="V28" i="7"/>
  <c r="V29" i="7"/>
  <c r="AC26" i="8"/>
  <c r="AC70" i="9"/>
  <c r="AC100" i="8"/>
  <c r="AC104" i="8"/>
  <c r="AB144" i="10"/>
  <c r="AB142" i="10"/>
  <c r="AB140" i="10"/>
  <c r="AB136" i="10"/>
  <c r="AB132" i="10"/>
  <c r="AB115" i="10"/>
  <c r="AB110" i="10"/>
  <c r="AB103" i="10"/>
  <c r="AB98" i="10"/>
  <c r="AB96" i="10"/>
  <c r="AB94" i="10"/>
  <c r="AB87" i="10"/>
  <c r="AB73" i="10"/>
  <c r="AA113" i="8"/>
  <c r="AC113" i="8" s="1"/>
  <c r="AC67" i="8"/>
  <c r="AA222" i="8"/>
  <c r="AB80" i="10"/>
  <c r="AB32" i="10"/>
  <c r="AB34" i="10"/>
  <c r="AB40" i="10"/>
  <c r="AB229" i="10"/>
  <c r="AZ96" i="6"/>
  <c r="AZ95" i="6"/>
  <c r="AB31" i="10"/>
  <c r="AB38" i="10"/>
  <c r="AC49" i="8"/>
  <c r="AB49" i="10"/>
  <c r="AB51" i="10"/>
  <c r="AB53" i="10"/>
  <c r="AC63" i="8"/>
  <c r="AA75" i="8"/>
  <c r="AB75" i="10"/>
  <c r="AA77" i="8"/>
  <c r="AB77" i="10"/>
  <c r="AB81" i="10"/>
  <c r="AA81" i="8"/>
  <c r="AB83" i="10"/>
  <c r="AA83" i="8"/>
  <c r="AA85" i="8"/>
  <c r="AB86" i="10"/>
  <c r="AA86" i="8"/>
  <c r="AB88" i="10"/>
  <c r="AA88" i="8"/>
  <c r="AA95" i="8"/>
  <c r="AC95" i="8" s="1"/>
  <c r="AB95" i="10"/>
  <c r="AA92" i="8"/>
  <c r="AB92" i="10"/>
  <c r="AB39" i="10"/>
  <c r="AB68" i="10"/>
  <c r="AB74" i="10"/>
  <c r="AA74" i="8"/>
  <c r="AB84" i="10"/>
  <c r="AA84" i="8"/>
  <c r="AC84" i="8" s="1"/>
  <c r="AA89" i="8"/>
  <c r="AB89" i="10"/>
  <c r="AB70" i="10"/>
  <c r="AB12" i="10"/>
  <c r="AR90" i="5"/>
  <c r="AR72" i="5"/>
  <c r="AM73" i="2"/>
  <c r="AR10" i="5"/>
  <c r="AR18" i="5"/>
  <c r="AR46" i="5"/>
  <c r="AR115" i="5"/>
  <c r="AR227" i="5"/>
  <c r="AR256" i="5"/>
  <c r="AM30" i="2"/>
  <c r="AM42" i="2"/>
  <c r="AM64" i="2"/>
  <c r="AM127" i="2"/>
  <c r="AM257" i="2"/>
  <c r="U10" i="3"/>
  <c r="AM46" i="2"/>
  <c r="AY17" i="13"/>
  <c r="AY248" i="13"/>
  <c r="AR121" i="5"/>
  <c r="AR118" i="5"/>
  <c r="AR101" i="5"/>
  <c r="AR100" i="5"/>
  <c r="AR96" i="5"/>
  <c r="AR95" i="5"/>
  <c r="AR64" i="5"/>
  <c r="AR30" i="5"/>
  <c r="AR257" i="5"/>
  <c r="AR259" i="5"/>
  <c r="AR135" i="5"/>
  <c r="AR105" i="5"/>
  <c r="AR15" i="5"/>
  <c r="AR12" i="5"/>
  <c r="AM135" i="2"/>
  <c r="AM96" i="2"/>
  <c r="AM93" i="2"/>
  <c r="AM66" i="2"/>
  <c r="AM27" i="2"/>
  <c r="AM19" i="2"/>
  <c r="AM240" i="2"/>
  <c r="U86" i="3"/>
  <c r="U88" i="3"/>
  <c r="AM143" i="2"/>
  <c r="AM140" i="2"/>
  <c r="AM114" i="2"/>
  <c r="AM109" i="2"/>
  <c r="AM108" i="2"/>
  <c r="AM137" i="2"/>
  <c r="V145" i="7"/>
  <c r="U143" i="7"/>
  <c r="V110" i="7"/>
  <c r="V33" i="7"/>
  <c r="V34" i="7"/>
  <c r="U34" i="7"/>
  <c r="V35" i="7"/>
  <c r="V63" i="7"/>
  <c r="V78" i="7"/>
  <c r="AC262" i="8"/>
  <c r="AC44" i="8"/>
  <c r="V25" i="7"/>
  <c r="U166" i="3"/>
  <c r="U154" i="3"/>
  <c r="U150" i="3"/>
  <c r="U148" i="3"/>
  <c r="U128" i="3"/>
  <c r="U119" i="3"/>
  <c r="U93" i="3"/>
  <c r="AR54" i="5"/>
  <c r="U84" i="3"/>
  <c r="AM29" i="2"/>
  <c r="AM38" i="2"/>
  <c r="AM45" i="2"/>
  <c r="AM61" i="2"/>
  <c r="AM70" i="2"/>
  <c r="AM86" i="2"/>
  <c r="V41" i="7"/>
  <c r="U41" i="7"/>
  <c r="V48" i="7"/>
  <c r="V54" i="7"/>
  <c r="V71" i="7"/>
  <c r="U74" i="7"/>
  <c r="V85" i="7"/>
  <c r="V86" i="7"/>
  <c r="AC207" i="8"/>
  <c r="AC206" i="8"/>
  <c r="AC205" i="8"/>
  <c r="AC204" i="8"/>
  <c r="AB11" i="10" l="1"/>
  <c r="AA10" i="8"/>
  <c r="AC10" i="8" s="1"/>
  <c r="V10" i="7"/>
  <c r="AM252" i="2"/>
  <c r="AM253" i="2"/>
  <c r="AM259" i="2"/>
  <c r="U252" i="7"/>
  <c r="AM241" i="2"/>
  <c r="V244" i="7"/>
  <c r="U220" i="7"/>
  <c r="V220" i="7"/>
  <c r="U222" i="7"/>
  <c r="U223" i="7"/>
  <c r="V226" i="7"/>
  <c r="V227" i="7"/>
  <c r="V229" i="7"/>
  <c r="V230" i="7"/>
  <c r="U230" i="7"/>
  <c r="AM231" i="2"/>
  <c r="U232" i="7"/>
  <c r="AM233" i="2"/>
  <c r="AM235" i="2"/>
  <c r="U235" i="7"/>
  <c r="V239" i="7"/>
  <c r="U240" i="7"/>
  <c r="AM116" i="2"/>
  <c r="U138" i="7"/>
  <c r="V262" i="7"/>
  <c r="V129" i="7"/>
  <c r="V107" i="7"/>
  <c r="U103" i="7"/>
  <c r="V98" i="7"/>
  <c r="V94" i="7"/>
  <c r="U94" i="7"/>
  <c r="AM262" i="2"/>
  <c r="V103" i="7"/>
  <c r="V124" i="7"/>
  <c r="V14" i="7"/>
  <c r="U124" i="7"/>
  <c r="AM82" i="2"/>
  <c r="AM128" i="2"/>
  <c r="U258" i="7"/>
  <c r="V137" i="7"/>
  <c r="V117" i="7"/>
  <c r="U111" i="7"/>
  <c r="U14" i="7"/>
  <c r="U130" i="7"/>
  <c r="V130" i="7"/>
  <c r="V142" i="7"/>
  <c r="U133" i="7"/>
  <c r="AY249" i="13"/>
  <c r="AY245" i="13"/>
  <c r="AY246" i="13"/>
  <c r="AY32" i="13"/>
  <c r="V13" i="7"/>
  <c r="AM13" i="2"/>
  <c r="AY38" i="13"/>
  <c r="AM142" i="2"/>
  <c r="AM254" i="2"/>
  <c r="AM144" i="2"/>
  <c r="AM146" i="2"/>
  <c r="AM260" i="2"/>
  <c r="AM247" i="2"/>
  <c r="AM256" i="2"/>
  <c r="AM234" i="2"/>
  <c r="U248" i="7"/>
  <c r="V242" i="7"/>
  <c r="U231" i="7"/>
  <c r="U228" i="7"/>
  <c r="U221" i="7"/>
  <c r="U146" i="7"/>
  <c r="V259" i="7"/>
  <c r="V261" i="7"/>
  <c r="V141" i="7"/>
  <c r="AM79" i="2"/>
  <c r="U92" i="7"/>
  <c r="V113" i="7"/>
  <c r="AM138" i="2"/>
  <c r="AM110" i="2"/>
  <c r="AM115" i="2"/>
  <c r="AM95" i="2"/>
  <c r="U68" i="7"/>
  <c r="U72" i="7"/>
  <c r="AM102" i="2"/>
  <c r="U122" i="7"/>
  <c r="V140" i="7"/>
  <c r="U134" i="7"/>
  <c r="U132" i="7"/>
  <c r="V126" i="7"/>
  <c r="U120" i="7"/>
  <c r="V108" i="7"/>
  <c r="U106" i="7"/>
  <c r="U95" i="7"/>
  <c r="U93" i="7"/>
  <c r="U23" i="7"/>
  <c r="AM119" i="2"/>
  <c r="U145" i="7"/>
  <c r="U88" i="7"/>
  <c r="AM10" i="2"/>
  <c r="AM67" i="2"/>
  <c r="V11" i="7"/>
  <c r="AC18" i="8"/>
  <c r="AY23" i="13"/>
  <c r="AY22" i="13"/>
  <c r="AM111" i="2"/>
  <c r="AM255" i="2"/>
  <c r="AM248" i="2"/>
  <c r="U247" i="7"/>
  <c r="AM243" i="2"/>
  <c r="AC242" i="8"/>
  <c r="U136" i="7"/>
  <c r="AM136" i="2"/>
  <c r="V131" i="7"/>
  <c r="AM130" i="2"/>
  <c r="V90" i="7"/>
  <c r="AC77" i="8"/>
  <c r="AZ74" i="6"/>
  <c r="AR21" i="5"/>
  <c r="AY33" i="13"/>
  <c r="AY12" i="13"/>
  <c r="AC80" i="8"/>
  <c r="AR143" i="5"/>
  <c r="AR141" i="5"/>
  <c r="AR125" i="5"/>
  <c r="AR107" i="5"/>
  <c r="AR93" i="5"/>
  <c r="AC94" i="8"/>
  <c r="AY36" i="13"/>
  <c r="AY35" i="13"/>
  <c r="AM71" i="2"/>
  <c r="AM78" i="2"/>
  <c r="AM88" i="2"/>
  <c r="AM91" i="2"/>
  <c r="AM92" i="2"/>
  <c r="AC97" i="8"/>
  <c r="AC96" i="8"/>
  <c r="AC246" i="8"/>
  <c r="AB146" i="10"/>
  <c r="AZ76" i="6"/>
  <c r="AR94" i="5"/>
  <c r="AR82" i="5"/>
  <c r="V84" i="7"/>
  <c r="AM258" i="2"/>
  <c r="AM105" i="2"/>
  <c r="AM22" i="2"/>
  <c r="AM20" i="2"/>
  <c r="AM18" i="2"/>
  <c r="AM222" i="2"/>
  <c r="AB22" i="10"/>
  <c r="AA22" i="8"/>
  <c r="AC22" i="8" s="1"/>
  <c r="AB143" i="10"/>
  <c r="AM118" i="2"/>
  <c r="AR109" i="5"/>
  <c r="AR108" i="5"/>
  <c r="AR103" i="5"/>
  <c r="AC234" i="8"/>
  <c r="AC233" i="8"/>
  <c r="AM225" i="2"/>
  <c r="AC261" i="8"/>
  <c r="AC258" i="8"/>
  <c r="AC257" i="8"/>
  <c r="AC256" i="8"/>
  <c r="AC254" i="8"/>
  <c r="AB251" i="10"/>
  <c r="AR241" i="5"/>
  <c r="AR239" i="5"/>
  <c r="AR238" i="5"/>
  <c r="AC231" i="8"/>
  <c r="AR230" i="5"/>
  <c r="AC230" i="8"/>
  <c r="AC228" i="8"/>
  <c r="AR224" i="5"/>
  <c r="AR222" i="5"/>
  <c r="AC222" i="8"/>
  <c r="AC27" i="8"/>
  <c r="AC25" i="8"/>
  <c r="AZ18" i="6"/>
  <c r="AB16" i="10"/>
  <c r="AC16" i="8"/>
  <c r="AR14" i="5"/>
  <c r="AR225" i="5"/>
  <c r="AR228" i="5"/>
  <c r="AR11" i="5"/>
  <c r="AY29" i="13"/>
  <c r="AM11" i="2"/>
  <c r="AY10" i="14"/>
  <c r="AY20" i="13"/>
  <c r="AY27" i="13"/>
  <c r="AY31" i="13"/>
  <c r="AY25" i="13"/>
  <c r="AY24" i="13"/>
  <c r="AY16" i="13"/>
  <c r="AY15" i="13"/>
  <c r="AY14" i="13"/>
  <c r="AZ71" i="6"/>
  <c r="AZ75" i="6"/>
  <c r="AR48" i="5"/>
  <c r="AR50" i="5"/>
  <c r="V60" i="7"/>
  <c r="AM84" i="2"/>
  <c r="AC135" i="8"/>
  <c r="AC137" i="8"/>
  <c r="AC235" i="8"/>
  <c r="AC136" i="8"/>
  <c r="AC138" i="8"/>
  <c r="W234" i="12"/>
  <c r="AY13" i="13"/>
  <c r="AY11" i="13"/>
  <c r="AY18" i="13"/>
  <c r="AY30" i="13"/>
  <c r="AY21" i="13"/>
  <c r="AY13" i="14"/>
  <c r="AY19" i="14"/>
  <c r="AY11" i="14"/>
  <c r="AY92" i="14"/>
  <c r="AY83" i="14"/>
  <c r="BM67" i="14"/>
  <c r="AY75" i="14"/>
  <c r="AY77" i="14"/>
  <c r="AY79" i="14"/>
  <c r="AY88" i="14"/>
  <c r="AY91" i="14"/>
  <c r="BM91" i="14"/>
  <c r="AM134" i="2"/>
  <c r="AM132" i="2"/>
  <c r="AM249" i="2"/>
  <c r="AM250" i="2"/>
  <c r="AM76" i="2"/>
  <c r="AM85" i="2"/>
  <c r="AM58" i="2"/>
  <c r="U58" i="7"/>
  <c r="V58" i="7"/>
  <c r="AC139" i="8"/>
  <c r="AC42" i="8"/>
  <c r="AC129" i="8"/>
  <c r="AC85" i="8"/>
  <c r="AC130" i="8"/>
  <c r="AC134" i="8"/>
  <c r="AC131" i="8"/>
  <c r="AY85" i="14"/>
  <c r="AY22" i="14"/>
  <c r="AY17" i="14"/>
  <c r="AY69" i="14"/>
  <c r="AY71" i="14"/>
  <c r="AY76" i="14"/>
  <c r="AY78" i="14"/>
  <c r="AY70" i="14"/>
  <c r="AY73" i="14"/>
  <c r="AY74" i="14"/>
  <c r="AY15" i="14"/>
  <c r="AY80" i="14"/>
  <c r="AZ13" i="6"/>
  <c r="AZ22" i="6"/>
  <c r="AZ82" i="6"/>
  <c r="AZ93" i="6"/>
  <c r="AY37" i="13"/>
  <c r="AY19" i="13"/>
  <c r="AY28" i="13"/>
  <c r="AY26" i="13"/>
  <c r="AY251" i="13"/>
  <c r="W69" i="12"/>
  <c r="W29" i="12"/>
  <c r="W36" i="12"/>
  <c r="W37" i="12"/>
  <c r="W66" i="12"/>
  <c r="W58" i="12"/>
  <c r="W86" i="12"/>
  <c r="W88" i="12"/>
  <c r="AR53" i="5"/>
  <c r="AR33" i="5"/>
  <c r="AR22" i="5"/>
  <c r="AR232" i="5"/>
  <c r="AR16" i="5"/>
  <c r="AR17" i="5"/>
  <c r="AR20" i="5"/>
  <c r="AR23" i="5"/>
  <c r="AR132" i="5"/>
  <c r="AR137" i="5"/>
  <c r="AR136" i="5"/>
  <c r="AR131" i="5"/>
  <c r="AR104" i="5"/>
  <c r="AR127" i="5"/>
  <c r="AM33" i="2"/>
  <c r="AM60" i="2"/>
  <c r="AM53" i="2"/>
  <c r="AM26" i="2"/>
  <c r="AM24" i="2"/>
  <c r="AM23" i="2"/>
  <c r="AM21" i="2"/>
  <c r="AM17" i="2"/>
  <c r="AM16" i="2"/>
  <c r="AM15" i="2"/>
  <c r="AM230" i="2"/>
  <c r="AM237" i="2"/>
  <c r="AM238" i="2"/>
  <c r="AM239" i="2"/>
  <c r="AM227" i="2"/>
  <c r="AM65" i="2"/>
  <c r="AM125" i="2"/>
  <c r="AM122" i="2"/>
  <c r="AM107" i="2"/>
  <c r="AM106" i="2"/>
  <c r="AM97" i="2"/>
  <c r="AM245" i="2"/>
  <c r="AM32" i="2"/>
  <c r="U77" i="3"/>
  <c r="U60" i="3"/>
  <c r="U63" i="3"/>
  <c r="U66" i="3"/>
  <c r="U69" i="3"/>
  <c r="AR40" i="5"/>
  <c r="U40" i="3"/>
  <c r="AR81" i="5"/>
  <c r="U81" i="3"/>
  <c r="U233" i="3"/>
  <c r="U32" i="3"/>
  <c r="U80" i="3"/>
  <c r="AR74" i="5"/>
  <c r="U74" i="3"/>
  <c r="AR80" i="5"/>
  <c r="AR110" i="5"/>
  <c r="AM77" i="2"/>
  <c r="V77" i="7"/>
  <c r="U77" i="7"/>
  <c r="V118" i="7"/>
  <c r="AM129" i="2"/>
  <c r="AM51" i="2"/>
  <c r="V51" i="7"/>
  <c r="U51" i="7"/>
  <c r="AM81" i="2"/>
  <c r="U81" i="7"/>
  <c r="V81" i="7"/>
  <c r="AM75" i="2"/>
  <c r="V75" i="7"/>
  <c r="U75" i="7"/>
  <c r="AM221" i="2"/>
  <c r="AM226" i="2"/>
  <c r="V40" i="7"/>
  <c r="V50" i="7"/>
  <c r="AM49" i="2"/>
  <c r="V49" i="7"/>
  <c r="U49" i="7"/>
  <c r="AM56" i="2"/>
  <c r="U56" i="7"/>
  <c r="V56" i="7"/>
  <c r="AM83" i="2"/>
  <c r="U83" i="7"/>
  <c r="V83" i="7"/>
  <c r="AM37" i="2"/>
  <c r="V37" i="7"/>
  <c r="U37" i="7"/>
  <c r="AM68" i="2"/>
  <c r="V69" i="7"/>
  <c r="U69" i="7"/>
  <c r="AM223" i="2"/>
  <c r="V246" i="7"/>
  <c r="AM50" i="2"/>
  <c r="AC47" i="8"/>
  <c r="AC24" i="8"/>
  <c r="AC20" i="8"/>
  <c r="AC229" i="8"/>
  <c r="AC66" i="8"/>
  <c r="AC211" i="8"/>
  <c r="AC213" i="8"/>
  <c r="AC212" i="8"/>
  <c r="AC81" i="8"/>
  <c r="AC60" i="8"/>
  <c r="AC39" i="8"/>
  <c r="AC88" i="8"/>
  <c r="AC46" i="8"/>
  <c r="AC70" i="8"/>
  <c r="AA70" i="9"/>
  <c r="AC74" i="8"/>
  <c r="AC38" i="8"/>
  <c r="AC110" i="8"/>
  <c r="AC114" i="8"/>
  <c r="AC116" i="8"/>
  <c r="AC120" i="8"/>
  <c r="AC122" i="8"/>
  <c r="AC107" i="8"/>
  <c r="AC141" i="8"/>
  <c r="AC143" i="8"/>
  <c r="AC145" i="8"/>
  <c r="AC147" i="8"/>
  <c r="AC202" i="8"/>
  <c r="AC208" i="8"/>
  <c r="AC210" i="8"/>
  <c r="AC215" i="8"/>
  <c r="AC217" i="8"/>
  <c r="AC219" i="8"/>
  <c r="AC221" i="8"/>
  <c r="AC224" i="8"/>
  <c r="AC226" i="8"/>
  <c r="AC238" i="8"/>
  <c r="AC240" i="8"/>
  <c r="AC244" i="8"/>
  <c r="AC248" i="8"/>
  <c r="AC250" i="8"/>
  <c r="AC252" i="8"/>
  <c r="AC89" i="8"/>
  <c r="AC109" i="8"/>
  <c r="AC111" i="8"/>
  <c r="AC119" i="8"/>
  <c r="AC121" i="8"/>
  <c r="AC124" i="8"/>
  <c r="AC140" i="8"/>
  <c r="AC142" i="8"/>
  <c r="AC203" i="8"/>
  <c r="AC201" i="8"/>
  <c r="AC216" i="8"/>
  <c r="AC218" i="8"/>
  <c r="AC220" i="8"/>
  <c r="AC223" i="8"/>
  <c r="AC225" i="8"/>
  <c r="AC214" i="8"/>
  <c r="AC227" i="8"/>
  <c r="AC247" i="8"/>
  <c r="AC245" i="8"/>
  <c r="AC249" i="8"/>
  <c r="AC251" i="8"/>
  <c r="AB37" i="10"/>
  <c r="AC41" i="8"/>
  <c r="AB41" i="10"/>
  <c r="AC48" i="8"/>
  <c r="AB48" i="10"/>
  <c r="AC50" i="8"/>
  <c r="AB50" i="10"/>
  <c r="AB52" i="10"/>
  <c r="AC54" i="8"/>
  <c r="AB54" i="10"/>
  <c r="AC29" i="8"/>
  <c r="AB29" i="10"/>
  <c r="AB36" i="10"/>
  <c r="AC45" i="8"/>
  <c r="AB45" i="10"/>
  <c r="AA72" i="8"/>
  <c r="AB72" i="10"/>
  <c r="AC36" i="8"/>
  <c r="AC117" i="8"/>
  <c r="AC200" i="8"/>
  <c r="AB28" i="10"/>
  <c r="AB33" i="10"/>
  <c r="AB35" i="10"/>
  <c r="AC56" i="8"/>
  <c r="AB69" i="10"/>
  <c r="AA71" i="8"/>
  <c r="AC71" i="8" s="1"/>
  <c r="AB71" i="10"/>
  <c r="AA76" i="8"/>
  <c r="AC76" i="8" s="1"/>
  <c r="AB76" i="10"/>
  <c r="AA78" i="8"/>
  <c r="AC78" i="8" s="1"/>
  <c r="AB78" i="10"/>
  <c r="AC59" i="8"/>
  <c r="AC61" i="8"/>
  <c r="AB79" i="10"/>
  <c r="AA79" i="8"/>
  <c r="AC79" i="8" s="1"/>
  <c r="AA91" i="8"/>
  <c r="AC91" i="8" s="1"/>
  <c r="AB91" i="10"/>
  <c r="AC12" i="8"/>
  <c r="AC69" i="8"/>
  <c r="AC239" i="8"/>
  <c r="AC13" i="8"/>
  <c r="AM25" i="2"/>
  <c r="AC236" i="8"/>
  <c r="AC146" i="8"/>
  <c r="AC144" i="8"/>
  <c r="BN69" i="6"/>
  <c r="AZ72" i="6"/>
  <c r="AZ81" i="6"/>
  <c r="AZ87" i="6"/>
  <c r="AZ91" i="6"/>
  <c r="AM133" i="2"/>
  <c r="AC133" i="8"/>
  <c r="AC132" i="8"/>
  <c r="AC128" i="8"/>
  <c r="U127" i="3"/>
  <c r="AR126" i="5"/>
  <c r="AM126" i="2"/>
  <c r="V127" i="7"/>
  <c r="U127" i="7"/>
  <c r="AC127" i="8"/>
  <c r="AC126" i="8"/>
  <c r="AC125" i="8"/>
  <c r="AC115" i="8"/>
  <c r="AC118" i="8"/>
  <c r="AY87" i="14"/>
  <c r="AC30" i="8"/>
  <c r="AC21" i="8"/>
  <c r="AC19" i="8"/>
  <c r="AM28" i="2"/>
  <c r="U28" i="7"/>
  <c r="AM39" i="2"/>
  <c r="V39" i="7"/>
  <c r="AM89" i="2"/>
  <c r="U89" i="7"/>
  <c r="AC11" i="8"/>
  <c r="AC31" i="8"/>
  <c r="AC37" i="8"/>
  <c r="AC40" i="8"/>
  <c r="AC58" i="8"/>
  <c r="AC75" i="8"/>
  <c r="AC83" i="8"/>
  <c r="AC92" i="8"/>
  <c r="AM40" i="2"/>
  <c r="AR60" i="5"/>
  <c r="AR62" i="5"/>
  <c r="AR65" i="5"/>
  <c r="BN37" i="14"/>
  <c r="AC62" i="8"/>
  <c r="V46" i="7"/>
  <c r="AC64" i="8"/>
  <c r="AC23" i="8"/>
  <c r="AC15" i="8"/>
  <c r="AC53" i="8"/>
  <c r="AC68" i="8"/>
  <c r="AC86" i="8"/>
  <c r="AC51" i="8"/>
  <c r="AC72" i="8" l="1"/>
  <c r="AR68" i="5"/>
  <c r="AR32" i="5"/>
  <c r="AR29" i="5"/>
  <c r="U29" i="3"/>
  <c r="AR79" i="5"/>
  <c r="U79" i="3"/>
  <c r="AR71" i="5"/>
  <c r="U72" i="3"/>
  <c r="AR69" i="5"/>
  <c r="U70" i="3"/>
  <c r="AR67" i="5"/>
  <c r="U68" i="3"/>
  <c r="AR63" i="5"/>
  <c r="U64" i="3"/>
  <c r="AR31" i="5"/>
  <c r="U31" i="3"/>
  <c r="AR28" i="5"/>
  <c r="U28" i="3"/>
  <c r="AR78" i="5"/>
  <c r="U78" i="3"/>
  <c r="AR70" i="5"/>
  <c r="U71" i="3"/>
  <c r="U85" i="3"/>
  <c r="U89" i="3"/>
  <c r="AR83" i="5"/>
  <c r="U83" i="3"/>
  <c r="AR41" i="5"/>
  <c r="U41" i="3"/>
  <c r="AR76" i="5"/>
  <c r="U76" i="3"/>
  <c r="AR56" i="5"/>
  <c r="U56" i="3"/>
  <c r="AR52" i="5"/>
  <c r="U52" i="3"/>
  <c r="U45" i="3"/>
  <c r="AR45" i="5"/>
  <c r="AR37" i="5"/>
  <c r="U37" i="3"/>
  <c r="AR35" i="5"/>
  <c r="U35" i="3"/>
  <c r="AR75" i="5"/>
  <c r="U75" i="3"/>
  <c r="U55" i="3"/>
  <c r="U51" i="3"/>
  <c r="AR51" i="5"/>
  <c r="AR39" i="5"/>
  <c r="U39" i="3"/>
  <c r="AR36" i="5"/>
  <c r="U36" i="3"/>
  <c r="AR34" i="5"/>
  <c r="U34" i="3"/>
  <c r="U91" i="3"/>
  <c r="AR91" i="5"/>
  <c r="AM55" i="2"/>
  <c r="V55" i="7"/>
  <c r="U55" i="7"/>
  <c r="AM52" i="2"/>
  <c r="V52" i="7"/>
  <c r="U52" i="7"/>
  <c r="AC28" i="8"/>
  <c r="AC33" i="8"/>
  <c r="AC57" i="8"/>
  <c r="AC55" i="8"/>
  <c r="AC52" i="8"/>
  <c r="AR38" i="5"/>
  <c r="U38" i="3"/>
  <c r="AB241" i="10"/>
  <c r="AA241" i="8" l="1"/>
  <c r="AC241" i="8" s="1"/>
  <c r="W34" i="8" l="1"/>
  <c r="W35" i="8" s="1"/>
  <c r="AC35" i="8" s="1"/>
  <c r="AC34" i="8" l="1"/>
</calcChain>
</file>

<file path=xl/sharedStrings.xml><?xml version="1.0" encoding="utf-8"?>
<sst xmlns="http://schemas.openxmlformats.org/spreadsheetml/2006/main" count="12398" uniqueCount="518">
  <si>
    <t>Assets</t>
  </si>
  <si>
    <t>Liabilities</t>
  </si>
  <si>
    <t>Net Assets</t>
  </si>
  <si>
    <t>Current</t>
  </si>
  <si>
    <t>Capital</t>
  </si>
  <si>
    <t>Deferred</t>
  </si>
  <si>
    <t>Total</t>
  </si>
  <si>
    <t>Invested in</t>
  </si>
  <si>
    <t>City</t>
  </si>
  <si>
    <t>County</t>
  </si>
  <si>
    <t>Restricted</t>
  </si>
  <si>
    <t>Unrestricted</t>
  </si>
  <si>
    <t>Akron</t>
  </si>
  <si>
    <t>Summit</t>
  </si>
  <si>
    <t>Alliance</t>
  </si>
  <si>
    <t>Stark</t>
  </si>
  <si>
    <t>Amherst</t>
  </si>
  <si>
    <t>Lorain</t>
  </si>
  <si>
    <t>Ashland</t>
  </si>
  <si>
    <t>Ashtabula</t>
  </si>
  <si>
    <t>Athens</t>
  </si>
  <si>
    <t>Aurora</t>
  </si>
  <si>
    <t>Portage</t>
  </si>
  <si>
    <t>Avon</t>
  </si>
  <si>
    <t>Avon Lake</t>
  </si>
  <si>
    <t>Barberton</t>
  </si>
  <si>
    <t>Bay Village</t>
  </si>
  <si>
    <t>Cuyahoga</t>
  </si>
  <si>
    <t>Beachwood</t>
  </si>
  <si>
    <t>Beavercreek</t>
  </si>
  <si>
    <t>Greene</t>
  </si>
  <si>
    <t>Bedford</t>
  </si>
  <si>
    <t>Bedford Heights</t>
  </si>
  <si>
    <t>Belmont</t>
  </si>
  <si>
    <t>Bellbrook</t>
  </si>
  <si>
    <t>Bellefontaine</t>
  </si>
  <si>
    <t>Logan</t>
  </si>
  <si>
    <t>Bellevue</t>
  </si>
  <si>
    <t>Huron</t>
  </si>
  <si>
    <t>Belpre</t>
  </si>
  <si>
    <t>Washington</t>
  </si>
  <si>
    <t>Berea</t>
  </si>
  <si>
    <t>Bexley</t>
  </si>
  <si>
    <t>Franklin</t>
  </si>
  <si>
    <t>Blue Ash</t>
  </si>
  <si>
    <t>Hamilton</t>
  </si>
  <si>
    <t>Bowling Green</t>
  </si>
  <si>
    <t>Wood</t>
  </si>
  <si>
    <t>Brecksville</t>
  </si>
  <si>
    <t>Broadview Heights</t>
  </si>
  <si>
    <t>Brook Park</t>
  </si>
  <si>
    <t>Brooklyn</t>
  </si>
  <si>
    <t>Brunswick</t>
  </si>
  <si>
    <t>Medina</t>
  </si>
  <si>
    <t>Bryan</t>
  </si>
  <si>
    <t>Williams</t>
  </si>
  <si>
    <t>Bucyrus</t>
  </si>
  <si>
    <t>Crawford</t>
  </si>
  <si>
    <t>Cambridge</t>
  </si>
  <si>
    <t>Guernsey</t>
  </si>
  <si>
    <t>Canfield</t>
  </si>
  <si>
    <t>Mahoning</t>
  </si>
  <si>
    <t>Canton</t>
  </si>
  <si>
    <t>Celina</t>
  </si>
  <si>
    <t>Mercer</t>
  </si>
  <si>
    <t>Centerville</t>
  </si>
  <si>
    <t>Montgomery</t>
  </si>
  <si>
    <t>Chardon</t>
  </si>
  <si>
    <t>Cheviot</t>
  </si>
  <si>
    <t>Chillicothe</t>
  </si>
  <si>
    <t>Ross</t>
  </si>
  <si>
    <t>Cincinnati</t>
  </si>
  <si>
    <t>Clayton</t>
  </si>
  <si>
    <t xml:space="preserve">Cleveland </t>
  </si>
  <si>
    <t>Cleveland Heights</t>
  </si>
  <si>
    <t>Clyde</t>
  </si>
  <si>
    <t>Sandusky</t>
  </si>
  <si>
    <t>Columbus</t>
  </si>
  <si>
    <t>Conneaut</t>
  </si>
  <si>
    <t>Cortland</t>
  </si>
  <si>
    <t>Trumbull</t>
  </si>
  <si>
    <t>Coshocton</t>
  </si>
  <si>
    <t>Cuyahoga Falls</t>
  </si>
  <si>
    <t>Dayton</t>
  </si>
  <si>
    <t>Deer Park</t>
  </si>
  <si>
    <t>Defiance</t>
  </si>
  <si>
    <t>Delaware</t>
  </si>
  <si>
    <t>Delphos</t>
  </si>
  <si>
    <t>Allen</t>
  </si>
  <si>
    <t>Tuscarawas</t>
  </si>
  <si>
    <t>Dublin</t>
  </si>
  <si>
    <t>Eastlake</t>
  </si>
  <si>
    <t>Lake</t>
  </si>
  <si>
    <t>East Liverpool</t>
  </si>
  <si>
    <t>Columbiana</t>
  </si>
  <si>
    <t>East Palestine</t>
  </si>
  <si>
    <t>Eaton</t>
  </si>
  <si>
    <t>Preble</t>
  </si>
  <si>
    <t>Elyria</t>
  </si>
  <si>
    <t>Englewood</t>
  </si>
  <si>
    <t>Euclid</t>
  </si>
  <si>
    <t>Fairborn</t>
  </si>
  <si>
    <t>Fairfield</t>
  </si>
  <si>
    <t>Butler</t>
  </si>
  <si>
    <t>Fairlawn</t>
  </si>
  <si>
    <t>Fairview Park</t>
  </si>
  <si>
    <t>Findlay</t>
  </si>
  <si>
    <t>Hancock</t>
  </si>
  <si>
    <t>Forest Park</t>
  </si>
  <si>
    <t>Fostoria</t>
  </si>
  <si>
    <t>Seneca</t>
  </si>
  <si>
    <t>Warren</t>
  </si>
  <si>
    <t>Fremont</t>
  </si>
  <si>
    <t>Gahanna</t>
  </si>
  <si>
    <t>Garfield Heights</t>
  </si>
  <si>
    <t>Geneva</t>
  </si>
  <si>
    <t>Girard</t>
  </si>
  <si>
    <t>Grandview Heights</t>
  </si>
  <si>
    <t>Green</t>
  </si>
  <si>
    <t>Highland</t>
  </si>
  <si>
    <t>Greenville</t>
  </si>
  <si>
    <t>Darke</t>
  </si>
  <si>
    <t>Grove City</t>
  </si>
  <si>
    <t>Harrison</t>
  </si>
  <si>
    <t>Heath</t>
  </si>
  <si>
    <t>Licking</t>
  </si>
  <si>
    <t>Highland Heights</t>
  </si>
  <si>
    <t>Hillard</t>
  </si>
  <si>
    <t>Hillsboro</t>
  </si>
  <si>
    <t>Hubbard</t>
  </si>
  <si>
    <t>Huber Heights</t>
  </si>
  <si>
    <t>Hudson</t>
  </si>
  <si>
    <t>Erie</t>
  </si>
  <si>
    <t>Independence</t>
  </si>
  <si>
    <t>Ironton</t>
  </si>
  <si>
    <t>Lawrence</t>
  </si>
  <si>
    <t>Jackson</t>
  </si>
  <si>
    <t>Kent</t>
  </si>
  <si>
    <t>Kenton</t>
  </si>
  <si>
    <t>Hardin</t>
  </si>
  <si>
    <t>Kettering</t>
  </si>
  <si>
    <t>Lakewood</t>
  </si>
  <si>
    <t>Lancaster</t>
  </si>
  <si>
    <t>Lebanon</t>
  </si>
  <si>
    <t>Lima</t>
  </si>
  <si>
    <t>Hocking</t>
  </si>
  <si>
    <t>London</t>
  </si>
  <si>
    <t>Madison</t>
  </si>
  <si>
    <t>Louisville</t>
  </si>
  <si>
    <t>Loveland</t>
  </si>
  <si>
    <t>Lyndhurst</t>
  </si>
  <si>
    <t>Macedonia</t>
  </si>
  <si>
    <t>Mansfield</t>
  </si>
  <si>
    <t>Richland</t>
  </si>
  <si>
    <t>Maple Heights</t>
  </si>
  <si>
    <t>Marietta</t>
  </si>
  <si>
    <t>Marion</t>
  </si>
  <si>
    <t>Martins Ferry</t>
  </si>
  <si>
    <t>Marysville</t>
  </si>
  <si>
    <t>Union</t>
  </si>
  <si>
    <t>Mason City</t>
  </si>
  <si>
    <t>Massillon</t>
  </si>
  <si>
    <t>Maumee</t>
  </si>
  <si>
    <t>Lucas</t>
  </si>
  <si>
    <t>Mayfield Heights</t>
  </si>
  <si>
    <t>Mentor</t>
  </si>
  <si>
    <t>Mentor-On-The-Lake</t>
  </si>
  <si>
    <t>Miamisburg</t>
  </si>
  <si>
    <t>Middleburg Hts</t>
  </si>
  <si>
    <t>Middletown</t>
  </si>
  <si>
    <t>Milford</t>
  </si>
  <si>
    <t>Clermont</t>
  </si>
  <si>
    <t>Monroe</t>
  </si>
  <si>
    <t>Moraine</t>
  </si>
  <si>
    <t>Mount Healthy</t>
  </si>
  <si>
    <t>Mount Vernon</t>
  </si>
  <si>
    <t>Knox</t>
  </si>
  <si>
    <t>Munroe Falls</t>
  </si>
  <si>
    <t>Napoleon</t>
  </si>
  <si>
    <t>Henry</t>
  </si>
  <si>
    <t>Nelsonville</t>
  </si>
  <si>
    <t>Newark</t>
  </si>
  <si>
    <t>New Carlisle</t>
  </si>
  <si>
    <t>Clark</t>
  </si>
  <si>
    <t>New Philadelphia</t>
  </si>
  <si>
    <t>Niles</t>
  </si>
  <si>
    <t>North Canton</t>
  </si>
  <si>
    <t>North Olmsted</t>
  </si>
  <si>
    <t>North Royalton</t>
  </si>
  <si>
    <t>North Ridegville</t>
  </si>
  <si>
    <t>Northwood</t>
  </si>
  <si>
    <t>Norton</t>
  </si>
  <si>
    <t>Norwalk</t>
  </si>
  <si>
    <t>Norwood</t>
  </si>
  <si>
    <t>Oakwood</t>
  </si>
  <si>
    <t>Oberlin</t>
  </si>
  <si>
    <t>Olmstead Falls</t>
  </si>
  <si>
    <t>Oregon</t>
  </si>
  <si>
    <t>Orrville</t>
  </si>
  <si>
    <t>Wayne</t>
  </si>
  <si>
    <t>Oxford</t>
  </si>
  <si>
    <t>Painesville</t>
  </si>
  <si>
    <t>Parma</t>
  </si>
  <si>
    <t>Parma Heights</t>
  </si>
  <si>
    <t>Pataskala</t>
  </si>
  <si>
    <t>Pepper Pike</t>
  </si>
  <si>
    <t>Perrysburg</t>
  </si>
  <si>
    <t>Pickerington</t>
  </si>
  <si>
    <t>Piqua</t>
  </si>
  <si>
    <t>Miami</t>
  </si>
  <si>
    <t>Port Clinton</t>
  </si>
  <si>
    <t>Ottawa</t>
  </si>
  <si>
    <t>Portsmouth</t>
  </si>
  <si>
    <t>Scioto</t>
  </si>
  <si>
    <t>Powell</t>
  </si>
  <si>
    <t>Ravenna</t>
  </si>
  <si>
    <t>Reading</t>
  </si>
  <si>
    <t>Reynoldsburg</t>
  </si>
  <si>
    <t>Richmond Heights</t>
  </si>
  <si>
    <t>Rittman</t>
  </si>
  <si>
    <t>Riverside</t>
  </si>
  <si>
    <t>Rocky River</t>
  </si>
  <si>
    <t>Rossford</t>
  </si>
  <si>
    <t>Salem</t>
  </si>
  <si>
    <t>Seven Hills</t>
  </si>
  <si>
    <t>Shaker Heights</t>
  </si>
  <si>
    <t>Sharonville</t>
  </si>
  <si>
    <t>Sheffield Lake</t>
  </si>
  <si>
    <t>Shelby</t>
  </si>
  <si>
    <t>Sidney</t>
  </si>
  <si>
    <t>Silverton</t>
  </si>
  <si>
    <t>Solon</t>
  </si>
  <si>
    <t>South Euclid</t>
  </si>
  <si>
    <t>Springboro</t>
  </si>
  <si>
    <t>Springdale</t>
  </si>
  <si>
    <t>Springfield</t>
  </si>
  <si>
    <t>St. Bernard</t>
  </si>
  <si>
    <t>St. Clairsville</t>
  </si>
  <si>
    <t>St. Marys</t>
  </si>
  <si>
    <t>Auglaize</t>
  </si>
  <si>
    <t>Stow</t>
  </si>
  <si>
    <t>Streetsboro</t>
  </si>
  <si>
    <t>Strongsville</t>
  </si>
  <si>
    <t>Sylvania</t>
  </si>
  <si>
    <t>Tallmadge</t>
  </si>
  <si>
    <t>Tiffin</t>
  </si>
  <si>
    <t>Tipp City</t>
  </si>
  <si>
    <t>Toledo</t>
  </si>
  <si>
    <t>Toronto</t>
  </si>
  <si>
    <t>Jefferson</t>
  </si>
  <si>
    <t>Trenton</t>
  </si>
  <si>
    <t>Trotwood</t>
  </si>
  <si>
    <t>Troy</t>
  </si>
  <si>
    <t>Twinsburg</t>
  </si>
  <si>
    <t>Uhrichsville</t>
  </si>
  <si>
    <t>University Heights</t>
  </si>
  <si>
    <t>Upper Arlington</t>
  </si>
  <si>
    <t>Upper Sandusky</t>
  </si>
  <si>
    <t>Wyandot</t>
  </si>
  <si>
    <t>Urbana</t>
  </si>
  <si>
    <t>Champaign</t>
  </si>
  <si>
    <t>Vandalia</t>
  </si>
  <si>
    <t>Vermilion</t>
  </si>
  <si>
    <t>Wadsworth</t>
  </si>
  <si>
    <t>Wapakoneta</t>
  </si>
  <si>
    <t>Warrensville Heights</t>
  </si>
  <si>
    <t>Wauseon</t>
  </si>
  <si>
    <t>Fulton</t>
  </si>
  <si>
    <t>Waverly</t>
  </si>
  <si>
    <t>Pike</t>
  </si>
  <si>
    <t>Wellston</t>
  </si>
  <si>
    <t>West Carrollton</t>
  </si>
  <si>
    <t>Westerville</t>
  </si>
  <si>
    <t>Westlake</t>
  </si>
  <si>
    <t>Whitehall</t>
  </si>
  <si>
    <t>Wickliffe</t>
  </si>
  <si>
    <t>Willard</t>
  </si>
  <si>
    <t>Willoughby</t>
  </si>
  <si>
    <t>Willoughby Hills</t>
  </si>
  <si>
    <t>Willowick</t>
  </si>
  <si>
    <t>Wilmington</t>
  </si>
  <si>
    <t>Clinton</t>
  </si>
  <si>
    <t>Wooster</t>
  </si>
  <si>
    <t>Worthington</t>
  </si>
  <si>
    <t>Wyoming</t>
  </si>
  <si>
    <t>Xenia</t>
  </si>
  <si>
    <t>Youngstown</t>
  </si>
  <si>
    <t>Zanesville</t>
  </si>
  <si>
    <t>Muskingum</t>
  </si>
  <si>
    <t>All Cities Reporting Under GAAP</t>
  </si>
  <si>
    <t>Capital Assets</t>
  </si>
  <si>
    <t>Program Revenues - Governmental Activities</t>
  </si>
  <si>
    <t>Charges for</t>
  </si>
  <si>
    <t>Property</t>
  </si>
  <si>
    <t>Other</t>
  </si>
  <si>
    <t>Investment</t>
  </si>
  <si>
    <t>General</t>
  </si>
  <si>
    <t>Services</t>
  </si>
  <si>
    <t>Grants</t>
  </si>
  <si>
    <t>Taxes</t>
  </si>
  <si>
    <t>Earnings</t>
  </si>
  <si>
    <t>Transfers</t>
  </si>
  <si>
    <t>Revenues</t>
  </si>
  <si>
    <t>Income</t>
  </si>
  <si>
    <t xml:space="preserve">Other </t>
  </si>
  <si>
    <t>Public</t>
  </si>
  <si>
    <t>Leisure</t>
  </si>
  <si>
    <t>Basic Utility</t>
  </si>
  <si>
    <t>Interest/</t>
  </si>
  <si>
    <t>Health</t>
  </si>
  <si>
    <t>Time</t>
  </si>
  <si>
    <t>Development</t>
  </si>
  <si>
    <t>Transportation</t>
  </si>
  <si>
    <t>Service</t>
  </si>
  <si>
    <t>Government</t>
  </si>
  <si>
    <t>1 Not broken out</t>
  </si>
  <si>
    <t>For the Year Ended December 31, 2002</t>
  </si>
  <si>
    <t>Reserved</t>
  </si>
  <si>
    <t>Unreserved/</t>
  </si>
  <si>
    <t>Cash and</t>
  </si>
  <si>
    <t>Fund</t>
  </si>
  <si>
    <t>Undesignated</t>
  </si>
  <si>
    <t>Investments</t>
  </si>
  <si>
    <t>Revenue</t>
  </si>
  <si>
    <t>Balance</t>
  </si>
  <si>
    <t>Fund Balance</t>
  </si>
  <si>
    <t>Income Tax</t>
  </si>
  <si>
    <t>Inter-</t>
  </si>
  <si>
    <t>Special</t>
  </si>
  <si>
    <t>Fees, Licenses</t>
  </si>
  <si>
    <t>All Other</t>
  </si>
  <si>
    <t>governmental</t>
  </si>
  <si>
    <t>Assessments</t>
  </si>
  <si>
    <t>Community</t>
  </si>
  <si>
    <t>Other Current</t>
  </si>
  <si>
    <t>Environment</t>
  </si>
  <si>
    <t>Activities</t>
  </si>
  <si>
    <t>Expenditures</t>
  </si>
  <si>
    <t>Outlay</t>
  </si>
  <si>
    <t>Principal</t>
  </si>
  <si>
    <t>Fiscal Charges</t>
  </si>
  <si>
    <t xml:space="preserve">Tiffin </t>
  </si>
  <si>
    <t>Cleveland</t>
  </si>
  <si>
    <t>Champgain</t>
  </si>
  <si>
    <t>Interest and</t>
  </si>
  <si>
    <t>Operating</t>
  </si>
  <si>
    <t>Champagin</t>
  </si>
  <si>
    <t>|</t>
  </si>
  <si>
    <t>Long-Term Obligations</t>
  </si>
  <si>
    <t>Property,</t>
  </si>
  <si>
    <t>Mortgage and</t>
  </si>
  <si>
    <t>Non-Current</t>
  </si>
  <si>
    <t>Long-Term</t>
  </si>
  <si>
    <t>Expenses Less</t>
  </si>
  <si>
    <t>Non-Operating</t>
  </si>
  <si>
    <t>Net Working</t>
  </si>
  <si>
    <t>Obligation</t>
  </si>
  <si>
    <t>Depreciation</t>
  </si>
  <si>
    <t>Income/Loss</t>
  </si>
  <si>
    <t>Transfers-In</t>
  </si>
  <si>
    <t>Transfers-Out</t>
  </si>
  <si>
    <t>Contributions</t>
  </si>
  <si>
    <t>Bonds</t>
  </si>
  <si>
    <t>Loans</t>
  </si>
  <si>
    <t>Obligations</t>
  </si>
  <si>
    <t xml:space="preserve">Mount Healthy </t>
  </si>
  <si>
    <t>No Notes, cant breakdown enterprise</t>
  </si>
  <si>
    <t>No breakdown avaiable</t>
  </si>
  <si>
    <t>Change in</t>
  </si>
  <si>
    <t>Champiagn</t>
  </si>
  <si>
    <t>Clintion</t>
  </si>
  <si>
    <t xml:space="preserve">No Segment information avaiable </t>
  </si>
  <si>
    <t>not broken out</t>
  </si>
  <si>
    <t>Revenues/</t>
  </si>
  <si>
    <t>Expenses</t>
  </si>
  <si>
    <t>Geauga</t>
  </si>
  <si>
    <t>All</t>
  </si>
  <si>
    <t>Assessment</t>
  </si>
  <si>
    <t>Notes</t>
  </si>
  <si>
    <t>Compensated</t>
  </si>
  <si>
    <t>Payables</t>
  </si>
  <si>
    <t>Payable</t>
  </si>
  <si>
    <t>Leases</t>
  </si>
  <si>
    <t>Absences</t>
  </si>
  <si>
    <t>Revenues from the Statement of Activities</t>
  </si>
  <si>
    <t>Expenses from the Statement of Activities</t>
  </si>
  <si>
    <t>Ontario</t>
  </si>
  <si>
    <t>General Fund Revenues - Modified Accrual Basis of Accounting</t>
  </si>
  <si>
    <t>General Fund Expenditures - Modified Accrual Basis of Accounting</t>
  </si>
  <si>
    <t>Governmental Fund Expenditures - Modified Accrual Basis of Accounting</t>
  </si>
  <si>
    <t xml:space="preserve">Summary Data from the Governmental Fund Balance Sheet </t>
  </si>
  <si>
    <t>Water Enterprise Fund</t>
  </si>
  <si>
    <t>Sewer Enterprise Fund</t>
  </si>
  <si>
    <t>Electric Enterprise Fund</t>
  </si>
  <si>
    <t xml:space="preserve">Dover </t>
  </si>
  <si>
    <t>Dover</t>
  </si>
  <si>
    <t xml:space="preserve">Security of </t>
  </si>
  <si>
    <t xml:space="preserve"> Property</t>
  </si>
  <si>
    <t>Persons and</t>
  </si>
  <si>
    <t>Operating Grants</t>
  </si>
  <si>
    <t>and Interest</t>
  </si>
  <si>
    <t>and Fines</t>
  </si>
  <si>
    <t xml:space="preserve">Ontario </t>
  </si>
  <si>
    <t>1 information not available</t>
  </si>
  <si>
    <t>1 not broken out</t>
  </si>
  <si>
    <t>No Segment information provided</t>
  </si>
  <si>
    <t>No breakdown aviable</t>
  </si>
  <si>
    <t>1 Not enough info to determine</t>
  </si>
  <si>
    <t>1 Loans not broken out</t>
  </si>
  <si>
    <t>Information missing from segment info to calculate</t>
  </si>
  <si>
    <t>Information not available</t>
  </si>
  <si>
    <t>Additions to</t>
  </si>
  <si>
    <t>Deletions from</t>
  </si>
  <si>
    <t>Plant and</t>
  </si>
  <si>
    <t>Revenue/Expense</t>
  </si>
  <si>
    <t>Equipment</t>
  </si>
  <si>
    <t>Summary Data from the General Fund Balance Sheet</t>
  </si>
  <si>
    <t xml:space="preserve">Total </t>
  </si>
  <si>
    <t>General Fund</t>
  </si>
  <si>
    <t xml:space="preserve">Plant and </t>
  </si>
  <si>
    <t xml:space="preserve">                                              Expenses - Governmental Activities</t>
  </si>
  <si>
    <t>General Long-Term Obligations</t>
  </si>
  <si>
    <t xml:space="preserve">Persons and </t>
  </si>
  <si>
    <t>Taxes (1)</t>
  </si>
  <si>
    <t>Summary Data from the Statement of Net Assets - Governmental Activities</t>
  </si>
  <si>
    <t>Total General</t>
  </si>
  <si>
    <t>Total All</t>
  </si>
  <si>
    <t>Net</t>
  </si>
  <si>
    <t>Balanced</t>
  </si>
  <si>
    <t>=0</t>
  </si>
  <si>
    <t xml:space="preserve">  =0</t>
  </si>
  <si>
    <t>Inventory</t>
  </si>
  <si>
    <t>Other Financing</t>
  </si>
  <si>
    <t>Uses</t>
  </si>
  <si>
    <t>Financing</t>
  </si>
  <si>
    <t>Sources</t>
  </si>
  <si>
    <t>If = 0</t>
  </si>
  <si>
    <t>Designated</t>
  </si>
  <si>
    <t>Than One Year</t>
  </si>
  <si>
    <t>In/(Out)</t>
  </si>
  <si>
    <t xml:space="preserve">Due </t>
  </si>
  <si>
    <t>Within</t>
  </si>
  <si>
    <t>1 Year</t>
  </si>
  <si>
    <t>Items</t>
  </si>
  <si>
    <t>Revenues,</t>
  </si>
  <si>
    <t>Transfers and</t>
  </si>
  <si>
    <t>Special Items</t>
  </si>
  <si>
    <t xml:space="preserve">Special </t>
  </si>
  <si>
    <t>Due in More</t>
  </si>
  <si>
    <t xml:space="preserve">  </t>
  </si>
  <si>
    <t>.</t>
  </si>
  <si>
    <t>Fayette</t>
  </si>
  <si>
    <t>at Beginning</t>
  </si>
  <si>
    <t>of Year</t>
  </si>
  <si>
    <t>Increase/Decrease</t>
  </si>
  <si>
    <t>in Reserve for</t>
  </si>
  <si>
    <t xml:space="preserve">in Prepaids </t>
  </si>
  <si>
    <t xml:space="preserve">and/or Reserve </t>
  </si>
  <si>
    <t>for Inventory</t>
  </si>
  <si>
    <t>Assets at</t>
  </si>
  <si>
    <t>End of Year</t>
  </si>
  <si>
    <t xml:space="preserve"> </t>
  </si>
  <si>
    <t>Brookville</t>
  </si>
  <si>
    <t>Circleville</t>
  </si>
  <si>
    <t>Pickaway</t>
  </si>
  <si>
    <t>Crestline</t>
  </si>
  <si>
    <t xml:space="preserve">Bedford Heights </t>
  </si>
  <si>
    <t xml:space="preserve">Aurora </t>
  </si>
  <si>
    <t xml:space="preserve">Franklin </t>
  </si>
  <si>
    <t xml:space="preserve">Celina </t>
  </si>
  <si>
    <t xml:space="preserve">            General Revenues     - Governmental Activities</t>
  </si>
  <si>
    <t>(1) May include income and other taxes if not presented separately</t>
  </si>
  <si>
    <t>Summary Data from the Statement of Net Assets</t>
  </si>
  <si>
    <t>Summary Data from the Statement of Revenues, Expenses, and Changes in Net Assets</t>
  </si>
  <si>
    <t>Other Non-</t>
  </si>
  <si>
    <t>Current Assets</t>
  </si>
  <si>
    <t>Canal Fulton</t>
  </si>
  <si>
    <t>Indian Hill</t>
  </si>
  <si>
    <t>Kirtland</t>
  </si>
  <si>
    <t xml:space="preserve">Kirtland </t>
  </si>
  <si>
    <t>Kirkland</t>
  </si>
  <si>
    <t>Madeira</t>
  </si>
  <si>
    <t>Indian Hills</t>
  </si>
  <si>
    <t xml:space="preserve">Indian Hills </t>
  </si>
  <si>
    <t>(Continued)</t>
  </si>
  <si>
    <t>Carlisle</t>
  </si>
  <si>
    <t>Steubenville</t>
  </si>
  <si>
    <t>New Franklin</t>
  </si>
  <si>
    <t>East Cleveland</t>
  </si>
  <si>
    <t>Galion</t>
  </si>
  <si>
    <t xml:space="preserve">Galion </t>
  </si>
  <si>
    <t>Kenton - Cash Basis</t>
  </si>
  <si>
    <t>Olmsted Falls</t>
  </si>
  <si>
    <t>Governmental Fund Revenues - Modified Accrual Basis of Accounting</t>
  </si>
  <si>
    <t xml:space="preserve">Water Enterprise Fund </t>
  </si>
  <si>
    <t>Sanitantion Enterprise Fund</t>
  </si>
  <si>
    <t>Sanitation Enterprise Fund</t>
  </si>
  <si>
    <t>Assigned</t>
  </si>
  <si>
    <t>Unassigned</t>
  </si>
  <si>
    <t>60 day extension</t>
  </si>
  <si>
    <t>As of December 31, 2011</t>
  </si>
  <si>
    <t>For the Year Ended December 31, 2011</t>
  </si>
  <si>
    <t>Draft doesn't balance and audited report isn't on AOS website.</t>
  </si>
  <si>
    <t xml:space="preserve">LTD doesn't tie </t>
  </si>
  <si>
    <t>Canal Winchester</t>
  </si>
  <si>
    <t>Didn't File A Report</t>
  </si>
  <si>
    <t>Due in more than one year doesn't tie to LTD note</t>
  </si>
  <si>
    <t>Groveport</t>
  </si>
  <si>
    <t>New Albany</t>
  </si>
  <si>
    <t>Filed under Village in 2011</t>
  </si>
  <si>
    <t>Rounded in the notes</t>
  </si>
  <si>
    <t>City of Indian Hill</t>
  </si>
  <si>
    <t>Village of Indian Hill</t>
  </si>
  <si>
    <t>Audited Report doesn't balance</t>
  </si>
  <si>
    <t>Washington Court House</t>
  </si>
  <si>
    <t>Waterville</t>
  </si>
  <si>
    <t>Washington Court Hosue</t>
  </si>
  <si>
    <t>LTD doesn't 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</si>
</sst>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0_);\(0\)"/>
  </numFmts>
  <fonts count="10" x14ac:knownFonts="1">
    <font>
      <sz val="10"/>
      <name val="Arial"/>
    </font>
    <font>
      <sz val="10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4">
    <xf numFmtId="0" fontId="0" fillId="0" borderId="0" applyProtection="0"/>
    <xf numFmtId="43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</cellStyleXfs>
  <cellXfs count="160">
    <xf numFmtId="0" fontId="0" fillId="0" borderId="0" xfId="0"/>
    <xf numFmtId="37" fontId="2" fillId="0" borderId="0" xfId="0" applyNumberFormat="1" applyFont="1"/>
    <xf numFmtId="37" fontId="3" fillId="0" borderId="0" xfId="0" applyNumberFormat="1" applyFont="1"/>
    <xf numFmtId="37" fontId="3" fillId="0" borderId="0" xfId="0" applyNumberFormat="1" applyFont="1" applyAlignment="1">
      <alignment horizontal="center"/>
    </xf>
    <xf numFmtId="37" fontId="3" fillId="0" borderId="1" xfId="0" applyNumberFormat="1" applyFont="1" applyBorder="1" applyAlignment="1">
      <alignment horizontal="centerContinuous"/>
    </xf>
    <xf numFmtId="37" fontId="3" fillId="0" borderId="0" xfId="0" applyNumberFormat="1" applyFont="1" applyBorder="1"/>
    <xf numFmtId="37" fontId="3" fillId="0" borderId="0" xfId="0" applyNumberFormat="1" applyFont="1" applyBorder="1" applyAlignment="1">
      <alignment horizontal="center"/>
    </xf>
    <xf numFmtId="37" fontId="3" fillId="0" borderId="1" xfId="0" applyNumberFormat="1" applyFont="1" applyFill="1" applyBorder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3" fontId="3" fillId="0" borderId="0" xfId="0" applyNumberFormat="1" applyFont="1" applyBorder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3" fillId="0" borderId="0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" fontId="3" fillId="0" borderId="0" xfId="0" applyNumberFormat="1" applyFont="1"/>
    <xf numFmtId="0" fontId="3" fillId="0" borderId="0" xfId="0" applyFont="1" applyFill="1" applyBorder="1" applyAlignment="1">
      <alignment horizontal="center"/>
    </xf>
    <xf numFmtId="0" fontId="3" fillId="0" borderId="0" xfId="0" applyFont="1" applyBorder="1"/>
    <xf numFmtId="37" fontId="2" fillId="0" borderId="0" xfId="0" applyNumberFormat="1" applyFont="1" applyBorder="1" applyAlignment="1"/>
    <xf numFmtId="37" fontId="3" fillId="0" borderId="0" xfId="2" applyNumberFormat="1" applyFont="1" applyBorder="1" applyAlignment="1">
      <alignment horizontal="right"/>
    </xf>
    <xf numFmtId="37" fontId="2" fillId="0" borderId="0" xfId="0" applyNumberFormat="1" applyFont="1" applyBorder="1"/>
    <xf numFmtId="3" fontId="2" fillId="0" borderId="0" xfId="0" applyNumberFormat="1" applyFont="1" applyBorder="1" applyAlignment="1">
      <alignment horizontal="left"/>
    </xf>
    <xf numFmtId="3" fontId="2" fillId="0" borderId="0" xfId="0" applyNumberFormat="1" applyFont="1" applyBorder="1"/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3" fillId="0" borderId="0" xfId="0" applyFont="1" applyFill="1" applyBorder="1"/>
    <xf numFmtId="37" fontId="2" fillId="0" borderId="0" xfId="0" applyNumberFormat="1" applyFont="1" applyBorder="1" applyAlignment="1">
      <alignment horizontal="left"/>
    </xf>
    <xf numFmtId="3" fontId="3" fillId="0" borderId="0" xfId="0" applyNumberFormat="1" applyFont="1" applyAlignment="1">
      <alignment horizontal="center"/>
    </xf>
    <xf numFmtId="3" fontId="2" fillId="0" borderId="0" xfId="0" applyNumberFormat="1" applyFont="1"/>
    <xf numFmtId="37" fontId="3" fillId="0" borderId="0" xfId="0" applyNumberFormat="1" applyFont="1" applyAlignment="1">
      <alignment horizontal="right"/>
    </xf>
    <xf numFmtId="37" fontId="2" fillId="0" borderId="0" xfId="0" applyNumberFormat="1" applyFont="1" applyBorder="1" applyAlignment="1">
      <alignment horizontal="center"/>
    </xf>
    <xf numFmtId="37" fontId="3" fillId="0" borderId="1" xfId="0" applyNumberFormat="1" applyFont="1" applyFill="1" applyBorder="1" applyAlignment="1">
      <alignment horizontal="centerContinuous"/>
    </xf>
    <xf numFmtId="37" fontId="3" fillId="0" borderId="0" xfId="0" applyNumberFormat="1" applyFont="1" applyFill="1" applyBorder="1"/>
    <xf numFmtId="37" fontId="3" fillId="0" borderId="0" xfId="2" applyNumberFormat="1" applyFont="1" applyBorder="1"/>
    <xf numFmtId="37" fontId="3" fillId="0" borderId="0" xfId="0" applyNumberFormat="1" applyFont="1" applyBorder="1" applyAlignment="1">
      <alignment horizontal="right"/>
    </xf>
    <xf numFmtId="37" fontId="2" fillId="0" borderId="0" xfId="2" applyNumberFormat="1" applyFont="1" applyBorder="1" applyAlignment="1">
      <alignment horizontal="centerContinuous"/>
    </xf>
    <xf numFmtId="37" fontId="2" fillId="0" borderId="0" xfId="2" applyNumberFormat="1" applyFont="1" applyBorder="1"/>
    <xf numFmtId="37" fontId="3" fillId="0" borderId="0" xfId="2" applyNumberFormat="1" applyFont="1" applyBorder="1" applyAlignment="1">
      <alignment horizontal="left"/>
    </xf>
    <xf numFmtId="37" fontId="3" fillId="0" borderId="0" xfId="2" applyNumberFormat="1" applyFont="1" applyBorder="1" applyAlignment="1">
      <alignment horizontal="center"/>
    </xf>
    <xf numFmtId="37" fontId="2" fillId="0" borderId="0" xfId="2" applyNumberFormat="1" applyFont="1" applyBorder="1" applyAlignment="1">
      <alignment horizontal="left"/>
    </xf>
    <xf numFmtId="3" fontId="2" fillId="0" borderId="0" xfId="2" applyFont="1" applyBorder="1" applyAlignment="1">
      <alignment horizontal="left"/>
    </xf>
    <xf numFmtId="37" fontId="3" fillId="0" borderId="0" xfId="0" applyNumberFormat="1" applyFont="1" applyFill="1"/>
    <xf numFmtId="37" fontId="3" fillId="0" borderId="0" xfId="2" applyNumberFormat="1" applyFont="1" applyFill="1" applyBorder="1" applyAlignment="1">
      <alignment horizontal="right"/>
    </xf>
    <xf numFmtId="5" fontId="3" fillId="0" borderId="0" xfId="0" applyNumberFormat="1" applyFont="1" applyFill="1"/>
    <xf numFmtId="0" fontId="3" fillId="0" borderId="0" xfId="0" applyFont="1" applyFill="1"/>
    <xf numFmtId="37" fontId="3" fillId="0" borderId="0" xfId="0" applyNumberFormat="1" applyFont="1" applyFill="1" applyAlignment="1">
      <alignment horizontal="right"/>
    </xf>
    <xf numFmtId="3" fontId="3" fillId="0" borderId="0" xfId="0" applyNumberFormat="1" applyFont="1" applyFill="1"/>
    <xf numFmtId="3" fontId="3" fillId="0" borderId="0" xfId="0" applyNumberFormat="1" applyFont="1" applyFill="1" applyBorder="1"/>
    <xf numFmtId="0" fontId="0" fillId="0" borderId="0" xfId="0" applyFill="1"/>
    <xf numFmtId="3" fontId="3" fillId="0" borderId="0" xfId="2" applyNumberFormat="1" applyFont="1" applyFill="1" applyBorder="1"/>
    <xf numFmtId="37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 applyBorder="1" applyAlignment="1">
      <alignment horizontal="center"/>
    </xf>
    <xf numFmtId="37" fontId="3" fillId="0" borderId="0" xfId="2" applyNumberFormat="1" applyFont="1" applyFill="1" applyBorder="1"/>
    <xf numFmtId="0" fontId="3" fillId="0" borderId="0" xfId="0" applyFont="1" applyBorder="1" applyAlignment="1"/>
    <xf numFmtId="37" fontId="0" fillId="0" borderId="0" xfId="0" applyNumberFormat="1"/>
    <xf numFmtId="3" fontId="2" fillId="2" borderId="0" xfId="0" applyNumberFormat="1" applyFont="1" applyFill="1" applyBorder="1"/>
    <xf numFmtId="3" fontId="3" fillId="2" borderId="0" xfId="0" applyNumberFormat="1" applyFont="1" applyFill="1" applyBorder="1"/>
    <xf numFmtId="3" fontId="3" fillId="2" borderId="0" xfId="0" applyNumberFormat="1" applyFont="1" applyFill="1"/>
    <xf numFmtId="37" fontId="3" fillId="2" borderId="0" xfId="0" applyNumberFormat="1" applyFont="1" applyFill="1" applyBorder="1"/>
    <xf numFmtId="37" fontId="2" fillId="2" borderId="0" xfId="0" applyNumberFormat="1" applyFont="1" applyFill="1" applyBorder="1"/>
    <xf numFmtId="37" fontId="3" fillId="2" borderId="0" xfId="0" applyNumberFormat="1" applyFont="1" applyFill="1" applyBorder="1" applyAlignment="1">
      <alignment horizontal="center"/>
    </xf>
    <xf numFmtId="5" fontId="3" fillId="0" borderId="0" xfId="0" applyNumberFormat="1" applyFont="1" applyFill="1" applyBorder="1"/>
    <xf numFmtId="37" fontId="0" fillId="0" borderId="0" xfId="0" applyNumberFormat="1" applyFill="1"/>
    <xf numFmtId="5" fontId="0" fillId="0" borderId="0" xfId="0" applyNumberFormat="1" applyFill="1"/>
    <xf numFmtId="37" fontId="3" fillId="0" borderId="0" xfId="0" applyNumberFormat="1" applyFont="1" applyBorder="1" applyAlignment="1"/>
    <xf numFmtId="5" fontId="3" fillId="0" borderId="0" xfId="0" applyNumberFormat="1" applyFont="1" applyFill="1" applyAlignment="1">
      <alignment horizontal="right"/>
    </xf>
    <xf numFmtId="37" fontId="5" fillId="0" borderId="0" xfId="0" applyNumberFormat="1" applyFont="1"/>
    <xf numFmtId="37" fontId="2" fillId="0" borderId="0" xfId="0" applyNumberFormat="1" applyFont="1" applyAlignment="1"/>
    <xf numFmtId="37" fontId="0" fillId="0" borderId="0" xfId="0" applyNumberFormat="1" applyAlignment="1">
      <alignment horizontal="center"/>
    </xf>
    <xf numFmtId="0" fontId="3" fillId="0" borderId="1" xfId="0" applyFont="1" applyBorder="1" applyAlignment="1"/>
    <xf numFmtId="37" fontId="2" fillId="0" borderId="0" xfId="0" applyNumberFormat="1" applyFont="1" applyBorder="1" applyAlignment="1">
      <alignment horizontal="right"/>
    </xf>
    <xf numFmtId="37" fontId="2" fillId="0" borderId="0" xfId="0" applyNumberFormat="1" applyFont="1" applyFill="1" applyBorder="1" applyAlignment="1">
      <alignment horizontal="left"/>
    </xf>
    <xf numFmtId="37" fontId="2" fillId="0" borderId="0" xfId="0" applyNumberFormat="1" applyFont="1" applyFill="1" applyBorder="1"/>
    <xf numFmtId="3" fontId="2" fillId="0" borderId="0" xfId="2" applyFont="1" applyFill="1" applyBorder="1" applyAlignment="1">
      <alignment horizontal="left"/>
    </xf>
    <xf numFmtId="37" fontId="3" fillId="0" borderId="0" xfId="0" applyNumberFormat="1" applyFont="1" applyFill="1" applyBorder="1" applyAlignment="1">
      <alignment horizontal="centerContinuous"/>
    </xf>
    <xf numFmtId="37" fontId="3" fillId="0" borderId="2" xfId="0" applyNumberFormat="1" applyFont="1" applyFill="1" applyBorder="1" applyAlignment="1">
      <alignment horizontal="center"/>
    </xf>
    <xf numFmtId="5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/>
    <xf numFmtId="37" fontId="3" fillId="0" borderId="0" xfId="0" applyNumberFormat="1" applyFont="1" applyFill="1" applyAlignment="1">
      <alignment horizontal="center"/>
    </xf>
    <xf numFmtId="37" fontId="2" fillId="0" borderId="0" xfId="2" applyNumberFormat="1" applyFont="1" applyBorder="1" applyAlignment="1"/>
    <xf numFmtId="37" fontId="3" fillId="0" borderId="0" xfId="2" applyNumberFormat="1" applyFont="1" applyBorder="1" applyAlignment="1"/>
    <xf numFmtId="37" fontId="3" fillId="0" borderId="0" xfId="2" applyNumberFormat="1" applyFont="1" applyFill="1" applyBorder="1" applyAlignment="1"/>
    <xf numFmtId="37" fontId="2" fillId="0" borderId="0" xfId="2" applyNumberFormat="1" applyFont="1" applyFill="1" applyBorder="1"/>
    <xf numFmtId="37" fontId="2" fillId="0" borderId="0" xfId="2" applyNumberFormat="1" applyFont="1" applyFill="1" applyBorder="1" applyAlignment="1">
      <alignment horizontal="centerContinuous"/>
    </xf>
    <xf numFmtId="37" fontId="3" fillId="0" borderId="0" xfId="2" applyNumberFormat="1" applyFont="1" applyFill="1" applyBorder="1" applyAlignment="1">
      <alignment horizontal="left"/>
    </xf>
    <xf numFmtId="37" fontId="2" fillId="0" borderId="0" xfId="2" applyNumberFormat="1" applyFont="1" applyFill="1" applyBorder="1" applyAlignment="1">
      <alignment horizontal="left"/>
    </xf>
    <xf numFmtId="37" fontId="3" fillId="0" borderId="0" xfId="2" applyNumberFormat="1" applyFont="1" applyFill="1" applyBorder="1" applyAlignment="1">
      <alignment horizontal="center"/>
    </xf>
    <xf numFmtId="5" fontId="3" fillId="0" borderId="0" xfId="2" applyNumberFormat="1" applyFont="1" applyFill="1" applyBorder="1"/>
    <xf numFmtId="5" fontId="2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/>
    <xf numFmtId="5" fontId="3" fillId="0" borderId="0" xfId="2" applyNumberFormat="1" applyFont="1" applyFill="1" applyBorder="1" applyAlignment="1">
      <alignment horizontal="right"/>
    </xf>
    <xf numFmtId="5" fontId="3" fillId="0" borderId="0" xfId="2" applyNumberFormat="1" applyFont="1" applyFill="1" applyBorder="1" applyAlignment="1"/>
    <xf numFmtId="0" fontId="6" fillId="0" borderId="0" xfId="0" applyFont="1" applyFill="1"/>
    <xf numFmtId="0" fontId="3" fillId="0" borderId="0" xfId="0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3" fontId="3" fillId="0" borderId="1" xfId="0" quotePrefix="1" applyNumberFormat="1" applyFont="1" applyFill="1" applyBorder="1" applyAlignment="1">
      <alignment horizontal="center"/>
    </xf>
    <xf numFmtId="0" fontId="3" fillId="0" borderId="1" xfId="0" quotePrefix="1" applyFont="1" applyFill="1" applyBorder="1" applyAlignment="1">
      <alignment horizontal="center"/>
    </xf>
    <xf numFmtId="164" fontId="3" fillId="0" borderId="0" xfId="1" applyNumberFormat="1" applyFont="1" applyFill="1"/>
    <xf numFmtId="37" fontId="3" fillId="0" borderId="0" xfId="0" quotePrefix="1" applyNumberFormat="1" applyFont="1" applyFill="1" applyAlignment="1">
      <alignment horizontal="center"/>
    </xf>
    <xf numFmtId="37" fontId="3" fillId="0" borderId="1" xfId="2" applyNumberFormat="1" applyFont="1" applyFill="1" applyBorder="1" applyAlignment="1">
      <alignment horizontal="center"/>
    </xf>
    <xf numFmtId="37" fontId="0" fillId="0" borderId="0" xfId="0" applyNumberFormat="1" applyFill="1" applyAlignment="1">
      <alignment horizontal="center"/>
    </xf>
    <xf numFmtId="37" fontId="6" fillId="0" borderId="0" xfId="0" applyNumberFormat="1" applyFont="1" applyFill="1"/>
    <xf numFmtId="37" fontId="7" fillId="0" borderId="0" xfId="0" applyNumberFormat="1" applyFont="1" applyFill="1"/>
    <xf numFmtId="0" fontId="8" fillId="0" borderId="0" xfId="0" applyFont="1"/>
    <xf numFmtId="3" fontId="9" fillId="0" borderId="0" xfId="0" applyNumberFormat="1" applyFont="1"/>
    <xf numFmtId="0" fontId="9" fillId="0" borderId="0" xfId="0" applyFont="1"/>
    <xf numFmtId="37" fontId="9" fillId="0" borderId="0" xfId="0" applyNumberFormat="1" applyFont="1"/>
    <xf numFmtId="37" fontId="9" fillId="0" borderId="0" xfId="0" applyNumberFormat="1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5" fontId="9" fillId="0" borderId="0" xfId="0" applyNumberFormat="1" applyFont="1" applyFill="1"/>
    <xf numFmtId="37" fontId="9" fillId="0" borderId="0" xfId="0" applyNumberFormat="1" applyFont="1" applyFill="1"/>
    <xf numFmtId="3" fontId="9" fillId="0" borderId="0" xfId="0" applyNumberFormat="1" applyFont="1" applyFill="1"/>
    <xf numFmtId="37" fontId="9" fillId="0" borderId="0" xfId="0" applyNumberFormat="1" applyFont="1" applyFill="1" applyAlignment="1">
      <alignment horizontal="right"/>
    </xf>
    <xf numFmtId="37" fontId="3" fillId="3" borderId="0" xfId="0" applyNumberFormat="1" applyFont="1" applyFill="1"/>
    <xf numFmtId="0" fontId="3" fillId="3" borderId="0" xfId="0" applyFont="1" applyFill="1"/>
    <xf numFmtId="5" fontId="3" fillId="3" borderId="0" xfId="0" applyNumberFormat="1" applyFont="1" applyFill="1"/>
    <xf numFmtId="0" fontId="0" fillId="3" borderId="0" xfId="0" applyFill="1"/>
    <xf numFmtId="37" fontId="0" fillId="3" borderId="0" xfId="0" applyNumberFormat="1" applyFill="1"/>
    <xf numFmtId="37" fontId="3" fillId="3" borderId="0" xfId="0" applyNumberFormat="1" applyFont="1" applyFill="1" applyBorder="1"/>
    <xf numFmtId="37" fontId="3" fillId="3" borderId="0" xfId="2" applyNumberFormat="1" applyFont="1" applyFill="1" applyBorder="1" applyAlignment="1">
      <alignment horizontal="right"/>
    </xf>
    <xf numFmtId="5" fontId="3" fillId="3" borderId="0" xfId="2" applyNumberFormat="1" applyFont="1" applyFill="1" applyBorder="1" applyAlignment="1">
      <alignment horizontal="right"/>
    </xf>
    <xf numFmtId="3" fontId="3" fillId="3" borderId="0" xfId="0" applyNumberFormat="1" applyFont="1" applyFill="1"/>
    <xf numFmtId="37" fontId="3" fillId="3" borderId="0" xfId="0" applyNumberFormat="1" applyFont="1" applyFill="1" applyAlignment="1">
      <alignment horizontal="right"/>
    </xf>
    <xf numFmtId="5" fontId="3" fillId="3" borderId="0" xfId="2" applyNumberFormat="1" applyFont="1" applyFill="1" applyBorder="1"/>
    <xf numFmtId="3" fontId="3" fillId="3" borderId="0" xfId="2" applyNumberFormat="1" applyFont="1" applyFill="1" applyBorder="1"/>
    <xf numFmtId="3" fontId="3" fillId="3" borderId="0" xfId="0" applyNumberFormat="1" applyFont="1" applyFill="1" applyBorder="1"/>
    <xf numFmtId="0" fontId="9" fillId="3" borderId="0" xfId="0" applyFont="1" applyFill="1"/>
    <xf numFmtId="5" fontId="3" fillId="3" borderId="0" xfId="0" applyNumberFormat="1" applyFont="1" applyFill="1" applyBorder="1" applyAlignment="1">
      <alignment horizontal="right"/>
    </xf>
    <xf numFmtId="5" fontId="0" fillId="3" borderId="0" xfId="0" applyNumberFormat="1" applyFill="1"/>
    <xf numFmtId="37" fontId="3" fillId="3" borderId="0" xfId="0" applyNumberFormat="1" applyFont="1" applyFill="1" applyBorder="1" applyAlignment="1">
      <alignment horizontal="right"/>
    </xf>
    <xf numFmtId="5" fontId="2" fillId="3" borderId="0" xfId="0" applyNumberFormat="1" applyFont="1" applyFill="1" applyBorder="1" applyAlignment="1">
      <alignment horizontal="center"/>
    </xf>
    <xf numFmtId="37" fontId="2" fillId="3" borderId="0" xfId="0" applyNumberFormat="1" applyFont="1" applyFill="1" applyBorder="1" applyAlignment="1">
      <alignment horizontal="center"/>
    </xf>
    <xf numFmtId="37" fontId="3" fillId="3" borderId="0" xfId="2" applyNumberFormat="1" applyFont="1" applyFill="1" applyBorder="1"/>
    <xf numFmtId="37" fontId="3" fillId="3" borderId="0" xfId="2" applyNumberFormat="1" applyFont="1" applyFill="1" applyBorder="1" applyAlignment="1"/>
    <xf numFmtId="37" fontId="3" fillId="3" borderId="0" xfId="3" applyNumberFormat="1" applyFont="1" applyFill="1" applyBorder="1"/>
    <xf numFmtId="37" fontId="3" fillId="0" borderId="0" xfId="0" applyNumberFormat="1" applyFont="1" applyFill="1" applyProtection="1"/>
    <xf numFmtId="37" fontId="3" fillId="0" borderId="1" xfId="0" applyNumberFormat="1" applyFont="1" applyFill="1" applyBorder="1" applyAlignment="1">
      <alignment horizontal="center"/>
    </xf>
    <xf numFmtId="37" fontId="3" fillId="0" borderId="0" xfId="2" applyNumberFormat="1" applyFont="1" applyFill="1" applyBorder="1" applyAlignment="1">
      <alignment horizontal="right" vertical="center"/>
    </xf>
    <xf numFmtId="0" fontId="1" fillId="0" borderId="0" xfId="0" applyFont="1"/>
    <xf numFmtId="37" fontId="1" fillId="0" borderId="0" xfId="0" applyNumberFormat="1" applyFont="1" applyFill="1"/>
    <xf numFmtId="37" fontId="3" fillId="0" borderId="1" xfId="0" applyNumberFormat="1" applyFont="1" applyFill="1" applyBorder="1" applyAlignment="1">
      <alignment horizontal="center"/>
    </xf>
    <xf numFmtId="37" fontId="3" fillId="3" borderId="0" xfId="0" applyNumberFormat="1" applyFont="1" applyFill="1" applyProtection="1"/>
    <xf numFmtId="0" fontId="3" fillId="3" borderId="0" xfId="0" applyFont="1" applyFill="1" applyBorder="1"/>
    <xf numFmtId="5" fontId="3" fillId="3" borderId="0" xfId="0" applyNumberFormat="1" applyFont="1" applyFill="1" applyBorder="1"/>
    <xf numFmtId="165" fontId="3" fillId="0" borderId="0" xfId="0" applyNumberFormat="1" applyFont="1" applyFill="1"/>
    <xf numFmtId="165" fontId="0" fillId="0" borderId="0" xfId="0" applyNumberFormat="1" applyFill="1"/>
    <xf numFmtId="5" fontId="3" fillId="0" borderId="0" xfId="0" applyNumberFormat="1" applyFont="1" applyFill="1" applyProtection="1"/>
    <xf numFmtId="5" fontId="9" fillId="3" borderId="0" xfId="0" applyNumberFormat="1" applyFont="1" applyFill="1"/>
    <xf numFmtId="37" fontId="3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37" fontId="3" fillId="0" borderId="0" xfId="0" applyNumberFormat="1" applyFont="1" applyFill="1" applyAlignment="1">
      <alignment horizontal="center"/>
    </xf>
    <xf numFmtId="37" fontId="3" fillId="0" borderId="1" xfId="0" applyNumberFormat="1" applyFont="1" applyBorder="1" applyAlignment="1">
      <alignment horizontal="center"/>
    </xf>
  </cellXfs>
  <cellStyles count="4">
    <cellStyle name="Comma" xfId="1" builtinId="3"/>
    <cellStyle name="Comma0" xfId="2"/>
    <cellStyle name="Currency0" xf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62"/>
  <sheetViews>
    <sheetView tabSelected="1" view="pageBreakPreview" zoomScale="80" zoomScaleNormal="100" zoomScaleSheetLayoutView="80" workbookViewId="0">
      <pane xSplit="3" ySplit="8" topLeftCell="D220" activePane="bottomRight" state="frozen"/>
      <selection pane="topRight" activeCell="D1" sqref="D1"/>
      <selection pane="bottomLeft" activeCell="A11" sqref="A11"/>
      <selection pane="bottomRight" activeCell="E220" sqref="E220"/>
    </sheetView>
  </sheetViews>
  <sheetFormatPr defaultColWidth="9.140625" defaultRowHeight="12.75" customHeight="1" x14ac:dyDescent="0.2"/>
  <cols>
    <col min="1" max="1" width="21" style="44" customWidth="1"/>
    <col min="2" max="2" width="1.7109375" style="47" customWidth="1"/>
    <col min="3" max="3" width="12" style="44" customWidth="1"/>
    <col min="4" max="4" width="1.7109375" style="47" customWidth="1"/>
    <col min="5" max="5" width="14.28515625" style="44" bestFit="1" customWidth="1"/>
    <col min="6" max="6" width="1.7109375" style="44" customWidth="1"/>
    <col min="7" max="7" width="13.140625" style="44" bestFit="1" customWidth="1"/>
    <col min="8" max="8" width="1.7109375" style="44" customWidth="1"/>
    <col min="9" max="9" width="13.140625" style="44" bestFit="1" customWidth="1"/>
    <col min="10" max="10" width="1.7109375" style="44" customWidth="1"/>
    <col min="11" max="11" width="14.28515625" style="44" bestFit="1" customWidth="1"/>
    <col min="12" max="12" width="1.7109375" style="44" customWidth="1"/>
    <col min="13" max="13" width="12.85546875" style="44" bestFit="1" customWidth="1"/>
    <col min="14" max="14" width="1.7109375" style="44" customWidth="1"/>
    <col min="15" max="15" width="13.7109375" style="44" bestFit="1" customWidth="1"/>
    <col min="16" max="16" width="1.7109375" style="44" customWidth="1"/>
    <col min="17" max="17" width="13.7109375" style="44" bestFit="1" customWidth="1"/>
    <col min="18" max="18" width="2.7109375" style="44" customWidth="1"/>
    <col min="19" max="19" width="13.5703125" style="44" bestFit="1" customWidth="1"/>
    <col min="20" max="20" width="1.7109375" style="44" customWidth="1"/>
    <col min="21" max="21" width="12.42578125" style="44" bestFit="1" customWidth="1"/>
    <col min="22" max="22" width="1.7109375" style="44" customWidth="1"/>
    <col min="23" max="23" width="12.7109375" style="44" bestFit="1" customWidth="1"/>
    <col min="24" max="24" width="1.7109375" style="44" customWidth="1"/>
    <col min="25" max="25" width="13.7109375" style="44" bestFit="1" customWidth="1"/>
    <col min="26" max="26" width="2.7109375" style="44" customWidth="1"/>
    <col min="27" max="27" width="2.7109375" style="44" hidden="1" customWidth="1"/>
    <col min="28" max="28" width="12.7109375" style="44" customWidth="1"/>
    <col min="29" max="29" width="16.42578125" style="44" customWidth="1"/>
    <col min="30" max="30" width="10.140625" style="44" bestFit="1" customWidth="1"/>
    <col min="31" max="33" width="9.42578125" style="44" bestFit="1" customWidth="1"/>
    <col min="34" max="34" width="10.140625" style="44" bestFit="1" customWidth="1"/>
    <col min="35" max="16384" width="9.140625" style="44"/>
  </cols>
  <sheetData>
    <row r="1" spans="1:29" ht="12.75" customHeight="1" x14ac:dyDescent="0.2">
      <c r="A1" s="80" t="s">
        <v>424</v>
      </c>
    </row>
    <row r="2" spans="1:29" ht="12.75" customHeight="1" x14ac:dyDescent="0.2">
      <c r="A2" s="80" t="s">
        <v>500</v>
      </c>
    </row>
    <row r="3" spans="1:29" ht="12.75" customHeight="1" x14ac:dyDescent="0.2">
      <c r="A3" s="80" t="s">
        <v>289</v>
      </c>
    </row>
    <row r="4" spans="1:29" ht="12.75" customHeight="1" x14ac:dyDescent="0.2">
      <c r="A4" s="80" t="s">
        <v>484</v>
      </c>
    </row>
    <row r="6" spans="1:29" ht="12.75" customHeight="1" x14ac:dyDescent="0.2">
      <c r="A6" s="80"/>
      <c r="E6" s="156" t="s">
        <v>0</v>
      </c>
      <c r="F6" s="156"/>
      <c r="G6" s="156"/>
      <c r="H6" s="156"/>
      <c r="I6" s="156"/>
      <c r="J6" s="77"/>
      <c r="K6" s="77"/>
      <c r="M6" s="156" t="s">
        <v>1</v>
      </c>
      <c r="N6" s="156"/>
      <c r="O6" s="156"/>
      <c r="P6" s="77"/>
      <c r="Q6" s="77"/>
      <c r="S6" s="156" t="s">
        <v>2</v>
      </c>
      <c r="T6" s="156"/>
      <c r="U6" s="156"/>
      <c r="V6" s="156"/>
      <c r="W6" s="156"/>
      <c r="X6" s="77"/>
      <c r="Y6" s="77"/>
    </row>
    <row r="7" spans="1:29" ht="12.75" customHeight="1" x14ac:dyDescent="0.2">
      <c r="A7" s="35"/>
      <c r="C7" s="35"/>
      <c r="E7" s="81" t="s">
        <v>3</v>
      </c>
      <c r="F7" s="81"/>
      <c r="G7" s="81" t="s">
        <v>4</v>
      </c>
      <c r="H7" s="81"/>
      <c r="I7" s="81" t="s">
        <v>474</v>
      </c>
      <c r="J7" s="81"/>
      <c r="K7" s="81" t="s">
        <v>6</v>
      </c>
      <c r="M7" s="81" t="s">
        <v>3</v>
      </c>
      <c r="N7" s="8"/>
      <c r="O7" s="81" t="s">
        <v>448</v>
      </c>
      <c r="P7" s="81"/>
      <c r="Q7" s="81" t="s">
        <v>6</v>
      </c>
      <c r="S7" s="8" t="s">
        <v>7</v>
      </c>
      <c r="T7" s="8"/>
      <c r="U7" s="8"/>
      <c r="V7" s="8"/>
      <c r="W7" s="8"/>
      <c r="X7" s="8"/>
      <c r="Y7" s="81" t="s">
        <v>6</v>
      </c>
      <c r="AB7" s="81" t="s">
        <v>428</v>
      </c>
    </row>
    <row r="8" spans="1:29" ht="12.75" customHeight="1" x14ac:dyDescent="0.2">
      <c r="A8" s="78" t="s">
        <v>8</v>
      </c>
      <c r="C8" s="78" t="s">
        <v>9</v>
      </c>
      <c r="E8" s="7" t="s">
        <v>0</v>
      </c>
      <c r="F8" s="8"/>
      <c r="G8" s="7" t="s">
        <v>0</v>
      </c>
      <c r="H8" s="8"/>
      <c r="I8" s="7" t="s">
        <v>475</v>
      </c>
      <c r="J8" s="8"/>
      <c r="K8" s="7" t="s">
        <v>0</v>
      </c>
      <c r="M8" s="7" t="s">
        <v>1</v>
      </c>
      <c r="N8" s="8"/>
      <c r="O8" s="7" t="s">
        <v>438</v>
      </c>
      <c r="P8" s="8"/>
      <c r="Q8" s="7" t="s">
        <v>1</v>
      </c>
      <c r="S8" s="7" t="s">
        <v>290</v>
      </c>
      <c r="T8" s="8"/>
      <c r="U8" s="7" t="s">
        <v>10</v>
      </c>
      <c r="V8" s="8"/>
      <c r="W8" s="7" t="s">
        <v>11</v>
      </c>
      <c r="X8" s="8"/>
      <c r="Y8" s="7" t="s">
        <v>2</v>
      </c>
      <c r="AB8" s="81" t="s">
        <v>436</v>
      </c>
    </row>
    <row r="9" spans="1:29" ht="12.75" customHeight="1" x14ac:dyDescent="0.2">
      <c r="A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Q9" s="8"/>
      <c r="S9" s="8"/>
      <c r="T9" s="8"/>
      <c r="U9" s="8"/>
      <c r="V9" s="8"/>
      <c r="W9" s="8"/>
      <c r="X9" s="8"/>
      <c r="Y9" s="8"/>
    </row>
    <row r="10" spans="1:29" s="46" customFormat="1" ht="12.75" hidden="1" customHeight="1" x14ac:dyDescent="0.2">
      <c r="A10" s="46" t="s">
        <v>12</v>
      </c>
      <c r="C10" s="46" t="s">
        <v>13</v>
      </c>
      <c r="E10" s="46">
        <f>+K10-G10-I10</f>
        <v>220965173</v>
      </c>
      <c r="G10" s="46">
        <f>247866168+725626857</f>
        <v>973493025</v>
      </c>
      <c r="I10" s="46">
        <f>1120582958-G10</f>
        <v>147089933</v>
      </c>
      <c r="K10" s="46">
        <v>1341548131</v>
      </c>
      <c r="M10" s="46">
        <f t="shared" ref="M10:M11" si="0">+Q10-O10</f>
        <v>240134713</v>
      </c>
      <c r="O10" s="46">
        <v>732216639</v>
      </c>
      <c r="Q10" s="46">
        <v>972351352</v>
      </c>
      <c r="S10" s="46">
        <v>336791218</v>
      </c>
      <c r="U10" s="46">
        <v>64060427</v>
      </c>
      <c r="W10" s="46">
        <v>-31654866</v>
      </c>
      <c r="Y10" s="46">
        <f>S10+U10+W10</f>
        <v>369196779</v>
      </c>
      <c r="AB10" s="46">
        <f t="shared" ref="AB10:AB73" si="1">+K10-Q10-Y10</f>
        <v>0</v>
      </c>
      <c r="AC10" s="44" t="s">
        <v>506</v>
      </c>
    </row>
    <row r="11" spans="1:29" s="46" customFormat="1" ht="12.75" customHeight="1" x14ac:dyDescent="0.2">
      <c r="A11" s="46" t="s">
        <v>14</v>
      </c>
      <c r="C11" s="46" t="s">
        <v>15</v>
      </c>
      <c r="E11" s="46">
        <f t="shared" ref="E11" si="2">+K11-G11-I11</f>
        <v>16635787</v>
      </c>
      <c r="G11" s="46">
        <f>3930752+16537762</f>
        <v>20468514</v>
      </c>
      <c r="I11" s="46">
        <v>0</v>
      </c>
      <c r="K11" s="46">
        <v>37104301</v>
      </c>
      <c r="M11" s="46">
        <f t="shared" si="0"/>
        <v>3184667</v>
      </c>
      <c r="O11" s="46">
        <v>3279563</v>
      </c>
      <c r="Q11" s="46">
        <v>6464230</v>
      </c>
      <c r="S11" s="46">
        <v>19233554</v>
      </c>
      <c r="U11" s="46">
        <f>30640071-S11-W11</f>
        <v>6058176</v>
      </c>
      <c r="W11" s="46">
        <v>5348341</v>
      </c>
      <c r="Y11" s="46">
        <f>S11+U11+W11</f>
        <v>30640071</v>
      </c>
      <c r="AB11" s="46">
        <f t="shared" si="1"/>
        <v>0</v>
      </c>
      <c r="AC11" s="44"/>
    </row>
    <row r="12" spans="1:29" ht="12.75" customHeight="1" x14ac:dyDescent="0.2">
      <c r="A12" s="44" t="s">
        <v>16</v>
      </c>
      <c r="C12" s="44" t="s">
        <v>17</v>
      </c>
      <c r="E12" s="143">
        <f t="shared" ref="E12:E70" si="3">+K12-G12-I12</f>
        <v>13345987</v>
      </c>
      <c r="G12" s="44">
        <f>1398148+22574352</f>
        <v>23972500</v>
      </c>
      <c r="I12" s="44">
        <v>0</v>
      </c>
      <c r="K12" s="44">
        <v>37318487</v>
      </c>
      <c r="M12" s="44">
        <f t="shared" ref="M12:M70" si="4">+Q12-O12</f>
        <v>2515879</v>
      </c>
      <c r="O12" s="44">
        <v>3289687</v>
      </c>
      <c r="Q12" s="44">
        <v>5805566</v>
      </c>
      <c r="S12" s="44">
        <v>21005542</v>
      </c>
      <c r="U12" s="44">
        <f>31512921-2751516-21005542</f>
        <v>7755863</v>
      </c>
      <c r="W12" s="44">
        <v>2751516</v>
      </c>
      <c r="Y12" s="44">
        <f t="shared" ref="Y12:Y70" si="5">S12+U12+W12</f>
        <v>31512921</v>
      </c>
      <c r="AB12" s="44">
        <f>+K12-Q12-Y12</f>
        <v>0</v>
      </c>
    </row>
    <row r="13" spans="1:29" ht="12.75" customHeight="1" x14ac:dyDescent="0.2">
      <c r="A13" s="44" t="s">
        <v>18</v>
      </c>
      <c r="C13" s="44" t="s">
        <v>18</v>
      </c>
      <c r="E13" s="143">
        <f t="shared" si="3"/>
        <v>10464413</v>
      </c>
      <c r="G13" s="44">
        <f>7227218+13036828</f>
        <v>20264046</v>
      </c>
      <c r="I13" s="44">
        <v>30289</v>
      </c>
      <c r="K13" s="44">
        <v>30758748</v>
      </c>
      <c r="M13" s="44">
        <f t="shared" si="4"/>
        <v>2290622</v>
      </c>
      <c r="O13" s="44">
        <v>3124208</v>
      </c>
      <c r="Q13" s="44">
        <v>5414830</v>
      </c>
      <c r="S13" s="44">
        <v>17429633</v>
      </c>
      <c r="U13" s="44">
        <f>25343918-2667214-17429633</f>
        <v>5247071</v>
      </c>
      <c r="W13" s="44">
        <v>2667214</v>
      </c>
      <c r="Y13" s="44">
        <f t="shared" si="5"/>
        <v>25343918</v>
      </c>
      <c r="AB13" s="44">
        <f t="shared" si="1"/>
        <v>0</v>
      </c>
    </row>
    <row r="14" spans="1:29" s="121" customFormat="1" ht="12.75" hidden="1" customHeight="1" x14ac:dyDescent="0.2">
      <c r="A14" s="121" t="s">
        <v>19</v>
      </c>
      <c r="B14" s="122"/>
      <c r="C14" s="121" t="s">
        <v>19</v>
      </c>
      <c r="D14" s="122"/>
      <c r="E14" s="149">
        <f t="shared" si="3"/>
        <v>8111813</v>
      </c>
      <c r="G14" s="121">
        <f>2196062+22181185</f>
        <v>24377247</v>
      </c>
      <c r="I14" s="121">
        <v>0</v>
      </c>
      <c r="K14" s="121">
        <v>32489060</v>
      </c>
      <c r="M14" s="121">
        <f t="shared" si="4"/>
        <v>3215544</v>
      </c>
      <c r="O14" s="121">
        <v>1917475</v>
      </c>
      <c r="Q14" s="121">
        <v>5133019</v>
      </c>
      <c r="S14" s="121">
        <v>23809314</v>
      </c>
      <c r="U14" s="121">
        <f>27249172-23809314-805772</f>
        <v>2634086</v>
      </c>
      <c r="W14" s="121">
        <v>805772</v>
      </c>
      <c r="Y14" s="121">
        <f t="shared" si="5"/>
        <v>27249172</v>
      </c>
      <c r="AB14" s="121">
        <f>+K14-Q14-Y14</f>
        <v>106869</v>
      </c>
      <c r="AC14" s="121" t="s">
        <v>502</v>
      </c>
    </row>
    <row r="15" spans="1:29" ht="12.75" customHeight="1" x14ac:dyDescent="0.2">
      <c r="A15" s="44" t="s">
        <v>20</v>
      </c>
      <c r="C15" s="44" t="s">
        <v>20</v>
      </c>
      <c r="E15" s="143">
        <f t="shared" si="3"/>
        <v>10223385</v>
      </c>
      <c r="G15" s="44">
        <f>46820337+21893924</f>
        <v>68714261</v>
      </c>
      <c r="I15" s="44">
        <v>42029</v>
      </c>
      <c r="K15" s="44">
        <v>78979675</v>
      </c>
      <c r="M15" s="44">
        <f t="shared" si="4"/>
        <v>4674216</v>
      </c>
      <c r="O15" s="44">
        <v>2357344</v>
      </c>
      <c r="Q15" s="44">
        <v>7031560</v>
      </c>
      <c r="S15" s="44">
        <v>64931419</v>
      </c>
      <c r="U15" s="44">
        <f>71948115-64931419-1523671</f>
        <v>5493025</v>
      </c>
      <c r="W15" s="44">
        <v>1523671</v>
      </c>
      <c r="Y15" s="44">
        <f t="shared" si="5"/>
        <v>71948115</v>
      </c>
      <c r="AB15" s="44">
        <f t="shared" si="1"/>
        <v>0</v>
      </c>
    </row>
    <row r="16" spans="1:29" ht="12.75" customHeight="1" x14ac:dyDescent="0.2">
      <c r="A16" s="44" t="s">
        <v>467</v>
      </c>
      <c r="C16" s="44" t="s">
        <v>22</v>
      </c>
      <c r="E16" s="143">
        <f t="shared" si="3"/>
        <v>23341453</v>
      </c>
      <c r="G16" s="44">
        <f>41252962+29861283</f>
        <v>71114245</v>
      </c>
      <c r="I16" s="44">
        <v>39713</v>
      </c>
      <c r="K16" s="44">
        <v>94495411</v>
      </c>
      <c r="M16" s="44">
        <f t="shared" si="4"/>
        <v>5566447</v>
      </c>
      <c r="O16" s="44">
        <v>9085195</v>
      </c>
      <c r="Q16" s="44">
        <v>14651642</v>
      </c>
      <c r="S16" s="44">
        <v>62239111</v>
      </c>
      <c r="U16" s="44">
        <f>79843769-62239111-13009897</f>
        <v>4594761</v>
      </c>
      <c r="W16" s="44">
        <v>13009897</v>
      </c>
      <c r="Y16" s="44">
        <f t="shared" si="5"/>
        <v>79843769</v>
      </c>
      <c r="AB16" s="44">
        <f t="shared" si="1"/>
        <v>0</v>
      </c>
    </row>
    <row r="17" spans="1:28" ht="12.75" customHeight="1" x14ac:dyDescent="0.2">
      <c r="A17" s="44" t="s">
        <v>23</v>
      </c>
      <c r="C17" s="44" t="s">
        <v>17</v>
      </c>
      <c r="E17" s="143">
        <f t="shared" si="3"/>
        <v>36587995</v>
      </c>
      <c r="G17" s="44">
        <f>5433221+92714507</f>
        <v>98147728</v>
      </c>
      <c r="I17" s="44">
        <v>162366</v>
      </c>
      <c r="K17" s="44">
        <v>134898089</v>
      </c>
      <c r="M17" s="44">
        <f t="shared" si="4"/>
        <v>38690862</v>
      </c>
      <c r="O17" s="44">
        <v>49947717</v>
      </c>
      <c r="Q17" s="44">
        <v>88638579</v>
      </c>
      <c r="S17" s="44">
        <v>48907059</v>
      </c>
      <c r="U17" s="44">
        <f>46259510+8747905-48907059</f>
        <v>6100356</v>
      </c>
      <c r="W17" s="44">
        <v>-8747905</v>
      </c>
      <c r="Y17" s="44">
        <f t="shared" si="5"/>
        <v>46259510</v>
      </c>
      <c r="AB17" s="44">
        <f t="shared" si="1"/>
        <v>0</v>
      </c>
    </row>
    <row r="18" spans="1:28" s="121" customFormat="1" ht="12.75" customHeight="1" x14ac:dyDescent="0.2">
      <c r="A18" s="44" t="s">
        <v>24</v>
      </c>
      <c r="B18" s="47"/>
      <c r="C18" s="44" t="s">
        <v>17</v>
      </c>
      <c r="D18" s="47"/>
      <c r="E18" s="143">
        <f t="shared" ref="E18" si="6">+K18-G18-I18</f>
        <v>23238369</v>
      </c>
      <c r="F18" s="44"/>
      <c r="G18" s="44">
        <f>6274751+52607162</f>
        <v>58881913</v>
      </c>
      <c r="H18" s="44"/>
      <c r="I18" s="44">
        <v>79128</v>
      </c>
      <c r="J18" s="44"/>
      <c r="K18" s="44">
        <v>82199410</v>
      </c>
      <c r="L18" s="44"/>
      <c r="M18" s="44">
        <f t="shared" ref="M18" si="7">+Q18-O18</f>
        <v>8051762</v>
      </c>
      <c r="N18" s="44"/>
      <c r="O18" s="44">
        <v>12971435</v>
      </c>
      <c r="P18" s="44"/>
      <c r="Q18" s="44">
        <v>21023197</v>
      </c>
      <c r="R18" s="44"/>
      <c r="S18" s="44">
        <v>46558254</v>
      </c>
      <c r="T18" s="44"/>
      <c r="U18" s="44">
        <f>61176213-6860542-46558254</f>
        <v>7757417</v>
      </c>
      <c r="V18" s="44"/>
      <c r="W18" s="44">
        <v>6860542</v>
      </c>
      <c r="X18" s="44"/>
      <c r="Y18" s="44">
        <f t="shared" ref="Y18" si="8">S18+U18+W18</f>
        <v>61176213</v>
      </c>
      <c r="AB18" s="121">
        <f t="shared" si="1"/>
        <v>0</v>
      </c>
    </row>
    <row r="19" spans="1:28" ht="12.75" customHeight="1" x14ac:dyDescent="0.2">
      <c r="A19" s="44" t="s">
        <v>25</v>
      </c>
      <c r="C19" s="44" t="s">
        <v>13</v>
      </c>
      <c r="E19" s="143">
        <f t="shared" si="3"/>
        <v>13959780</v>
      </c>
      <c r="G19" s="44">
        <f>7741325+16655201</f>
        <v>24396526</v>
      </c>
      <c r="I19" s="44">
        <v>93464</v>
      </c>
      <c r="K19" s="44">
        <v>38449770</v>
      </c>
      <c r="M19" s="44">
        <f t="shared" si="4"/>
        <v>5195915</v>
      </c>
      <c r="O19" s="44">
        <v>5839909</v>
      </c>
      <c r="Q19" s="44">
        <v>11035824</v>
      </c>
      <c r="S19" s="44">
        <v>19893756</v>
      </c>
      <c r="U19" s="44">
        <f>27413946-19893756-4662644</f>
        <v>2857546</v>
      </c>
      <c r="W19" s="44">
        <v>4662644</v>
      </c>
      <c r="Y19" s="44">
        <f t="shared" si="5"/>
        <v>27413946</v>
      </c>
      <c r="AB19" s="44">
        <f t="shared" si="1"/>
        <v>0</v>
      </c>
    </row>
    <row r="20" spans="1:28" ht="12.75" customHeight="1" x14ac:dyDescent="0.2">
      <c r="A20" s="44" t="s">
        <v>26</v>
      </c>
      <c r="C20" s="44" t="s">
        <v>27</v>
      </c>
      <c r="E20" s="143">
        <f t="shared" si="3"/>
        <v>21899138</v>
      </c>
      <c r="G20" s="44">
        <v>22326392</v>
      </c>
      <c r="I20" s="44">
        <v>105973</v>
      </c>
      <c r="K20" s="44">
        <v>44331503</v>
      </c>
      <c r="M20" s="44">
        <f t="shared" si="4"/>
        <v>9841595</v>
      </c>
      <c r="O20" s="44">
        <v>8267435</v>
      </c>
      <c r="Q20" s="44">
        <v>18109030</v>
      </c>
      <c r="S20" s="44">
        <v>13773765</v>
      </c>
      <c r="U20" s="44">
        <f>26222473-12004797-13773765</f>
        <v>443911</v>
      </c>
      <c r="W20" s="44">
        <v>12004797</v>
      </c>
      <c r="Y20" s="44">
        <f t="shared" si="5"/>
        <v>26222473</v>
      </c>
      <c r="AB20" s="44">
        <f t="shared" si="1"/>
        <v>0</v>
      </c>
    </row>
    <row r="21" spans="1:28" ht="12.75" customHeight="1" x14ac:dyDescent="0.2">
      <c r="A21" s="44" t="s">
        <v>28</v>
      </c>
      <c r="C21" s="44" t="s">
        <v>27</v>
      </c>
      <c r="E21" s="143">
        <f t="shared" si="3"/>
        <v>47919306</v>
      </c>
      <c r="G21" s="44">
        <f>18907840+74626917</f>
        <v>93534757</v>
      </c>
      <c r="I21" s="44">
        <v>156281</v>
      </c>
      <c r="K21" s="44">
        <v>141610344</v>
      </c>
      <c r="M21" s="44">
        <f t="shared" si="4"/>
        <v>13566112</v>
      </c>
      <c r="O21" s="44">
        <v>19982288</v>
      </c>
      <c r="Q21" s="44">
        <v>33548400</v>
      </c>
      <c r="S21" s="44">
        <v>67950971</v>
      </c>
      <c r="U21" s="44">
        <f>108061944-67950971-35358483</f>
        <v>4752490</v>
      </c>
      <c r="W21" s="44">
        <v>35358483</v>
      </c>
      <c r="Y21" s="44">
        <f t="shared" si="5"/>
        <v>108061944</v>
      </c>
      <c r="AB21" s="44">
        <f t="shared" si="1"/>
        <v>0</v>
      </c>
    </row>
    <row r="22" spans="1:28" ht="12.75" customHeight="1" x14ac:dyDescent="0.2">
      <c r="A22" s="44" t="s">
        <v>29</v>
      </c>
      <c r="C22" s="44" t="s">
        <v>30</v>
      </c>
      <c r="E22" s="143">
        <f t="shared" si="3"/>
        <v>28733872</v>
      </c>
      <c r="G22" s="44">
        <f>15953485+186142101</f>
        <v>202095586</v>
      </c>
      <c r="I22" s="44">
        <v>95577</v>
      </c>
      <c r="K22" s="44">
        <v>230925035</v>
      </c>
      <c r="M22" s="44">
        <f t="shared" si="4"/>
        <v>15457269</v>
      </c>
      <c r="O22" s="44">
        <v>7148431</v>
      </c>
      <c r="Q22" s="44">
        <v>22605700</v>
      </c>
      <c r="S22" s="44">
        <v>194015824</v>
      </c>
      <c r="U22" s="44">
        <f>208319335-S22-W22</f>
        <v>10897480</v>
      </c>
      <c r="W22" s="44">
        <v>3406031</v>
      </c>
      <c r="Y22" s="44">
        <f t="shared" si="5"/>
        <v>208319335</v>
      </c>
      <c r="AB22" s="44">
        <f t="shared" si="1"/>
        <v>0</v>
      </c>
    </row>
    <row r="23" spans="1:28" ht="12.75" customHeight="1" x14ac:dyDescent="0.2">
      <c r="A23" s="44" t="s">
        <v>31</v>
      </c>
      <c r="C23" s="44" t="s">
        <v>27</v>
      </c>
      <c r="E23" s="143">
        <f t="shared" si="3"/>
        <v>26134054</v>
      </c>
      <c r="G23" s="44">
        <f>3022578+30178371</f>
        <v>33200949</v>
      </c>
      <c r="I23" s="44">
        <v>221027</v>
      </c>
      <c r="K23" s="44">
        <v>59556030</v>
      </c>
      <c r="M23" s="44">
        <f t="shared" si="4"/>
        <v>9056692</v>
      </c>
      <c r="O23" s="44">
        <v>12568381</v>
      </c>
      <c r="Q23" s="44">
        <v>21625073</v>
      </c>
      <c r="S23" s="44">
        <v>20968797</v>
      </c>
      <c r="U23" s="44">
        <f>37930957-20968797-12312481</f>
        <v>4649679</v>
      </c>
      <c r="W23" s="44">
        <v>12312481</v>
      </c>
      <c r="Y23" s="44">
        <f t="shared" si="5"/>
        <v>37930957</v>
      </c>
      <c r="AB23" s="44">
        <f t="shared" si="1"/>
        <v>0</v>
      </c>
    </row>
    <row r="24" spans="1:28" ht="12.75" customHeight="1" x14ac:dyDescent="0.2">
      <c r="A24" s="44" t="s">
        <v>466</v>
      </c>
      <c r="C24" s="44" t="s">
        <v>27</v>
      </c>
      <c r="E24" s="143">
        <f t="shared" si="3"/>
        <v>12840905</v>
      </c>
      <c r="G24" s="44">
        <f>2063971+15484178</f>
        <v>17548149</v>
      </c>
      <c r="I24" s="44">
        <v>0</v>
      </c>
      <c r="K24" s="44">
        <v>30389054</v>
      </c>
      <c r="M24" s="44">
        <f t="shared" si="4"/>
        <v>7556756</v>
      </c>
      <c r="O24" s="44">
        <v>4083047</v>
      </c>
      <c r="Q24" s="44">
        <v>11639803</v>
      </c>
      <c r="S24" s="44">
        <v>14252400</v>
      </c>
      <c r="U24" s="44">
        <f>22009+632808+284612+227323+39422</f>
        <v>1206174</v>
      </c>
      <c r="W24" s="44">
        <v>3290677</v>
      </c>
      <c r="Y24" s="44">
        <f t="shared" si="5"/>
        <v>18749251</v>
      </c>
      <c r="AB24" s="44">
        <f t="shared" si="1"/>
        <v>0</v>
      </c>
    </row>
    <row r="25" spans="1:28" ht="12.75" customHeight="1" x14ac:dyDescent="0.2">
      <c r="A25" s="44" t="s">
        <v>34</v>
      </c>
      <c r="B25" s="47" t="s">
        <v>461</v>
      </c>
      <c r="C25" s="44" t="s">
        <v>30</v>
      </c>
      <c r="E25" s="143">
        <f t="shared" si="3"/>
        <v>6551772</v>
      </c>
      <c r="G25" s="44">
        <f>262230+5688511</f>
        <v>5950741</v>
      </c>
      <c r="I25" s="44">
        <v>0</v>
      </c>
      <c r="K25" s="44">
        <v>12502513</v>
      </c>
      <c r="M25" s="44">
        <f t="shared" si="4"/>
        <v>2874974</v>
      </c>
      <c r="O25" s="44">
        <v>97460</v>
      </c>
      <c r="Q25" s="44">
        <v>2972434</v>
      </c>
      <c r="S25" s="44">
        <v>5950741</v>
      </c>
      <c r="U25" s="44">
        <f>1620985+258838+346640+196</f>
        <v>2226659</v>
      </c>
      <c r="W25" s="44">
        <v>1352679</v>
      </c>
      <c r="Y25" s="44">
        <f t="shared" si="5"/>
        <v>9530079</v>
      </c>
      <c r="AB25" s="44">
        <f t="shared" si="1"/>
        <v>0</v>
      </c>
    </row>
    <row r="26" spans="1:28" ht="12.75" customHeight="1" x14ac:dyDescent="0.2">
      <c r="A26" s="44" t="s">
        <v>35</v>
      </c>
      <c r="C26" s="44" t="s">
        <v>36</v>
      </c>
      <c r="E26" s="143">
        <f t="shared" si="3"/>
        <v>8472767</v>
      </c>
      <c r="G26" s="44">
        <f>10964390+13220552</f>
        <v>24184942</v>
      </c>
      <c r="I26" s="44">
        <v>21860</v>
      </c>
      <c r="K26" s="44">
        <v>32679569</v>
      </c>
      <c r="M26" s="44">
        <f t="shared" si="4"/>
        <v>2021982</v>
      </c>
      <c r="O26" s="44">
        <v>1642060</v>
      </c>
      <c r="Q26" s="44">
        <v>3664042</v>
      </c>
      <c r="S26" s="44">
        <v>23507320</v>
      </c>
      <c r="U26" s="44">
        <f>29015527-23507320-4061592</f>
        <v>1446615</v>
      </c>
      <c r="W26" s="44">
        <v>4061592</v>
      </c>
      <c r="Y26" s="44">
        <f t="shared" si="5"/>
        <v>29015527</v>
      </c>
      <c r="AB26" s="44">
        <f t="shared" si="1"/>
        <v>0</v>
      </c>
    </row>
    <row r="27" spans="1:28" ht="12.75" customHeight="1" x14ac:dyDescent="0.2">
      <c r="A27" s="44" t="s">
        <v>37</v>
      </c>
      <c r="C27" s="44" t="s">
        <v>38</v>
      </c>
      <c r="E27" s="143">
        <f t="shared" si="3"/>
        <v>7763119</v>
      </c>
      <c r="G27" s="44">
        <f>856392+11485781</f>
        <v>12342173</v>
      </c>
      <c r="I27" s="44">
        <v>0</v>
      </c>
      <c r="K27" s="44">
        <v>20105292</v>
      </c>
      <c r="M27" s="44">
        <f t="shared" si="4"/>
        <v>1341120</v>
      </c>
      <c r="O27" s="44">
        <v>1375468</v>
      </c>
      <c r="Q27" s="44">
        <v>2716588</v>
      </c>
      <c r="S27" s="44">
        <v>11189388</v>
      </c>
      <c r="U27" s="44">
        <f>1080952+23376+2237073</f>
        <v>3341401</v>
      </c>
      <c r="W27" s="44">
        <v>2857915</v>
      </c>
      <c r="Y27" s="44">
        <f t="shared" si="5"/>
        <v>17388704</v>
      </c>
      <c r="AB27" s="44">
        <f t="shared" si="1"/>
        <v>0</v>
      </c>
    </row>
    <row r="28" spans="1:28" ht="12.75" customHeight="1" x14ac:dyDescent="0.2">
      <c r="A28" s="44" t="s">
        <v>39</v>
      </c>
      <c r="C28" s="44" t="s">
        <v>40</v>
      </c>
      <c r="E28" s="143">
        <f t="shared" si="3"/>
        <v>2812201</v>
      </c>
      <c r="G28" s="44">
        <f>2736418+10212679</f>
        <v>12949097</v>
      </c>
      <c r="I28" s="44">
        <v>0</v>
      </c>
      <c r="K28" s="44">
        <v>15761298</v>
      </c>
      <c r="M28" s="44">
        <f t="shared" si="4"/>
        <v>546534</v>
      </c>
      <c r="O28" s="44">
        <v>732860</v>
      </c>
      <c r="Q28" s="44">
        <v>1279394</v>
      </c>
      <c r="S28" s="44">
        <v>12139127</v>
      </c>
      <c r="U28" s="44">
        <f>18466+372592+20469+88344</f>
        <v>499871</v>
      </c>
      <c r="W28" s="44">
        <v>1842906</v>
      </c>
      <c r="Y28" s="44">
        <f t="shared" si="5"/>
        <v>14481904</v>
      </c>
      <c r="AB28" s="44">
        <f t="shared" si="1"/>
        <v>0</v>
      </c>
    </row>
    <row r="29" spans="1:28" ht="12.75" customHeight="1" x14ac:dyDescent="0.2">
      <c r="A29" s="44" t="s">
        <v>41</v>
      </c>
      <c r="C29" s="44" t="s">
        <v>27</v>
      </c>
      <c r="E29" s="143">
        <f t="shared" si="3"/>
        <v>17678748</v>
      </c>
      <c r="G29" s="44">
        <f>18279307+55707223</f>
        <v>73986530</v>
      </c>
      <c r="I29" s="44">
        <v>0</v>
      </c>
      <c r="K29" s="44">
        <v>91665278</v>
      </c>
      <c r="M29" s="44">
        <f t="shared" si="4"/>
        <v>11475563</v>
      </c>
      <c r="O29" s="44">
        <v>11717960</v>
      </c>
      <c r="Q29" s="44">
        <v>23193523</v>
      </c>
      <c r="S29" s="44">
        <v>57554837</v>
      </c>
      <c r="U29" s="44">
        <f>673065+2347649+1067706+446422+554206</f>
        <v>5089048</v>
      </c>
      <c r="W29" s="44">
        <v>5827870</v>
      </c>
      <c r="Y29" s="44">
        <f t="shared" si="5"/>
        <v>68471755</v>
      </c>
      <c r="AB29" s="44">
        <f t="shared" si="1"/>
        <v>0</v>
      </c>
    </row>
    <row r="30" spans="1:28" ht="12.75" customHeight="1" x14ac:dyDescent="0.2">
      <c r="A30" s="44" t="s">
        <v>42</v>
      </c>
      <c r="C30" s="44" t="s">
        <v>43</v>
      </c>
      <c r="E30" s="143">
        <f t="shared" si="3"/>
        <v>12061860</v>
      </c>
      <c r="G30" s="44">
        <f>2232710+31405190</f>
        <v>33637900</v>
      </c>
      <c r="I30" s="44">
        <v>453027</v>
      </c>
      <c r="K30" s="44">
        <v>46152787</v>
      </c>
      <c r="M30" s="44">
        <f t="shared" si="4"/>
        <v>4629040</v>
      </c>
      <c r="O30" s="44">
        <v>20297681</v>
      </c>
      <c r="Q30" s="44">
        <v>24926721</v>
      </c>
      <c r="S30" s="44">
        <v>13852122</v>
      </c>
      <c r="U30" s="44">
        <f>653620+786274</f>
        <v>1439894</v>
      </c>
      <c r="W30" s="44">
        <v>5934050</v>
      </c>
      <c r="Y30" s="44">
        <f t="shared" si="5"/>
        <v>21226066</v>
      </c>
      <c r="AB30" s="44">
        <f t="shared" si="1"/>
        <v>0</v>
      </c>
    </row>
    <row r="31" spans="1:28" ht="12.75" customHeight="1" x14ac:dyDescent="0.2">
      <c r="A31" s="44" t="s">
        <v>44</v>
      </c>
      <c r="C31" s="44" t="s">
        <v>45</v>
      </c>
      <c r="E31" s="143">
        <f t="shared" si="3"/>
        <v>43760199</v>
      </c>
      <c r="G31" s="44">
        <f>40328645+52343588</f>
        <v>92672233</v>
      </c>
      <c r="I31" s="44">
        <v>305346</v>
      </c>
      <c r="K31" s="44">
        <v>136737778</v>
      </c>
      <c r="M31" s="44">
        <f t="shared" si="4"/>
        <v>10069820</v>
      </c>
      <c r="O31" s="44">
        <v>50092105</v>
      </c>
      <c r="Q31" s="44">
        <v>60161925</v>
      </c>
      <c r="S31" s="44">
        <v>49870997</v>
      </c>
      <c r="U31" s="44">
        <f>5588730+1069133+1038960+313807</f>
        <v>8010630</v>
      </c>
      <c r="W31" s="44">
        <v>18694226</v>
      </c>
      <c r="Y31" s="44">
        <f t="shared" si="5"/>
        <v>76575853</v>
      </c>
      <c r="AB31" s="44">
        <f t="shared" si="1"/>
        <v>0</v>
      </c>
    </row>
    <row r="32" spans="1:28" ht="12.75" customHeight="1" x14ac:dyDescent="0.2">
      <c r="A32" s="44" t="s">
        <v>46</v>
      </c>
      <c r="C32" s="44" t="s">
        <v>47</v>
      </c>
      <c r="E32" s="143">
        <f t="shared" si="3"/>
        <v>22656998</v>
      </c>
      <c r="G32" s="44">
        <f>38409538+6622269</f>
        <v>45031807</v>
      </c>
      <c r="I32" s="44">
        <v>95954</v>
      </c>
      <c r="K32" s="44">
        <v>67784759</v>
      </c>
      <c r="M32" s="44">
        <f t="shared" si="4"/>
        <v>10124764</v>
      </c>
      <c r="O32" s="44">
        <v>26369499</v>
      </c>
      <c r="Q32" s="44">
        <v>36494263</v>
      </c>
      <c r="S32" s="44">
        <v>34269902</v>
      </c>
      <c r="U32" s="44">
        <f>413371+6287177+973073+807236+480490+268502+1315999</f>
        <v>10545848</v>
      </c>
      <c r="W32" s="44">
        <v>-13525254</v>
      </c>
      <c r="Y32" s="44">
        <f t="shared" si="5"/>
        <v>31290496</v>
      </c>
      <c r="AB32" s="44">
        <f t="shared" si="1"/>
        <v>0</v>
      </c>
    </row>
    <row r="33" spans="1:47" ht="12.75" customHeight="1" x14ac:dyDescent="0.2">
      <c r="A33" s="44" t="s">
        <v>48</v>
      </c>
      <c r="C33" s="44" t="s">
        <v>27</v>
      </c>
      <c r="E33" s="143">
        <f t="shared" si="3"/>
        <v>28382155</v>
      </c>
      <c r="G33" s="44">
        <f>8849072+71067210</f>
        <v>79916282</v>
      </c>
      <c r="I33" s="44">
        <v>69190</v>
      </c>
      <c r="K33" s="44">
        <v>108367627</v>
      </c>
      <c r="M33" s="44">
        <f t="shared" si="4"/>
        <v>10065993</v>
      </c>
      <c r="O33" s="44">
        <v>10608042</v>
      </c>
      <c r="Q33" s="44">
        <v>20674035</v>
      </c>
      <c r="S33" s="44">
        <v>66408438</v>
      </c>
      <c r="U33" s="44">
        <f>87693592-66408438-9915091</f>
        <v>11370063</v>
      </c>
      <c r="W33" s="44">
        <v>9915091</v>
      </c>
      <c r="Y33" s="44">
        <f t="shared" si="5"/>
        <v>87693592</v>
      </c>
      <c r="AB33" s="44">
        <f t="shared" si="1"/>
        <v>0</v>
      </c>
    </row>
    <row r="34" spans="1:47" ht="12.75" customHeight="1" x14ac:dyDescent="0.2">
      <c r="A34" s="44" t="s">
        <v>49</v>
      </c>
      <c r="C34" s="44" t="s">
        <v>27</v>
      </c>
      <c r="E34" s="143">
        <f t="shared" si="3"/>
        <v>18341760</v>
      </c>
      <c r="G34" s="44">
        <f>4155395+28450029</f>
        <v>32605424</v>
      </c>
      <c r="I34" s="44">
        <v>0</v>
      </c>
      <c r="K34" s="44">
        <v>50947184</v>
      </c>
      <c r="M34" s="44">
        <f t="shared" si="4"/>
        <v>6683935</v>
      </c>
      <c r="O34" s="44">
        <v>8298934</v>
      </c>
      <c r="Q34" s="44">
        <v>14982869</v>
      </c>
      <c r="S34" s="44">
        <v>24977615</v>
      </c>
      <c r="U34" s="44">
        <f>615568+4265876+47442</f>
        <v>4928886</v>
      </c>
      <c r="W34" s="44">
        <v>6057814</v>
      </c>
      <c r="Y34" s="44">
        <f t="shared" si="5"/>
        <v>35964315</v>
      </c>
      <c r="AB34" s="44">
        <f t="shared" si="1"/>
        <v>0</v>
      </c>
    </row>
    <row r="35" spans="1:47" ht="12.75" customHeight="1" x14ac:dyDescent="0.2">
      <c r="A35" s="44" t="s">
        <v>50</v>
      </c>
      <c r="C35" s="44" t="s">
        <v>27</v>
      </c>
      <c r="E35" s="143">
        <f t="shared" si="3"/>
        <v>22630083</v>
      </c>
      <c r="G35" s="44">
        <f>23307257+49250060</f>
        <v>72557317</v>
      </c>
      <c r="I35" s="44">
        <v>63787</v>
      </c>
      <c r="K35" s="44">
        <v>95251187</v>
      </c>
      <c r="M35" s="44">
        <f t="shared" si="4"/>
        <v>5851158</v>
      </c>
      <c r="O35" s="44">
        <v>6097909</v>
      </c>
      <c r="Q35" s="44">
        <v>11949067</v>
      </c>
      <c r="S35" s="44">
        <v>69624618</v>
      </c>
      <c r="U35" s="44">
        <f>698538+5358279+357863+1527587+615393</f>
        <v>8557660</v>
      </c>
      <c r="W35" s="44">
        <v>5119842</v>
      </c>
      <c r="Y35" s="44">
        <f t="shared" si="5"/>
        <v>83302120</v>
      </c>
      <c r="AB35" s="44">
        <f t="shared" si="1"/>
        <v>0</v>
      </c>
    </row>
    <row r="36" spans="1:47" ht="12.75" customHeight="1" x14ac:dyDescent="0.2">
      <c r="A36" s="44" t="s">
        <v>51</v>
      </c>
      <c r="C36" s="44" t="s">
        <v>27</v>
      </c>
      <c r="E36" s="143">
        <f t="shared" si="3"/>
        <v>22233469</v>
      </c>
      <c r="G36" s="44">
        <f>3017366+27065676</f>
        <v>30083042</v>
      </c>
      <c r="I36" s="44">
        <v>82524</v>
      </c>
      <c r="K36" s="44">
        <v>52399035</v>
      </c>
      <c r="M36" s="44">
        <f t="shared" si="4"/>
        <v>6130701</v>
      </c>
      <c r="O36" s="44">
        <v>14185222</v>
      </c>
      <c r="Q36" s="44">
        <v>20315923</v>
      </c>
      <c r="S36" s="44">
        <v>21831215</v>
      </c>
      <c r="U36" s="44">
        <f>32083112-21831215-5293485</f>
        <v>4958412</v>
      </c>
      <c r="W36" s="44">
        <v>5293485</v>
      </c>
      <c r="Y36" s="44">
        <f t="shared" si="5"/>
        <v>32083112</v>
      </c>
      <c r="AB36" s="44">
        <f t="shared" si="1"/>
        <v>0</v>
      </c>
    </row>
    <row r="37" spans="1:47" ht="12.75" customHeight="1" x14ac:dyDescent="0.2">
      <c r="A37" s="44" t="s">
        <v>462</v>
      </c>
      <c r="C37" s="44" t="s">
        <v>66</v>
      </c>
      <c r="E37" s="143">
        <f t="shared" si="3"/>
        <v>4073836</v>
      </c>
      <c r="G37" s="44">
        <v>8833973</v>
      </c>
      <c r="I37" s="44">
        <v>0</v>
      </c>
      <c r="K37" s="44">
        <v>12907809</v>
      </c>
      <c r="M37" s="44">
        <f t="shared" si="4"/>
        <v>1638479</v>
      </c>
      <c r="O37" s="44">
        <v>1025495</v>
      </c>
      <c r="Q37" s="44">
        <v>2663974</v>
      </c>
      <c r="S37" s="44">
        <v>7203505</v>
      </c>
      <c r="U37" s="44">
        <f>536+178716+229770</f>
        <v>409022</v>
      </c>
      <c r="W37" s="44">
        <v>2631308</v>
      </c>
      <c r="Y37" s="44">
        <f t="shared" si="5"/>
        <v>10243835</v>
      </c>
      <c r="AB37" s="44">
        <f t="shared" si="1"/>
        <v>0</v>
      </c>
      <c r="AC37" s="47"/>
      <c r="AD37" s="47"/>
      <c r="AE37" s="47"/>
      <c r="AF37" s="47"/>
      <c r="AG37" s="48"/>
      <c r="AH37" s="47"/>
      <c r="AI37" s="47"/>
      <c r="AJ37" s="47"/>
      <c r="AK37" s="48"/>
      <c r="AL37" s="48"/>
      <c r="AM37" s="48"/>
      <c r="AN37" s="48"/>
      <c r="AO37" s="45"/>
      <c r="AP37" s="45"/>
      <c r="AQ37" s="45"/>
      <c r="AR37" s="45"/>
      <c r="AS37" s="45"/>
      <c r="AT37" s="45"/>
      <c r="AU37" s="45"/>
    </row>
    <row r="38" spans="1:47" ht="12.75" customHeight="1" x14ac:dyDescent="0.2">
      <c r="A38" s="44" t="s">
        <v>52</v>
      </c>
      <c r="C38" s="44" t="s">
        <v>53</v>
      </c>
      <c r="E38" s="143">
        <f t="shared" si="3"/>
        <v>29289826</v>
      </c>
      <c r="G38" s="44">
        <f>9182171+33031618</f>
        <v>42213789</v>
      </c>
      <c r="I38" s="44">
        <v>0</v>
      </c>
      <c r="K38" s="44">
        <v>71503615</v>
      </c>
      <c r="M38" s="44">
        <f t="shared" si="4"/>
        <v>7007139</v>
      </c>
      <c r="O38" s="44">
        <v>6428664</v>
      </c>
      <c r="Q38" s="44">
        <v>13435803</v>
      </c>
      <c r="S38" s="44">
        <v>33988084</v>
      </c>
      <c r="U38" s="44">
        <f>58067812-33988084-8929948</f>
        <v>15149780</v>
      </c>
      <c r="W38" s="44">
        <v>8929948</v>
      </c>
      <c r="Y38" s="44">
        <f t="shared" si="5"/>
        <v>58067812</v>
      </c>
      <c r="AB38" s="44">
        <f t="shared" si="1"/>
        <v>0</v>
      </c>
    </row>
    <row r="39" spans="1:47" ht="12.75" customHeight="1" x14ac:dyDescent="0.2">
      <c r="A39" s="44" t="s">
        <v>54</v>
      </c>
      <c r="C39" s="44" t="s">
        <v>55</v>
      </c>
      <c r="E39" s="143">
        <f t="shared" si="3"/>
        <v>24197002</v>
      </c>
      <c r="G39" s="44">
        <v>23022771</v>
      </c>
      <c r="I39" s="44">
        <v>0</v>
      </c>
      <c r="K39" s="44">
        <v>47219773</v>
      </c>
      <c r="M39" s="44">
        <f t="shared" si="4"/>
        <v>2729685</v>
      </c>
      <c r="O39" s="44">
        <v>5687415</v>
      </c>
      <c r="Q39" s="44">
        <v>8417100</v>
      </c>
      <c r="S39" s="44">
        <v>20922119</v>
      </c>
      <c r="U39" s="44">
        <f>4944209+5693337</f>
        <v>10637546</v>
      </c>
      <c r="W39" s="44">
        <v>7243008</v>
      </c>
      <c r="Y39" s="44">
        <f t="shared" si="5"/>
        <v>38802673</v>
      </c>
      <c r="AB39" s="44">
        <f t="shared" si="1"/>
        <v>0</v>
      </c>
    </row>
    <row r="40" spans="1:47" ht="12.75" customHeight="1" x14ac:dyDescent="0.2">
      <c r="A40" s="44" t="s">
        <v>56</v>
      </c>
      <c r="C40" s="44" t="s">
        <v>57</v>
      </c>
      <c r="E40" s="143">
        <f t="shared" si="3"/>
        <v>6828377</v>
      </c>
      <c r="G40" s="44">
        <f>1908827+13411285</f>
        <v>15320112</v>
      </c>
      <c r="I40" s="44">
        <v>0</v>
      </c>
      <c r="K40" s="44">
        <v>22148489</v>
      </c>
      <c r="M40" s="44">
        <f t="shared" si="4"/>
        <v>1216102</v>
      </c>
      <c r="O40" s="44">
        <v>1040329</v>
      </c>
      <c r="Q40" s="44">
        <v>2256431</v>
      </c>
      <c r="S40" s="44">
        <v>15093733</v>
      </c>
      <c r="U40" s="44">
        <f>520284+13920+3633288+116994</f>
        <v>4284486</v>
      </c>
      <c r="W40" s="44">
        <v>513839</v>
      </c>
      <c r="Y40" s="44">
        <f t="shared" si="5"/>
        <v>19892058</v>
      </c>
      <c r="AB40" s="44">
        <f t="shared" si="1"/>
        <v>0</v>
      </c>
    </row>
    <row r="41" spans="1:47" ht="12.75" customHeight="1" x14ac:dyDescent="0.2">
      <c r="A41" s="44" t="s">
        <v>58</v>
      </c>
      <c r="C41" s="44" t="s">
        <v>59</v>
      </c>
      <c r="E41" s="143">
        <f t="shared" si="3"/>
        <v>10933331</v>
      </c>
      <c r="G41" s="44">
        <f>5508104+18160520</f>
        <v>23668624</v>
      </c>
      <c r="I41" s="44">
        <v>156638</v>
      </c>
      <c r="K41" s="44">
        <v>34758593</v>
      </c>
      <c r="M41" s="44">
        <f t="shared" si="4"/>
        <v>2825703</v>
      </c>
      <c r="O41" s="44">
        <v>5128345</v>
      </c>
      <c r="Q41" s="44">
        <v>7954048</v>
      </c>
      <c r="S41" s="44">
        <v>19676600</v>
      </c>
      <c r="U41" s="44">
        <f>47798+1270143+3799255</f>
        <v>5117196</v>
      </c>
      <c r="W41" s="44">
        <v>2010749</v>
      </c>
      <c r="Y41" s="44">
        <f t="shared" si="5"/>
        <v>26804545</v>
      </c>
      <c r="AB41" s="44">
        <f t="shared" si="1"/>
        <v>0</v>
      </c>
    </row>
    <row r="42" spans="1:47" ht="12.75" customHeight="1" x14ac:dyDescent="0.2">
      <c r="A42" s="44" t="s">
        <v>476</v>
      </c>
      <c r="C42" s="44" t="s">
        <v>15</v>
      </c>
      <c r="E42" s="143">
        <f t="shared" si="3"/>
        <v>2659347</v>
      </c>
      <c r="G42" s="44">
        <f>4115581+5551915</f>
        <v>9667496</v>
      </c>
      <c r="I42" s="44">
        <v>0</v>
      </c>
      <c r="K42" s="44">
        <v>12326843</v>
      </c>
      <c r="M42" s="44">
        <f t="shared" si="4"/>
        <v>511011</v>
      </c>
      <c r="O42" s="44">
        <v>1170214</v>
      </c>
      <c r="Q42" s="44">
        <v>1681225</v>
      </c>
      <c r="S42" s="44">
        <v>8522496</v>
      </c>
      <c r="U42" s="44">
        <f>277209+390788+27444+21524+2731</f>
        <v>719696</v>
      </c>
      <c r="W42" s="44">
        <v>1403426</v>
      </c>
      <c r="Y42" s="44">
        <f t="shared" si="5"/>
        <v>10645618</v>
      </c>
      <c r="AB42" s="44">
        <f>+K42-Q42-Y42</f>
        <v>0</v>
      </c>
    </row>
    <row r="43" spans="1:47" ht="12.75" customHeight="1" x14ac:dyDescent="0.2">
      <c r="A43" s="44" t="s">
        <v>504</v>
      </c>
      <c r="C43" s="44" t="s">
        <v>43</v>
      </c>
      <c r="E43" s="143">
        <f t="shared" ref="E43" si="9">+K43-G43-I43</f>
        <v>5313427</v>
      </c>
      <c r="G43" s="44">
        <v>6822247</v>
      </c>
      <c r="I43" s="44">
        <v>124951</v>
      </c>
      <c r="K43" s="44">
        <v>12260625</v>
      </c>
      <c r="M43" s="44">
        <f t="shared" ref="M43" si="10">+Q43-O43</f>
        <v>3226138</v>
      </c>
      <c r="O43" s="44">
        <v>7969170</v>
      </c>
      <c r="Q43" s="44">
        <v>11195308</v>
      </c>
      <c r="S43" s="44">
        <v>-3445208</v>
      </c>
      <c r="U43" s="44">
        <f>15418+646064+77375+212390</f>
        <v>951247</v>
      </c>
      <c r="W43" s="44">
        <v>3559278</v>
      </c>
      <c r="Y43" s="44">
        <f t="shared" ref="Y43" si="11">S43+U43+W43</f>
        <v>1065317</v>
      </c>
      <c r="AB43" s="44">
        <f t="shared" ref="AB43" si="12">+K43-Q43-Y43</f>
        <v>0</v>
      </c>
    </row>
    <row r="44" spans="1:47" ht="12.75" customHeight="1" x14ac:dyDescent="0.2">
      <c r="A44" s="44" t="s">
        <v>60</v>
      </c>
      <c r="C44" s="44" t="s">
        <v>61</v>
      </c>
      <c r="E44" s="143">
        <f t="shared" si="3"/>
        <v>5508668</v>
      </c>
      <c r="G44" s="44">
        <v>13412251</v>
      </c>
      <c r="I44" s="44">
        <v>0</v>
      </c>
      <c r="K44" s="44">
        <v>18920919</v>
      </c>
      <c r="M44" s="44">
        <f t="shared" si="4"/>
        <v>1041502</v>
      </c>
      <c r="O44" s="44">
        <v>1038922</v>
      </c>
      <c r="Q44" s="44">
        <v>2080424</v>
      </c>
      <c r="S44" s="44">
        <v>12267980</v>
      </c>
      <c r="U44" s="44">
        <v>2029292</v>
      </c>
      <c r="W44" s="44">
        <v>2543223</v>
      </c>
      <c r="Y44" s="44">
        <f t="shared" si="5"/>
        <v>16840495</v>
      </c>
      <c r="AB44" s="44">
        <f t="shared" si="1"/>
        <v>0</v>
      </c>
    </row>
    <row r="45" spans="1:47" ht="12.75" hidden="1" customHeight="1" x14ac:dyDescent="0.2">
      <c r="A45" s="44" t="s">
        <v>62</v>
      </c>
      <c r="C45" s="44" t="s">
        <v>15</v>
      </c>
      <c r="E45" s="143">
        <f t="shared" si="3"/>
        <v>55451985</v>
      </c>
      <c r="G45" s="44">
        <v>110524826</v>
      </c>
      <c r="I45" s="44">
        <v>0</v>
      </c>
      <c r="K45" s="44">
        <v>165976811</v>
      </c>
      <c r="M45" s="44">
        <f t="shared" si="4"/>
        <v>16271599</v>
      </c>
      <c r="O45" s="44">
        <v>20821290</v>
      </c>
      <c r="Q45" s="44">
        <v>37092889</v>
      </c>
      <c r="S45" s="44">
        <v>97348306</v>
      </c>
      <c r="U45" s="44">
        <f>128883922-807948-97348306</f>
        <v>30727668</v>
      </c>
      <c r="W45" s="44">
        <v>807948</v>
      </c>
      <c r="Y45" s="44">
        <f t="shared" si="5"/>
        <v>128883922</v>
      </c>
      <c r="AB45" s="44">
        <f t="shared" si="1"/>
        <v>0</v>
      </c>
      <c r="AC45" s="44" t="s">
        <v>506</v>
      </c>
    </row>
    <row r="46" spans="1:47" s="121" customFormat="1" ht="12.75" hidden="1" customHeight="1" x14ac:dyDescent="0.2">
      <c r="A46" s="121" t="s">
        <v>485</v>
      </c>
      <c r="B46" s="122"/>
      <c r="C46" s="121" t="s">
        <v>111</v>
      </c>
      <c r="D46" s="122"/>
      <c r="E46" s="149">
        <f t="shared" si="3"/>
        <v>0</v>
      </c>
      <c r="M46" s="121">
        <f t="shared" si="4"/>
        <v>0</v>
      </c>
      <c r="Y46" s="121">
        <f t="shared" si="5"/>
        <v>0</v>
      </c>
      <c r="AB46" s="121">
        <f>+K46-Q46-Y46</f>
        <v>0</v>
      </c>
      <c r="AC46" s="121" t="s">
        <v>505</v>
      </c>
    </row>
    <row r="47" spans="1:47" ht="12.75" customHeight="1" x14ac:dyDescent="0.2">
      <c r="A47" s="44" t="s">
        <v>469</v>
      </c>
      <c r="C47" s="44" t="s">
        <v>64</v>
      </c>
      <c r="E47" s="143">
        <f t="shared" si="3"/>
        <v>7420780</v>
      </c>
      <c r="G47" s="44">
        <f>14015951+7643310</f>
        <v>21659261</v>
      </c>
      <c r="I47" s="44">
        <v>0</v>
      </c>
      <c r="K47" s="44">
        <v>29080041</v>
      </c>
      <c r="M47" s="44">
        <f t="shared" si="4"/>
        <v>2736407</v>
      </c>
      <c r="O47" s="44">
        <v>5864356</v>
      </c>
      <c r="Q47" s="44">
        <v>8600763</v>
      </c>
      <c r="S47" s="44">
        <v>16324497</v>
      </c>
      <c r="U47" s="44">
        <f>32607+1143516+1017708</f>
        <v>2193831</v>
      </c>
      <c r="W47" s="44">
        <v>1960950</v>
      </c>
      <c r="Y47" s="44">
        <f t="shared" si="5"/>
        <v>20479278</v>
      </c>
      <c r="AB47" s="44">
        <f t="shared" si="1"/>
        <v>0</v>
      </c>
    </row>
    <row r="48" spans="1:47" ht="12.75" customHeight="1" x14ac:dyDescent="0.2">
      <c r="A48" s="44" t="s">
        <v>65</v>
      </c>
      <c r="C48" s="44" t="s">
        <v>66</v>
      </c>
      <c r="E48" s="143">
        <f t="shared" si="3"/>
        <v>33415340</v>
      </c>
      <c r="G48" s="44">
        <f>4379246+42259359</f>
        <v>46638605</v>
      </c>
      <c r="I48" s="44">
        <v>0</v>
      </c>
      <c r="K48" s="44">
        <v>80053945</v>
      </c>
      <c r="M48" s="44">
        <f t="shared" si="4"/>
        <v>3186951</v>
      </c>
      <c r="O48" s="44">
        <v>7470559</v>
      </c>
      <c r="Q48" s="44">
        <v>10657510</v>
      </c>
      <c r="S48" s="44">
        <v>39255568</v>
      </c>
      <c r="U48" s="44">
        <f>10699441+2599955+767141+630856</f>
        <v>14697393</v>
      </c>
      <c r="W48" s="44">
        <v>15443474</v>
      </c>
      <c r="Y48" s="44">
        <f t="shared" si="5"/>
        <v>69396435</v>
      </c>
      <c r="AB48" s="44">
        <f t="shared" si="1"/>
        <v>0</v>
      </c>
    </row>
    <row r="49" spans="1:29" ht="12.75" customHeight="1" x14ac:dyDescent="0.2">
      <c r="A49" s="44" t="s">
        <v>67</v>
      </c>
      <c r="C49" s="44" t="s">
        <v>375</v>
      </c>
      <c r="E49" s="143">
        <f t="shared" si="3"/>
        <v>7481577</v>
      </c>
      <c r="G49" s="44">
        <f>3155990+35331034</f>
        <v>38487024</v>
      </c>
      <c r="I49" s="44">
        <v>0</v>
      </c>
      <c r="K49" s="44">
        <v>45968601</v>
      </c>
      <c r="M49" s="44">
        <f t="shared" si="4"/>
        <v>2159784</v>
      </c>
      <c r="O49" s="44">
        <v>1791297</v>
      </c>
      <c r="Q49" s="44">
        <v>3951081</v>
      </c>
      <c r="S49" s="44">
        <v>36762288</v>
      </c>
      <c r="U49" s="44">
        <f>842920+475314+255095+234315</f>
        <v>1807644</v>
      </c>
      <c r="W49" s="44">
        <v>3447588</v>
      </c>
      <c r="Y49" s="44">
        <f t="shared" si="5"/>
        <v>42017520</v>
      </c>
      <c r="AB49" s="44">
        <f t="shared" si="1"/>
        <v>0</v>
      </c>
    </row>
    <row r="50" spans="1:29" ht="12.75" customHeight="1" x14ac:dyDescent="0.2">
      <c r="A50" s="44" t="s">
        <v>68</v>
      </c>
      <c r="C50" s="44" t="s">
        <v>45</v>
      </c>
      <c r="E50" s="143">
        <f t="shared" si="3"/>
        <v>4531035</v>
      </c>
      <c r="G50" s="44">
        <f>537376+3373606</f>
        <v>3910982</v>
      </c>
      <c r="I50" s="44">
        <v>0</v>
      </c>
      <c r="K50" s="44">
        <v>8442017</v>
      </c>
      <c r="M50" s="44">
        <f t="shared" si="4"/>
        <v>2153609</v>
      </c>
      <c r="O50" s="44">
        <v>114620</v>
      </c>
      <c r="Q50" s="44">
        <v>2268229</v>
      </c>
      <c r="S50" s="44">
        <v>3910982</v>
      </c>
      <c r="U50" s="44">
        <f>321423+20123+599448</f>
        <v>940994</v>
      </c>
      <c r="W50" s="44">
        <v>1321812</v>
      </c>
      <c r="Y50" s="44">
        <f t="shared" si="5"/>
        <v>6173788</v>
      </c>
      <c r="AB50" s="44">
        <f t="shared" si="1"/>
        <v>0</v>
      </c>
    </row>
    <row r="51" spans="1:29" ht="12.75" customHeight="1" x14ac:dyDescent="0.2">
      <c r="A51" s="44" t="s">
        <v>69</v>
      </c>
      <c r="C51" s="44" t="s">
        <v>70</v>
      </c>
      <c r="E51" s="143">
        <f t="shared" si="3"/>
        <v>11131551</v>
      </c>
      <c r="G51" s="44">
        <f>6864490+34524417</f>
        <v>41388907</v>
      </c>
      <c r="I51" s="44">
        <v>0</v>
      </c>
      <c r="K51" s="44">
        <v>52520458</v>
      </c>
      <c r="M51" s="44">
        <f t="shared" si="4"/>
        <v>9255149</v>
      </c>
      <c r="O51" s="44">
        <v>2145309</v>
      </c>
      <c r="Q51" s="44">
        <v>11400458</v>
      </c>
      <c r="S51" s="44">
        <v>36905390</v>
      </c>
      <c r="U51" s="44">
        <f>14670+2419328+377749+208274+655388+943547+2235+1000</f>
        <v>4622191</v>
      </c>
      <c r="W51" s="44">
        <v>-407581</v>
      </c>
      <c r="Y51" s="44">
        <f t="shared" si="5"/>
        <v>41120000</v>
      </c>
      <c r="AB51" s="44">
        <f t="shared" si="1"/>
        <v>0</v>
      </c>
    </row>
    <row r="52" spans="1:29" ht="12.75" customHeight="1" x14ac:dyDescent="0.2">
      <c r="A52" s="44" t="s">
        <v>71</v>
      </c>
      <c r="C52" s="44" t="s">
        <v>45</v>
      </c>
      <c r="E52" s="143">
        <f t="shared" si="3"/>
        <v>391095000</v>
      </c>
      <c r="G52" s="44">
        <f>173865000+102065000+204215000+51497000+138542000+339000+477952000</f>
        <v>1148475000</v>
      </c>
      <c r="I52" s="44">
        <f>5623000+33194000+274601000</f>
        <v>313418000</v>
      </c>
      <c r="K52" s="44">
        <v>1852988000</v>
      </c>
      <c r="M52" s="44">
        <f t="shared" si="4"/>
        <v>251401000</v>
      </c>
      <c r="O52" s="44">
        <v>746717000</v>
      </c>
      <c r="Q52" s="44">
        <v>998118000</v>
      </c>
      <c r="S52" s="44">
        <v>754566000</v>
      </c>
      <c r="U52" s="44">
        <f>854870000-754566000+96572000</f>
        <v>196876000</v>
      </c>
      <c r="W52" s="44">
        <v>-96572000</v>
      </c>
      <c r="Y52" s="44">
        <f t="shared" si="5"/>
        <v>854870000</v>
      </c>
      <c r="AB52" s="44">
        <f t="shared" si="1"/>
        <v>0</v>
      </c>
    </row>
    <row r="53" spans="1:29" ht="12.75" customHeight="1" x14ac:dyDescent="0.2">
      <c r="A53" s="44" t="s">
        <v>463</v>
      </c>
      <c r="C53" s="44" t="s">
        <v>464</v>
      </c>
      <c r="E53" s="143">
        <f t="shared" si="3"/>
        <v>9145403</v>
      </c>
      <c r="G53" s="44">
        <f>1150990+21846665</f>
        <v>22997655</v>
      </c>
      <c r="I53" s="44">
        <v>68971</v>
      </c>
      <c r="K53" s="44">
        <v>32212029</v>
      </c>
      <c r="M53" s="44">
        <f t="shared" si="4"/>
        <v>2211646</v>
      </c>
      <c r="O53" s="44">
        <v>3298577</v>
      </c>
      <c r="Q53" s="44">
        <v>5510223</v>
      </c>
      <c r="S53" s="44">
        <v>20382910</v>
      </c>
      <c r="U53" s="44">
        <f>437+129774+674296+319647+733961</f>
        <v>1858115</v>
      </c>
      <c r="W53" s="44">
        <v>4460781</v>
      </c>
      <c r="Y53" s="44">
        <f t="shared" si="5"/>
        <v>26701806</v>
      </c>
      <c r="AB53" s="44">
        <f>+K53-Q53-Y53</f>
        <v>0</v>
      </c>
    </row>
    <row r="54" spans="1:29" ht="12.75" customHeight="1" x14ac:dyDescent="0.2">
      <c r="A54" s="44" t="s">
        <v>72</v>
      </c>
      <c r="C54" s="44" t="s">
        <v>66</v>
      </c>
      <c r="E54" s="143">
        <f t="shared" si="3"/>
        <v>11046930</v>
      </c>
      <c r="G54" s="44">
        <f>6077595+5714845</f>
        <v>11792440</v>
      </c>
      <c r="I54" s="44">
        <v>152317</v>
      </c>
      <c r="K54" s="44">
        <v>22991687</v>
      </c>
      <c r="M54" s="44">
        <f t="shared" si="4"/>
        <v>5211114</v>
      </c>
      <c r="O54" s="44">
        <v>5673565</v>
      </c>
      <c r="Q54" s="44">
        <v>10884679</v>
      </c>
      <c r="S54" s="44">
        <v>6188910</v>
      </c>
      <c r="U54" s="44">
        <f>12107008-6188910-3262866</f>
        <v>2655232</v>
      </c>
      <c r="W54" s="44">
        <v>3262866</v>
      </c>
      <c r="Y54" s="44">
        <f t="shared" si="5"/>
        <v>12107008</v>
      </c>
      <c r="AB54" s="44">
        <f t="shared" si="1"/>
        <v>0</v>
      </c>
    </row>
    <row r="55" spans="1:29" ht="12.75" customHeight="1" x14ac:dyDescent="0.2">
      <c r="A55" s="44" t="s">
        <v>73</v>
      </c>
      <c r="C55" s="44" t="s">
        <v>27</v>
      </c>
      <c r="E55" s="143">
        <f t="shared" si="3"/>
        <v>705191000</v>
      </c>
      <c r="G55" s="44">
        <v>915743000</v>
      </c>
      <c r="I55" s="44">
        <v>23370000</v>
      </c>
      <c r="K55" s="44">
        <v>1644304000</v>
      </c>
      <c r="M55" s="44">
        <f t="shared" si="4"/>
        <v>319097000</v>
      </c>
      <c r="O55" s="44">
        <v>683753000</v>
      </c>
      <c r="Q55" s="44">
        <v>1002850000</v>
      </c>
      <c r="S55" s="44">
        <v>543460000</v>
      </c>
      <c r="U55" s="44">
        <f>41210000+76555000</f>
        <v>117765000</v>
      </c>
      <c r="W55" s="44">
        <v>-19771000</v>
      </c>
      <c r="Y55" s="44">
        <f t="shared" si="5"/>
        <v>641454000</v>
      </c>
      <c r="AB55" s="44">
        <f t="shared" si="1"/>
        <v>0</v>
      </c>
    </row>
    <row r="56" spans="1:29" ht="12.75" customHeight="1" x14ac:dyDescent="0.2">
      <c r="A56" s="44" t="s">
        <v>74</v>
      </c>
      <c r="C56" s="44" t="s">
        <v>27</v>
      </c>
      <c r="E56" s="143">
        <f t="shared" si="3"/>
        <v>46320573</v>
      </c>
      <c r="G56" s="44">
        <f>7340168+73990831</f>
        <v>81330999</v>
      </c>
      <c r="I56" s="44">
        <v>255885</v>
      </c>
      <c r="K56" s="44">
        <v>127907457</v>
      </c>
      <c r="M56" s="44">
        <f t="shared" si="4"/>
        <v>19759567</v>
      </c>
      <c r="O56" s="44">
        <v>19917263</v>
      </c>
      <c r="Q56" s="44">
        <v>39676830</v>
      </c>
      <c r="S56" s="44">
        <v>61517702</v>
      </c>
      <c r="U56" s="44">
        <f>88230627-61517702-13789209</f>
        <v>12923716</v>
      </c>
      <c r="W56" s="44">
        <v>13789209</v>
      </c>
      <c r="Y56" s="44">
        <f t="shared" si="5"/>
        <v>88230627</v>
      </c>
      <c r="AB56" s="44">
        <f t="shared" si="1"/>
        <v>0</v>
      </c>
      <c r="AC56" s="47"/>
    </row>
    <row r="57" spans="1:29" ht="12.75" customHeight="1" x14ac:dyDescent="0.2">
      <c r="A57" s="44" t="s">
        <v>75</v>
      </c>
      <c r="C57" s="44" t="s">
        <v>76</v>
      </c>
      <c r="E57" s="143">
        <f t="shared" si="3"/>
        <v>3653920</v>
      </c>
      <c r="G57" s="44">
        <v>16175953</v>
      </c>
      <c r="I57" s="44">
        <v>0</v>
      </c>
      <c r="K57" s="44">
        <v>19829873</v>
      </c>
      <c r="M57" s="44">
        <f t="shared" si="4"/>
        <v>2707470</v>
      </c>
      <c r="O57" s="44">
        <f>1975929+29</f>
        <v>1975958</v>
      </c>
      <c r="Q57" s="44">
        <v>4683428</v>
      </c>
      <c r="S57" s="44">
        <v>12233701</v>
      </c>
      <c r="U57" s="44">
        <f>515187+94774+65731</f>
        <v>675692</v>
      </c>
      <c r="W57" s="44">
        <v>2237052</v>
      </c>
      <c r="Y57" s="44">
        <f t="shared" si="5"/>
        <v>15146445</v>
      </c>
      <c r="AB57" s="44">
        <f t="shared" si="1"/>
        <v>0</v>
      </c>
    </row>
    <row r="58" spans="1:29" ht="12.75" hidden="1" customHeight="1" x14ac:dyDescent="0.2">
      <c r="A58" s="44" t="s">
        <v>77</v>
      </c>
      <c r="C58" s="44" t="s">
        <v>468</v>
      </c>
      <c r="E58" s="143">
        <f t="shared" si="3"/>
        <v>898984000</v>
      </c>
      <c r="G58" s="44">
        <v>1944351000</v>
      </c>
      <c r="I58" s="44">
        <v>5602000</v>
      </c>
      <c r="K58" s="44">
        <v>2848937000</v>
      </c>
      <c r="M58" s="44">
        <f t="shared" si="4"/>
        <v>375604000</v>
      </c>
      <c r="O58" s="44">
        <f>15111000+2000000+24817000+994669000</f>
        <v>1036597000</v>
      </c>
      <c r="Q58" s="44">
        <v>1412201000</v>
      </c>
      <c r="S58" s="44">
        <v>1054461000</v>
      </c>
      <c r="U58" s="44">
        <f>20143000+45493000+35135000</f>
        <v>100771000</v>
      </c>
      <c r="W58" s="44">
        <v>281504000</v>
      </c>
      <c r="Y58" s="44">
        <f t="shared" si="5"/>
        <v>1436736000</v>
      </c>
      <c r="AB58" s="44">
        <f t="shared" si="1"/>
        <v>0</v>
      </c>
      <c r="AC58" s="44" t="s">
        <v>506</v>
      </c>
    </row>
    <row r="59" spans="1:29" ht="12.75" customHeight="1" x14ac:dyDescent="0.2">
      <c r="A59" s="44" t="s">
        <v>94</v>
      </c>
      <c r="C59" s="44" t="s">
        <v>94</v>
      </c>
      <c r="E59" s="143">
        <f t="shared" ref="E59" si="13">+K59-G59-I59</f>
        <v>4177520</v>
      </c>
      <c r="G59" s="44">
        <v>6159271</v>
      </c>
      <c r="I59" s="44">
        <v>0</v>
      </c>
      <c r="K59" s="44">
        <v>10336791</v>
      </c>
      <c r="M59" s="44">
        <f t="shared" ref="M59" si="14">+Q59-O59</f>
        <v>873811</v>
      </c>
      <c r="O59" s="44">
        <v>83214</v>
      </c>
      <c r="Q59" s="44">
        <v>957025</v>
      </c>
      <c r="S59" s="44">
        <v>6159271</v>
      </c>
      <c r="U59" s="44">
        <f>936622+83303+712539</f>
        <v>1732464</v>
      </c>
      <c r="W59" s="44">
        <v>1488031</v>
      </c>
      <c r="Y59" s="44">
        <f t="shared" ref="Y59" si="15">S59+U59+W59</f>
        <v>9379766</v>
      </c>
      <c r="AB59" s="44">
        <f>+K59-Q59-Y59</f>
        <v>0</v>
      </c>
    </row>
    <row r="60" spans="1:29" ht="12.75" customHeight="1" x14ac:dyDescent="0.2">
      <c r="A60" s="44" t="s">
        <v>78</v>
      </c>
      <c r="C60" s="44" t="s">
        <v>19</v>
      </c>
      <c r="E60" s="143">
        <f t="shared" si="3"/>
        <v>6508007</v>
      </c>
      <c r="G60" s="44">
        <f>1422654+28105650</f>
        <v>29528304</v>
      </c>
      <c r="I60" s="44">
        <v>7371</v>
      </c>
      <c r="K60" s="44">
        <v>36043682</v>
      </c>
      <c r="M60" s="44">
        <f t="shared" si="4"/>
        <v>2479404</v>
      </c>
      <c r="O60" s="44">
        <v>3030347</v>
      </c>
      <c r="Q60" s="44">
        <v>5509751</v>
      </c>
      <c r="S60" s="44">
        <v>27291348</v>
      </c>
      <c r="U60" s="44">
        <f>30533931-1397552-27291348</f>
        <v>1845031</v>
      </c>
      <c r="W60" s="44">
        <v>1397552</v>
      </c>
      <c r="Y60" s="44">
        <f t="shared" si="5"/>
        <v>30533931</v>
      </c>
      <c r="AB60" s="44">
        <f t="shared" si="1"/>
        <v>0</v>
      </c>
    </row>
    <row r="61" spans="1:29" ht="12.75" customHeight="1" x14ac:dyDescent="0.2">
      <c r="A61" s="44" t="s">
        <v>79</v>
      </c>
      <c r="C61" s="44" t="s">
        <v>80</v>
      </c>
      <c r="E61" s="143">
        <f t="shared" si="3"/>
        <v>4501764</v>
      </c>
      <c r="G61" s="44">
        <f>17576+4330664</f>
        <v>4348240</v>
      </c>
      <c r="I61" s="44">
        <v>0</v>
      </c>
      <c r="K61" s="44">
        <v>8850004</v>
      </c>
      <c r="M61" s="44">
        <f t="shared" si="4"/>
        <v>2308610</v>
      </c>
      <c r="O61" s="44">
        <v>216589</v>
      </c>
      <c r="Q61" s="44">
        <v>2525199</v>
      </c>
      <c r="S61" s="44">
        <v>4348240</v>
      </c>
      <c r="U61" s="44">
        <f>203444+114847+391798+396140+87416</f>
        <v>1193645</v>
      </c>
      <c r="W61" s="44">
        <v>782920</v>
      </c>
      <c r="Y61" s="44">
        <f t="shared" si="5"/>
        <v>6324805</v>
      </c>
      <c r="AB61" s="44">
        <f t="shared" si="1"/>
        <v>0</v>
      </c>
    </row>
    <row r="62" spans="1:29" ht="12.75" customHeight="1" x14ac:dyDescent="0.2">
      <c r="A62" s="44" t="s">
        <v>81</v>
      </c>
      <c r="C62" s="44" t="s">
        <v>81</v>
      </c>
      <c r="E62" s="143">
        <f t="shared" si="3"/>
        <v>4567507</v>
      </c>
      <c r="G62" s="44">
        <f>1059518+4681633</f>
        <v>5741151</v>
      </c>
      <c r="I62" s="44">
        <v>0</v>
      </c>
      <c r="K62" s="44">
        <v>10308658</v>
      </c>
      <c r="M62" s="44">
        <f t="shared" si="4"/>
        <v>1196143</v>
      </c>
      <c r="O62" s="44">
        <v>725632</v>
      </c>
      <c r="Q62" s="44">
        <v>1921775</v>
      </c>
      <c r="S62" s="44">
        <v>5521264</v>
      </c>
      <c r="U62" s="44">
        <f>8386883-5521264-419803</f>
        <v>2445816</v>
      </c>
      <c r="W62" s="44">
        <v>419803</v>
      </c>
      <c r="Y62" s="44">
        <f t="shared" si="5"/>
        <v>8386883</v>
      </c>
      <c r="AB62" s="44">
        <f t="shared" si="1"/>
        <v>0</v>
      </c>
    </row>
    <row r="63" spans="1:29" s="121" customFormat="1" ht="12.75" hidden="1" customHeight="1" x14ac:dyDescent="0.2">
      <c r="A63" s="122" t="s">
        <v>465</v>
      </c>
      <c r="B63" s="122"/>
      <c r="C63" s="122" t="s">
        <v>57</v>
      </c>
      <c r="D63" s="122"/>
      <c r="E63" s="149">
        <f t="shared" si="3"/>
        <v>0</v>
      </c>
      <c r="M63" s="121">
        <f t="shared" si="4"/>
        <v>0</v>
      </c>
      <c r="Y63" s="121">
        <f t="shared" si="5"/>
        <v>0</v>
      </c>
      <c r="AB63" s="121">
        <f>+K63-Q63-Y63</f>
        <v>0</v>
      </c>
      <c r="AC63" s="121" t="s">
        <v>499</v>
      </c>
    </row>
    <row r="64" spans="1:29" ht="12.75" customHeight="1" x14ac:dyDescent="0.2">
      <c r="A64" s="44" t="s">
        <v>82</v>
      </c>
      <c r="C64" s="44" t="s">
        <v>13</v>
      </c>
      <c r="E64" s="143">
        <f t="shared" si="3"/>
        <v>53344427</v>
      </c>
      <c r="G64" s="44">
        <f>15651304+73272017</f>
        <v>88923321</v>
      </c>
      <c r="I64" s="44">
        <v>254384</v>
      </c>
      <c r="K64" s="44">
        <v>142522132</v>
      </c>
      <c r="M64" s="44">
        <f t="shared" si="4"/>
        <v>25570325</v>
      </c>
      <c r="O64" s="44">
        <v>10782601</v>
      </c>
      <c r="Q64" s="44">
        <v>36352926</v>
      </c>
      <c r="S64" s="44">
        <v>81516344</v>
      </c>
      <c r="U64" s="44">
        <f>106169206-12554686-81516344</f>
        <v>12098176</v>
      </c>
      <c r="W64" s="44">
        <v>12554686</v>
      </c>
      <c r="Y64" s="44">
        <f t="shared" si="5"/>
        <v>106169206</v>
      </c>
      <c r="AB64" s="44">
        <f t="shared" si="1"/>
        <v>0</v>
      </c>
    </row>
    <row r="65" spans="1:32" ht="12.75" customHeight="1" x14ac:dyDescent="0.2">
      <c r="A65" s="46"/>
      <c r="B65" s="46"/>
      <c r="C65" s="46"/>
      <c r="D65" s="44"/>
      <c r="Y65" s="48" t="s">
        <v>484</v>
      </c>
    </row>
    <row r="66" spans="1:32" ht="12.75" customHeight="1" x14ac:dyDescent="0.2">
      <c r="A66" s="44" t="s">
        <v>83</v>
      </c>
      <c r="C66" s="44" t="s">
        <v>66</v>
      </c>
      <c r="E66" s="154">
        <f t="shared" si="3"/>
        <v>206407590</v>
      </c>
      <c r="F66" s="46"/>
      <c r="G66" s="46">
        <v>380511234</v>
      </c>
      <c r="H66" s="46"/>
      <c r="I66" s="46">
        <v>1442056</v>
      </c>
      <c r="J66" s="46"/>
      <c r="K66" s="46">
        <v>588360880</v>
      </c>
      <c r="L66" s="46"/>
      <c r="M66" s="46">
        <f t="shared" si="4"/>
        <v>48635798</v>
      </c>
      <c r="N66" s="46"/>
      <c r="O66" s="46">
        <v>86328974</v>
      </c>
      <c r="P66" s="46"/>
      <c r="Q66" s="46">
        <v>134964772</v>
      </c>
      <c r="R66" s="46"/>
      <c r="S66" s="46">
        <v>333982829</v>
      </c>
      <c r="T66" s="46"/>
      <c r="U66" s="46">
        <f>453396108-42181978-333982829</f>
        <v>77231301</v>
      </c>
      <c r="V66" s="46"/>
      <c r="W66" s="46">
        <v>42181978</v>
      </c>
      <c r="X66" s="46"/>
      <c r="Y66" s="46">
        <f t="shared" si="5"/>
        <v>453396108</v>
      </c>
      <c r="AB66" s="44">
        <f t="shared" si="1"/>
        <v>0</v>
      </c>
    </row>
    <row r="67" spans="1:32" ht="12.75" customHeight="1" x14ac:dyDescent="0.2">
      <c r="A67" s="44" t="s">
        <v>84</v>
      </c>
      <c r="C67" s="44" t="s">
        <v>45</v>
      </c>
      <c r="E67" s="143">
        <f t="shared" si="3"/>
        <v>3908474</v>
      </c>
      <c r="G67" s="44">
        <f>706033+3288514</f>
        <v>3994547</v>
      </c>
      <c r="I67" s="44">
        <v>0</v>
      </c>
      <c r="K67" s="44">
        <v>7903021</v>
      </c>
      <c r="M67" s="44">
        <f t="shared" si="4"/>
        <v>1820731</v>
      </c>
      <c r="O67" s="44">
        <v>2511028</v>
      </c>
      <c r="Q67" s="44">
        <v>4331759</v>
      </c>
      <c r="S67" s="44">
        <v>1600346</v>
      </c>
      <c r="U67" s="44">
        <f>51666+355408+109265</f>
        <v>516339</v>
      </c>
      <c r="W67" s="44">
        <v>1454577</v>
      </c>
      <c r="Y67" s="44">
        <f t="shared" si="5"/>
        <v>3571262</v>
      </c>
      <c r="AB67" s="44">
        <f t="shared" si="1"/>
        <v>0</v>
      </c>
    </row>
    <row r="68" spans="1:32" ht="12.75" customHeight="1" x14ac:dyDescent="0.2">
      <c r="A68" s="44" t="s">
        <v>85</v>
      </c>
      <c r="C68" s="44" t="s">
        <v>85</v>
      </c>
      <c r="E68" s="143">
        <f t="shared" si="3"/>
        <v>10912884</v>
      </c>
      <c r="G68" s="44">
        <f>2849004+16050295</f>
        <v>18899299</v>
      </c>
      <c r="I68" s="44">
        <v>74064</v>
      </c>
      <c r="K68" s="44">
        <v>29886247</v>
      </c>
      <c r="M68" s="44">
        <f t="shared" si="4"/>
        <v>2098484</v>
      </c>
      <c r="O68" s="44">
        <v>4341577</v>
      </c>
      <c r="Q68" s="44">
        <v>6440061</v>
      </c>
      <c r="S68" s="44">
        <v>14814034</v>
      </c>
      <c r="U68" s="44">
        <f>23446186-14814034-1991989</f>
        <v>6640163</v>
      </c>
      <c r="W68" s="44">
        <v>1991989</v>
      </c>
      <c r="Y68" s="44">
        <f t="shared" si="5"/>
        <v>23446186</v>
      </c>
      <c r="AB68" s="44">
        <f t="shared" si="1"/>
        <v>0</v>
      </c>
    </row>
    <row r="69" spans="1:32" ht="12.75" customHeight="1" x14ac:dyDescent="0.2">
      <c r="A69" s="44" t="s">
        <v>86</v>
      </c>
      <c r="C69" s="44" t="s">
        <v>86</v>
      </c>
      <c r="E69" s="143">
        <f t="shared" si="3"/>
        <v>39865578</v>
      </c>
      <c r="G69" s="44">
        <f>10011171+77646129</f>
        <v>87657300</v>
      </c>
      <c r="I69" s="44">
        <v>264338</v>
      </c>
      <c r="K69" s="44">
        <v>127787216</v>
      </c>
      <c r="M69" s="44">
        <f t="shared" si="4"/>
        <v>27336526</v>
      </c>
      <c r="O69" s="44">
        <v>29445836</v>
      </c>
      <c r="Q69" s="44">
        <v>56782362</v>
      </c>
      <c r="S69" s="44">
        <v>44178680</v>
      </c>
      <c r="U69" s="44">
        <f>71004854-44178680-15814619</f>
        <v>11011555</v>
      </c>
      <c r="W69" s="44">
        <v>15814619</v>
      </c>
      <c r="Y69" s="44">
        <f t="shared" si="5"/>
        <v>71004854</v>
      </c>
      <c r="AB69" s="44">
        <f t="shared" si="1"/>
        <v>0</v>
      </c>
    </row>
    <row r="70" spans="1:32" ht="12.75" customHeight="1" x14ac:dyDescent="0.2">
      <c r="A70" s="46" t="s">
        <v>87</v>
      </c>
      <c r="B70" s="46"/>
      <c r="C70" s="46" t="s">
        <v>88</v>
      </c>
      <c r="D70" s="44"/>
      <c r="E70" s="143">
        <f t="shared" si="3"/>
        <v>2701356</v>
      </c>
      <c r="G70" s="44">
        <f>476660+2230107</f>
        <v>2706767</v>
      </c>
      <c r="I70" s="44">
        <v>0</v>
      </c>
      <c r="K70" s="44">
        <v>5408123</v>
      </c>
      <c r="M70" s="44">
        <f t="shared" si="4"/>
        <v>702964</v>
      </c>
      <c r="O70" s="44">
        <v>304614</v>
      </c>
      <c r="Q70" s="44">
        <v>1007578</v>
      </c>
      <c r="S70" s="44">
        <v>2706767</v>
      </c>
      <c r="U70" s="44">
        <f>6167+790935</f>
        <v>797102</v>
      </c>
      <c r="W70" s="44">
        <v>896676</v>
      </c>
      <c r="Y70" s="44">
        <f t="shared" si="5"/>
        <v>4400545</v>
      </c>
      <c r="AB70" s="44">
        <f t="shared" si="1"/>
        <v>0</v>
      </c>
    </row>
    <row r="71" spans="1:32" ht="12.75" customHeight="1" x14ac:dyDescent="0.2">
      <c r="A71" s="44" t="s">
        <v>394</v>
      </c>
      <c r="C71" s="44" t="s">
        <v>89</v>
      </c>
      <c r="E71" s="143">
        <f>+K71-G71-I71</f>
        <v>9009628</v>
      </c>
      <c r="G71" s="44">
        <f>1307512+16207681</f>
        <v>17515193</v>
      </c>
      <c r="I71" s="44">
        <v>36229</v>
      </c>
      <c r="K71" s="44">
        <v>26561050</v>
      </c>
      <c r="M71" s="44">
        <f t="shared" ref="M71" si="16">+Q71-O71</f>
        <v>2234227</v>
      </c>
      <c r="O71" s="44">
        <v>4774030</v>
      </c>
      <c r="Q71" s="44">
        <v>7008257</v>
      </c>
      <c r="S71" s="44">
        <v>14781422</v>
      </c>
      <c r="U71" s="44">
        <f>19552793-3034027-14781422</f>
        <v>1737344</v>
      </c>
      <c r="W71" s="44">
        <v>3034027</v>
      </c>
      <c r="Y71" s="44">
        <f>S71+U71+W71</f>
        <v>19552793</v>
      </c>
      <c r="AB71" s="44">
        <f t="shared" si="1"/>
        <v>0</v>
      </c>
    </row>
    <row r="72" spans="1:32" ht="12.75" hidden="1" customHeight="1" x14ac:dyDescent="0.2">
      <c r="A72" s="44" t="s">
        <v>90</v>
      </c>
      <c r="C72" s="44" t="s">
        <v>43</v>
      </c>
      <c r="E72" s="143">
        <f t="shared" ref="E72:E133" si="17">+K72-G72-I72</f>
        <v>130457975</v>
      </c>
      <c r="G72" s="44">
        <f>273787109+121896150</f>
        <v>395683259</v>
      </c>
      <c r="I72" s="44">
        <v>311142</v>
      </c>
      <c r="K72" s="44">
        <v>526452376</v>
      </c>
      <c r="M72" s="44">
        <f t="shared" ref="M72:M134" si="18">+Q72-O72</f>
        <v>30761819</v>
      </c>
      <c r="O72" s="44">
        <v>41821436</v>
      </c>
      <c r="Q72" s="44">
        <v>72583255</v>
      </c>
      <c r="S72" s="44">
        <v>353598361</v>
      </c>
      <c r="U72" s="44">
        <f>7457935+1225823+1505993</f>
        <v>10189751</v>
      </c>
      <c r="W72" s="44">
        <v>90081009</v>
      </c>
      <c r="Y72" s="44">
        <f t="shared" ref="Y72:Y133" si="19">S72+U72+W72</f>
        <v>453869121</v>
      </c>
      <c r="AB72" s="44">
        <f t="shared" si="1"/>
        <v>0</v>
      </c>
      <c r="AC72" s="44" t="s">
        <v>506</v>
      </c>
    </row>
    <row r="73" spans="1:32" ht="12.75" customHeight="1" x14ac:dyDescent="0.2">
      <c r="A73" s="47" t="s">
        <v>488</v>
      </c>
      <c r="C73" s="47" t="s">
        <v>27</v>
      </c>
      <c r="E73" s="143">
        <f t="shared" si="17"/>
        <v>16338828</v>
      </c>
      <c r="G73" s="44">
        <f>1880245+15705098</f>
        <v>17585343</v>
      </c>
      <c r="I73" s="44">
        <v>0</v>
      </c>
      <c r="K73" s="44">
        <v>33924171</v>
      </c>
      <c r="M73" s="44">
        <f t="shared" si="18"/>
        <v>5437200</v>
      </c>
      <c r="O73" s="44">
        <v>5564027</v>
      </c>
      <c r="Q73" s="44">
        <v>11001227</v>
      </c>
      <c r="S73" s="44">
        <v>13964833</v>
      </c>
      <c r="U73" s="44">
        <f>22922944-13964833-1761123</f>
        <v>7196988</v>
      </c>
      <c r="W73" s="44">
        <v>1761123</v>
      </c>
      <c r="Y73" s="44">
        <f t="shared" si="19"/>
        <v>22922944</v>
      </c>
      <c r="AB73" s="44">
        <f t="shared" si="1"/>
        <v>0</v>
      </c>
    </row>
    <row r="74" spans="1:32" ht="12.75" customHeight="1" x14ac:dyDescent="0.2">
      <c r="A74" s="44" t="s">
        <v>93</v>
      </c>
      <c r="C74" s="44" t="s">
        <v>94</v>
      </c>
      <c r="E74" s="143">
        <f t="shared" si="17"/>
        <v>3775452</v>
      </c>
      <c r="G74" s="44">
        <f>1855529+7007526</f>
        <v>8863055</v>
      </c>
      <c r="I74" s="44">
        <v>0</v>
      </c>
      <c r="K74" s="44">
        <v>12638507</v>
      </c>
      <c r="M74" s="44">
        <f t="shared" si="18"/>
        <v>3272434</v>
      </c>
      <c r="O74" s="44">
        <v>1961785</v>
      </c>
      <c r="Q74" s="44">
        <v>5234219</v>
      </c>
      <c r="S74" s="44">
        <v>6482197</v>
      </c>
      <c r="U74" s="44">
        <f>245223+89539+326775+613203+141302+1617</f>
        <v>1417659</v>
      </c>
      <c r="W74" s="44">
        <v>-495568</v>
      </c>
      <c r="Y74" s="44">
        <f t="shared" si="19"/>
        <v>7404288</v>
      </c>
      <c r="AB74" s="44">
        <f t="shared" ref="AB74:AB81" si="20">+K74-Q74-Y74</f>
        <v>0</v>
      </c>
    </row>
    <row r="75" spans="1:32" s="46" customFormat="1" ht="12.75" customHeight="1" x14ac:dyDescent="0.2">
      <c r="A75" s="46" t="s">
        <v>95</v>
      </c>
      <c r="C75" s="46" t="s">
        <v>94</v>
      </c>
      <c r="E75" s="143">
        <f t="shared" si="17"/>
        <v>2275904</v>
      </c>
      <c r="F75" s="44"/>
      <c r="G75" s="44">
        <v>5043642</v>
      </c>
      <c r="H75" s="44"/>
      <c r="I75" s="44">
        <v>0</v>
      </c>
      <c r="J75" s="44"/>
      <c r="K75" s="44">
        <v>7319546</v>
      </c>
      <c r="L75" s="44"/>
      <c r="M75" s="44">
        <f t="shared" si="18"/>
        <v>929923</v>
      </c>
      <c r="N75" s="44"/>
      <c r="O75" s="44">
        <v>1144233</v>
      </c>
      <c r="P75" s="44"/>
      <c r="Q75" s="44">
        <v>2074156</v>
      </c>
      <c r="R75" s="44"/>
      <c r="S75" s="44">
        <v>3940447</v>
      </c>
      <c r="T75" s="44"/>
      <c r="U75" s="44">
        <v>3613939</v>
      </c>
      <c r="V75" s="44"/>
      <c r="W75" s="44">
        <v>-2308996</v>
      </c>
      <c r="X75" s="44"/>
      <c r="Y75" s="44">
        <f t="shared" si="19"/>
        <v>5245390</v>
      </c>
      <c r="Z75" s="44"/>
      <c r="AA75" s="44"/>
      <c r="AB75" s="44">
        <f t="shared" si="20"/>
        <v>0</v>
      </c>
      <c r="AF75" s="44"/>
    </row>
    <row r="76" spans="1:32" ht="12.75" customHeight="1" x14ac:dyDescent="0.2">
      <c r="A76" s="44" t="s">
        <v>91</v>
      </c>
      <c r="C76" s="44" t="s">
        <v>92</v>
      </c>
      <c r="E76" s="143">
        <f t="shared" ref="E76" si="21">+K76-G76-I76</f>
        <v>10094907</v>
      </c>
      <c r="G76" s="44">
        <f>7044735+30228270</f>
        <v>37273005</v>
      </c>
      <c r="I76" s="44">
        <v>537614</v>
      </c>
      <c r="K76" s="44">
        <v>47905526</v>
      </c>
      <c r="M76" s="44">
        <f t="shared" ref="M76" si="22">+Q76-O76</f>
        <v>5463613</v>
      </c>
      <c r="O76" s="44">
        <v>15936097</v>
      </c>
      <c r="Q76" s="44">
        <v>21399710</v>
      </c>
      <c r="S76" s="44">
        <v>22144290</v>
      </c>
      <c r="U76" s="44">
        <f>26505816-22144290-1422207</f>
        <v>2939319</v>
      </c>
      <c r="W76" s="44">
        <v>1422207</v>
      </c>
      <c r="Y76" s="44">
        <f t="shared" ref="Y76" si="23">S76+U76+W76</f>
        <v>26505816</v>
      </c>
      <c r="AB76" s="44">
        <f t="shared" si="20"/>
        <v>0</v>
      </c>
    </row>
    <row r="77" spans="1:32" ht="12.75" customHeight="1" x14ac:dyDescent="0.2">
      <c r="A77" s="44" t="s">
        <v>96</v>
      </c>
      <c r="C77" s="44" t="s">
        <v>97</v>
      </c>
      <c r="E77" s="143">
        <f t="shared" si="17"/>
        <v>8074096</v>
      </c>
      <c r="G77" s="44">
        <f>820439+5221+7662088</f>
        <v>8487748</v>
      </c>
      <c r="I77" s="44">
        <v>0</v>
      </c>
      <c r="K77" s="44">
        <v>16561844</v>
      </c>
      <c r="M77" s="44">
        <f t="shared" si="18"/>
        <v>1413335</v>
      </c>
      <c r="O77" s="44">
        <v>1786316</v>
      </c>
      <c r="Q77" s="44">
        <v>3199651</v>
      </c>
      <c r="S77" s="44">
        <v>6853808</v>
      </c>
      <c r="U77" s="44">
        <f>13362193-6853808-1753130</f>
        <v>4755255</v>
      </c>
      <c r="W77" s="44">
        <v>1753130</v>
      </c>
      <c r="Y77" s="44">
        <f t="shared" si="19"/>
        <v>13362193</v>
      </c>
      <c r="AB77" s="44">
        <f t="shared" si="20"/>
        <v>0</v>
      </c>
    </row>
    <row r="78" spans="1:32" ht="12.75" customHeight="1" x14ac:dyDescent="0.2">
      <c r="A78" s="44" t="s">
        <v>98</v>
      </c>
      <c r="C78" s="44" t="s">
        <v>17</v>
      </c>
      <c r="E78" s="143">
        <f t="shared" si="17"/>
        <v>26998106</v>
      </c>
      <c r="G78" s="44">
        <f>6728563+24822540+2903073+4999897+45418931+2761905+1753548</f>
        <v>89388457</v>
      </c>
      <c r="I78" s="44">
        <v>503441</v>
      </c>
      <c r="K78" s="44">
        <v>116890004</v>
      </c>
      <c r="M78" s="44">
        <f t="shared" si="18"/>
        <v>15519861</v>
      </c>
      <c r="O78" s="44">
        <v>32524176</v>
      </c>
      <c r="Q78" s="44">
        <v>48044037</v>
      </c>
      <c r="S78" s="44">
        <v>55127394</v>
      </c>
      <c r="U78" s="44">
        <f>68845967-55127394-4037855</f>
        <v>9680718</v>
      </c>
      <c r="W78" s="44">
        <v>4037855</v>
      </c>
      <c r="Y78" s="44">
        <f t="shared" si="19"/>
        <v>68845967</v>
      </c>
      <c r="AB78" s="44">
        <f t="shared" si="20"/>
        <v>0</v>
      </c>
    </row>
    <row r="79" spans="1:32" ht="12.75" customHeight="1" x14ac:dyDescent="0.2">
      <c r="A79" s="44" t="s">
        <v>99</v>
      </c>
      <c r="C79" s="44" t="s">
        <v>66</v>
      </c>
      <c r="E79" s="143">
        <f t="shared" si="17"/>
        <v>17472341</v>
      </c>
      <c r="G79" s="44">
        <v>37175066</v>
      </c>
      <c r="I79" s="44">
        <v>0</v>
      </c>
      <c r="K79" s="44">
        <v>54647407</v>
      </c>
      <c r="M79" s="44">
        <f t="shared" si="18"/>
        <v>2116092</v>
      </c>
      <c r="O79" s="44">
        <v>170238</v>
      </c>
      <c r="Q79" s="44">
        <v>2286330</v>
      </c>
      <c r="S79" s="44">
        <v>37175066</v>
      </c>
      <c r="U79" s="44">
        <f>6069+1408479+1094892+270563</f>
        <v>2780003</v>
      </c>
      <c r="W79" s="44">
        <v>12406008</v>
      </c>
      <c r="Y79" s="44">
        <f t="shared" si="19"/>
        <v>52361077</v>
      </c>
      <c r="AB79" s="44">
        <f t="shared" si="20"/>
        <v>0</v>
      </c>
    </row>
    <row r="80" spans="1:32" ht="12.75" customHeight="1" x14ac:dyDescent="0.2">
      <c r="A80" s="44" t="s">
        <v>100</v>
      </c>
      <c r="C80" s="44" t="s">
        <v>27</v>
      </c>
      <c r="E80" s="143">
        <f t="shared" si="17"/>
        <v>41744088</v>
      </c>
      <c r="G80" s="44">
        <f>13684924+54016959</f>
        <v>67701883</v>
      </c>
      <c r="I80" s="44">
        <v>633825</v>
      </c>
      <c r="K80" s="44">
        <v>110079796</v>
      </c>
      <c r="M80" s="44">
        <f t="shared" si="18"/>
        <v>17832509</v>
      </c>
      <c r="O80" s="44">
        <v>33171684</v>
      </c>
      <c r="Q80" s="44">
        <v>51004193</v>
      </c>
      <c r="S80" s="44">
        <v>36596632</v>
      </c>
      <c r="U80" s="44">
        <f>7576108+736471+682744+1309693</f>
        <v>10305016</v>
      </c>
      <c r="W80" s="44">
        <v>12173955</v>
      </c>
      <c r="Y80" s="44">
        <f t="shared" si="19"/>
        <v>59075603</v>
      </c>
      <c r="AB80" s="44">
        <f t="shared" si="20"/>
        <v>0</v>
      </c>
    </row>
    <row r="81" spans="1:28" ht="12.75" customHeight="1" x14ac:dyDescent="0.2">
      <c r="A81" s="44" t="s">
        <v>101</v>
      </c>
      <c r="C81" s="44" t="s">
        <v>30</v>
      </c>
      <c r="E81" s="143">
        <f t="shared" si="17"/>
        <v>30430756</v>
      </c>
      <c r="G81" s="44">
        <f>14302128+52826448</f>
        <v>67128576</v>
      </c>
      <c r="I81" s="44">
        <v>10657</v>
      </c>
      <c r="K81" s="44">
        <v>97569989</v>
      </c>
      <c r="M81" s="44">
        <f t="shared" si="18"/>
        <v>12515649</v>
      </c>
      <c r="O81" s="44">
        <v>4638247</v>
      </c>
      <c r="Q81" s="44">
        <v>17153896</v>
      </c>
      <c r="S81" s="44">
        <v>59259234</v>
      </c>
      <c r="U81" s="44">
        <f>80416093-59259234-7587718</f>
        <v>13569141</v>
      </c>
      <c r="W81" s="44">
        <v>7587718</v>
      </c>
      <c r="Y81" s="44">
        <f t="shared" si="19"/>
        <v>80416093</v>
      </c>
      <c r="AB81" s="44">
        <f t="shared" si="20"/>
        <v>0</v>
      </c>
    </row>
    <row r="82" spans="1:28" ht="12.75" customHeight="1" x14ac:dyDescent="0.2">
      <c r="A82" s="44" t="s">
        <v>102</v>
      </c>
      <c r="C82" s="44" t="s">
        <v>103</v>
      </c>
      <c r="E82" s="143">
        <f t="shared" si="17"/>
        <v>41494747</v>
      </c>
      <c r="G82" s="44">
        <f>27543004+59958406</f>
        <v>87501410</v>
      </c>
      <c r="I82" s="44">
        <v>189856</v>
      </c>
      <c r="K82" s="44">
        <v>129186013</v>
      </c>
      <c r="M82" s="44">
        <f t="shared" si="18"/>
        <v>10679363</v>
      </c>
      <c r="O82" s="44">
        <v>25853242</v>
      </c>
      <c r="Q82" s="44">
        <v>36532605</v>
      </c>
      <c r="S82" s="44">
        <v>64296950</v>
      </c>
      <c r="U82" s="44">
        <f>92653408-64296950-12370308</f>
        <v>15986150</v>
      </c>
      <c r="W82" s="44">
        <v>12370308</v>
      </c>
      <c r="Y82" s="44">
        <f t="shared" si="19"/>
        <v>92653408</v>
      </c>
      <c r="AB82" s="44">
        <f t="shared" ref="AB82:AB149" si="24">+K82-Q82-Y82</f>
        <v>0</v>
      </c>
    </row>
    <row r="83" spans="1:28" ht="12.75" customHeight="1" x14ac:dyDescent="0.2">
      <c r="A83" s="44" t="s">
        <v>104</v>
      </c>
      <c r="C83" s="44" t="s">
        <v>13</v>
      </c>
      <c r="E83" s="143">
        <f t="shared" si="17"/>
        <v>19356210</v>
      </c>
      <c r="G83" s="44">
        <v>62759792</v>
      </c>
      <c r="I83" s="44">
        <v>0</v>
      </c>
      <c r="K83" s="44">
        <v>82116002</v>
      </c>
      <c r="M83" s="44">
        <f t="shared" si="18"/>
        <v>2929423</v>
      </c>
      <c r="O83" s="44">
        <v>5732975</v>
      </c>
      <c r="Q83" s="44">
        <v>8662398</v>
      </c>
      <c r="S83" s="44">
        <v>57009118</v>
      </c>
      <c r="U83" s="44">
        <f>253942+3483555+1105090</f>
        <v>4842587</v>
      </c>
      <c r="W83" s="44">
        <v>11601899</v>
      </c>
      <c r="Y83" s="44">
        <f t="shared" si="19"/>
        <v>73453604</v>
      </c>
      <c r="AB83" s="44">
        <f t="shared" si="24"/>
        <v>0</v>
      </c>
    </row>
    <row r="84" spans="1:28" ht="12.75" customHeight="1" x14ac:dyDescent="0.2">
      <c r="A84" s="44" t="s">
        <v>105</v>
      </c>
      <c r="C84" s="44" t="s">
        <v>27</v>
      </c>
      <c r="E84" s="143">
        <f t="shared" si="17"/>
        <v>14173584</v>
      </c>
      <c r="G84" s="44">
        <f>1050943+47584701</f>
        <v>48635644</v>
      </c>
      <c r="I84" s="44">
        <v>219083</v>
      </c>
      <c r="K84" s="44">
        <v>63028311</v>
      </c>
      <c r="M84" s="44">
        <f t="shared" si="18"/>
        <v>6495146</v>
      </c>
      <c r="O84" s="44">
        <v>25475721</v>
      </c>
      <c r="Q84" s="44">
        <v>31970867</v>
      </c>
      <c r="S84" s="44">
        <v>24896318</v>
      </c>
      <c r="U84" s="44">
        <f>31057444-24896318-1377101</f>
        <v>4784025</v>
      </c>
      <c r="W84" s="44">
        <v>1377101</v>
      </c>
      <c r="Y84" s="44">
        <f t="shared" si="19"/>
        <v>31057444</v>
      </c>
      <c r="AB84" s="44">
        <f t="shared" si="24"/>
        <v>0</v>
      </c>
    </row>
    <row r="85" spans="1:28" ht="12.75" customHeight="1" x14ac:dyDescent="0.2">
      <c r="A85" s="44" t="s">
        <v>106</v>
      </c>
      <c r="C85" s="44" t="s">
        <v>107</v>
      </c>
      <c r="E85" s="143">
        <f t="shared" si="17"/>
        <v>29096699</v>
      </c>
      <c r="G85" s="44">
        <v>82098083</v>
      </c>
      <c r="I85" s="44">
        <v>172227</v>
      </c>
      <c r="K85" s="44">
        <v>111367009</v>
      </c>
      <c r="M85" s="44">
        <f t="shared" si="18"/>
        <v>7390345</v>
      </c>
      <c r="O85" s="44">
        <v>12795663</v>
      </c>
      <c r="Q85" s="44">
        <v>20186008</v>
      </c>
      <c r="S85" s="44">
        <v>72312433</v>
      </c>
      <c r="U85" s="44">
        <f>91181001-72312433-12544754</f>
        <v>6323814</v>
      </c>
      <c r="W85" s="44">
        <v>12544754</v>
      </c>
      <c r="Y85" s="44">
        <f t="shared" si="19"/>
        <v>91181001</v>
      </c>
      <c r="AB85" s="44">
        <f>+K85-Q85-Y85</f>
        <v>0</v>
      </c>
    </row>
    <row r="86" spans="1:28" ht="12.75" customHeight="1" x14ac:dyDescent="0.2">
      <c r="A86" s="44" t="s">
        <v>108</v>
      </c>
      <c r="C86" s="44" t="s">
        <v>45</v>
      </c>
      <c r="E86" s="143">
        <f t="shared" si="17"/>
        <v>25621460</v>
      </c>
      <c r="G86" s="44">
        <f>14577427+25322560</f>
        <v>39899987</v>
      </c>
      <c r="I86" s="44">
        <v>34641</v>
      </c>
      <c r="K86" s="44">
        <v>65556088</v>
      </c>
      <c r="M86" s="44">
        <f t="shared" si="18"/>
        <v>10607658</v>
      </c>
      <c r="O86" s="44">
        <v>2502028</v>
      </c>
      <c r="Q86" s="44">
        <v>13109686</v>
      </c>
      <c r="S86" s="44">
        <v>34461845</v>
      </c>
      <c r="U86" s="44">
        <f>52446402-34461845-9725146</f>
        <v>8259411</v>
      </c>
      <c r="W86" s="44">
        <v>9725146</v>
      </c>
      <c r="Y86" s="44">
        <f t="shared" si="19"/>
        <v>52446402</v>
      </c>
      <c r="AB86" s="44">
        <f>+K86-Q86-Y86</f>
        <v>0</v>
      </c>
    </row>
    <row r="87" spans="1:28" ht="12.75" customHeight="1" x14ac:dyDescent="0.2">
      <c r="A87" s="44" t="s">
        <v>109</v>
      </c>
      <c r="B87" s="44"/>
      <c r="C87" s="44" t="s">
        <v>110</v>
      </c>
      <c r="D87" s="44"/>
      <c r="E87" s="143">
        <f t="shared" si="17"/>
        <v>7323820</v>
      </c>
      <c r="G87" s="44">
        <v>9822845</v>
      </c>
      <c r="I87" s="44">
        <v>0</v>
      </c>
      <c r="K87" s="44">
        <v>17146665</v>
      </c>
      <c r="M87" s="44">
        <f t="shared" si="18"/>
        <v>1717436</v>
      </c>
      <c r="O87" s="44">
        <v>1285643</v>
      </c>
      <c r="Q87" s="44">
        <v>3003079</v>
      </c>
      <c r="S87" s="44">
        <v>9437938</v>
      </c>
      <c r="U87" s="44">
        <f>14143586-9437938-673960</f>
        <v>4031688</v>
      </c>
      <c r="W87" s="44">
        <v>673960</v>
      </c>
      <c r="Y87" s="44">
        <f t="shared" si="19"/>
        <v>14143586</v>
      </c>
      <c r="AB87" s="44">
        <f t="shared" si="24"/>
        <v>0</v>
      </c>
    </row>
    <row r="88" spans="1:28" ht="12.75" customHeight="1" x14ac:dyDescent="0.2">
      <c r="A88" s="44" t="s">
        <v>43</v>
      </c>
      <c r="C88" s="44" t="s">
        <v>111</v>
      </c>
      <c r="E88" s="143">
        <f t="shared" si="17"/>
        <v>14644247</v>
      </c>
      <c r="G88" s="44">
        <f>19175661+28229242</f>
        <v>47404903</v>
      </c>
      <c r="I88" s="44">
        <v>16620</v>
      </c>
      <c r="K88" s="44">
        <v>62065770</v>
      </c>
      <c r="M88" s="44">
        <f t="shared" si="18"/>
        <v>4060220</v>
      </c>
      <c r="O88" s="44">
        <v>7872774</v>
      </c>
      <c r="Q88" s="44">
        <v>11932994</v>
      </c>
      <c r="S88" s="44">
        <v>39349974</v>
      </c>
      <c r="U88" s="44">
        <f>50132776-4464786-39349974</f>
        <v>6318016</v>
      </c>
      <c r="W88" s="44">
        <v>4464786</v>
      </c>
      <c r="Y88" s="44">
        <f t="shared" si="19"/>
        <v>50132776</v>
      </c>
      <c r="AB88" s="44">
        <f t="shared" si="24"/>
        <v>0</v>
      </c>
    </row>
    <row r="89" spans="1:28" ht="12.75" customHeight="1" x14ac:dyDescent="0.2">
      <c r="A89" s="44" t="s">
        <v>112</v>
      </c>
      <c r="C89" s="44" t="s">
        <v>76</v>
      </c>
      <c r="E89" s="143">
        <f t="shared" si="17"/>
        <v>15014156</v>
      </c>
      <c r="G89" s="44">
        <f>1003061+21293092</f>
        <v>22296153</v>
      </c>
      <c r="I89" s="44">
        <v>99488</v>
      </c>
      <c r="K89" s="44">
        <v>37409797</v>
      </c>
      <c r="M89" s="44">
        <f t="shared" si="18"/>
        <v>2002317</v>
      </c>
      <c r="O89" s="44">
        <v>3582369</v>
      </c>
      <c r="Q89" s="44">
        <v>5584686</v>
      </c>
      <c r="S89" s="44">
        <v>19948353</v>
      </c>
      <c r="U89" s="44">
        <f>31825111-19948353-5772521</f>
        <v>6104237</v>
      </c>
      <c r="W89" s="44">
        <v>5772521</v>
      </c>
      <c r="Y89" s="44">
        <f t="shared" si="19"/>
        <v>31825111</v>
      </c>
      <c r="AB89" s="44">
        <f t="shared" si="24"/>
        <v>0</v>
      </c>
    </row>
    <row r="90" spans="1:28" ht="12.75" customHeight="1" x14ac:dyDescent="0.2">
      <c r="A90" s="44" t="s">
        <v>113</v>
      </c>
      <c r="C90" s="44" t="s">
        <v>43</v>
      </c>
      <c r="E90" s="143">
        <f t="shared" si="17"/>
        <v>41019245</v>
      </c>
      <c r="G90" s="44">
        <f>24383111+64513872</f>
        <v>88896983</v>
      </c>
      <c r="I90" s="44">
        <v>163883</v>
      </c>
      <c r="K90" s="44">
        <v>130080111</v>
      </c>
      <c r="M90" s="44">
        <f t="shared" si="18"/>
        <v>6174857</v>
      </c>
      <c r="O90" s="44">
        <v>21212187</v>
      </c>
      <c r="Q90" s="44">
        <v>27387044</v>
      </c>
      <c r="S90" s="44">
        <v>68285441</v>
      </c>
      <c r="U90" s="44">
        <f>102693067-68285441-23263469</f>
        <v>11144157</v>
      </c>
      <c r="W90" s="44">
        <v>23263469</v>
      </c>
      <c r="Y90" s="44">
        <f t="shared" si="19"/>
        <v>102693067</v>
      </c>
      <c r="AB90" s="44">
        <f t="shared" si="24"/>
        <v>0</v>
      </c>
    </row>
    <row r="91" spans="1:28" ht="12.75" customHeight="1" x14ac:dyDescent="0.2">
      <c r="A91" s="44" t="s">
        <v>489</v>
      </c>
      <c r="C91" s="44" t="s">
        <v>57</v>
      </c>
      <c r="E91" s="143">
        <f t="shared" si="17"/>
        <v>10630277</v>
      </c>
      <c r="G91" s="44">
        <f>4102035+11392071</f>
        <v>15494106</v>
      </c>
      <c r="I91" s="44">
        <v>0</v>
      </c>
      <c r="K91" s="44">
        <v>26124383</v>
      </c>
      <c r="M91" s="44">
        <f t="shared" si="18"/>
        <v>2768296</v>
      </c>
      <c r="O91" s="44">
        <v>1439233</v>
      </c>
      <c r="Q91" s="44">
        <v>4207529</v>
      </c>
      <c r="S91" s="44">
        <v>14009411</v>
      </c>
      <c r="U91" s="44">
        <f>21916854-14009411-5037925</f>
        <v>2869518</v>
      </c>
      <c r="W91" s="44">
        <v>5037925</v>
      </c>
      <c r="Y91" s="44">
        <f t="shared" si="19"/>
        <v>21916854</v>
      </c>
      <c r="AB91" s="44">
        <f t="shared" si="24"/>
        <v>0</v>
      </c>
    </row>
    <row r="92" spans="1:28" ht="12.75" customHeight="1" x14ac:dyDescent="0.2">
      <c r="A92" s="44" t="s">
        <v>114</v>
      </c>
      <c r="C92" s="44" t="s">
        <v>27</v>
      </c>
      <c r="E92" s="143">
        <f t="shared" si="17"/>
        <v>24709462</v>
      </c>
      <c r="G92" s="44">
        <f>2332288+28842950</f>
        <v>31175238</v>
      </c>
      <c r="I92" s="44">
        <v>597007</v>
      </c>
      <c r="K92" s="44">
        <v>56481707</v>
      </c>
      <c r="M92" s="44">
        <f t="shared" si="18"/>
        <v>18383697</v>
      </c>
      <c r="O92" s="44">
        <v>30461967</v>
      </c>
      <c r="Q92" s="44">
        <v>48845664</v>
      </c>
      <c r="S92" s="44">
        <v>11122764</v>
      </c>
      <c r="U92" s="44">
        <f>7636043+7911972-11122764</f>
        <v>4425251</v>
      </c>
      <c r="W92" s="44">
        <v>-7911972</v>
      </c>
      <c r="Y92" s="44">
        <f t="shared" si="19"/>
        <v>7636043</v>
      </c>
      <c r="AB92" s="44">
        <f t="shared" si="24"/>
        <v>0</v>
      </c>
    </row>
    <row r="93" spans="1:28" ht="12.75" customHeight="1" x14ac:dyDescent="0.2">
      <c r="A93" s="44" t="s">
        <v>115</v>
      </c>
      <c r="C93" s="44" t="s">
        <v>19</v>
      </c>
      <c r="E93" s="143">
        <f t="shared" si="17"/>
        <v>5179039</v>
      </c>
      <c r="G93" s="44">
        <f>2225305+15452621</f>
        <v>17677926</v>
      </c>
      <c r="I93" s="44">
        <v>0</v>
      </c>
      <c r="K93" s="44">
        <v>22856965</v>
      </c>
      <c r="M93" s="44">
        <f t="shared" si="18"/>
        <v>1625208</v>
      </c>
      <c r="O93" s="44">
        <v>3088873</v>
      </c>
      <c r="Q93" s="44">
        <v>4714081</v>
      </c>
      <c r="S93" s="44">
        <v>14188099</v>
      </c>
      <c r="U93" s="44">
        <f>213711+296135+948102</f>
        <v>1457948</v>
      </c>
      <c r="W93" s="44">
        <v>2496837</v>
      </c>
      <c r="Y93" s="44">
        <f t="shared" si="19"/>
        <v>18142884</v>
      </c>
      <c r="AB93" s="44">
        <f t="shared" si="24"/>
        <v>0</v>
      </c>
    </row>
    <row r="94" spans="1:28" ht="12.75" customHeight="1" x14ac:dyDescent="0.2">
      <c r="A94" s="44" t="s">
        <v>116</v>
      </c>
      <c r="C94" s="44" t="s">
        <v>80</v>
      </c>
      <c r="E94" s="143">
        <f t="shared" si="17"/>
        <v>5009031</v>
      </c>
      <c r="G94" s="44">
        <f>1073640+27873387</f>
        <v>28947027</v>
      </c>
      <c r="I94" s="44">
        <v>0</v>
      </c>
      <c r="K94" s="44">
        <v>33956058</v>
      </c>
      <c r="M94" s="44">
        <f t="shared" si="18"/>
        <v>2175929</v>
      </c>
      <c r="O94" s="44">
        <v>4493918</v>
      </c>
      <c r="Q94" s="44">
        <v>6669847</v>
      </c>
      <c r="S94" s="44">
        <v>24716080</v>
      </c>
      <c r="U94" s="44">
        <f>27286211-24716080-539010</f>
        <v>2031121</v>
      </c>
      <c r="W94" s="44">
        <v>539010</v>
      </c>
      <c r="Y94" s="44">
        <f t="shared" si="19"/>
        <v>27286211</v>
      </c>
      <c r="AB94" s="44">
        <f t="shared" si="24"/>
        <v>0</v>
      </c>
    </row>
    <row r="95" spans="1:28" ht="12.75" customHeight="1" x14ac:dyDescent="0.2">
      <c r="A95" s="47" t="s">
        <v>117</v>
      </c>
      <c r="C95" s="47" t="s">
        <v>43</v>
      </c>
      <c r="E95" s="143">
        <f t="shared" si="17"/>
        <v>9531335</v>
      </c>
      <c r="G95" s="44">
        <f>3562132+11701966</f>
        <v>15264098</v>
      </c>
      <c r="I95" s="44">
        <v>0</v>
      </c>
      <c r="K95" s="44">
        <v>24795433</v>
      </c>
      <c r="M95" s="44">
        <f t="shared" si="18"/>
        <v>3959641</v>
      </c>
      <c r="O95" s="44">
        <v>1560801</v>
      </c>
      <c r="Q95" s="44">
        <v>5520442</v>
      </c>
      <c r="S95" s="44">
        <v>13916772</v>
      </c>
      <c r="U95" s="44">
        <f>19274991-13916772-4764336</f>
        <v>593883</v>
      </c>
      <c r="W95" s="44">
        <v>4764336</v>
      </c>
      <c r="Y95" s="44">
        <f t="shared" si="19"/>
        <v>19274991</v>
      </c>
      <c r="AB95" s="44">
        <f t="shared" si="24"/>
        <v>0</v>
      </c>
    </row>
    <row r="96" spans="1:28" ht="12.75" customHeight="1" x14ac:dyDescent="0.2">
      <c r="A96" s="44" t="s">
        <v>118</v>
      </c>
      <c r="C96" s="44" t="s">
        <v>13</v>
      </c>
      <c r="E96" s="143">
        <f t="shared" si="17"/>
        <v>63699163</v>
      </c>
      <c r="G96" s="44">
        <f>25768268+71842839</f>
        <v>97611107</v>
      </c>
      <c r="I96" s="44">
        <v>410725</v>
      </c>
      <c r="K96" s="44">
        <v>161720995</v>
      </c>
      <c r="M96" s="44">
        <f t="shared" si="18"/>
        <v>13973817</v>
      </c>
      <c r="O96" s="44">
        <v>50078386</v>
      </c>
      <c r="Q96" s="44">
        <v>64052203</v>
      </c>
      <c r="S96" s="44">
        <v>50689349</v>
      </c>
      <c r="U96" s="44">
        <f>97668792-50689349-33142881</f>
        <v>13836562</v>
      </c>
      <c r="W96" s="44">
        <v>33142881</v>
      </c>
      <c r="Y96" s="44">
        <f t="shared" si="19"/>
        <v>97668792</v>
      </c>
      <c r="AB96" s="44">
        <f t="shared" si="24"/>
        <v>0</v>
      </c>
    </row>
    <row r="97" spans="1:28" ht="12.75" customHeight="1" x14ac:dyDescent="0.2">
      <c r="A97" s="44" t="s">
        <v>120</v>
      </c>
      <c r="C97" s="44" t="s">
        <v>121</v>
      </c>
      <c r="E97" s="143">
        <f t="shared" si="17"/>
        <v>10209597</v>
      </c>
      <c r="G97" s="44">
        <v>15503823</v>
      </c>
      <c r="I97" s="44">
        <v>39178</v>
      </c>
      <c r="K97" s="44">
        <v>25752598</v>
      </c>
      <c r="M97" s="44">
        <f t="shared" si="18"/>
        <v>2592290</v>
      </c>
      <c r="O97" s="44">
        <v>2979276</v>
      </c>
      <c r="Q97" s="44">
        <v>5571566</v>
      </c>
      <c r="S97" s="44">
        <v>12801368</v>
      </c>
      <c r="U97" s="44">
        <f>81026+1339745+27459</f>
        <v>1448230</v>
      </c>
      <c r="W97" s="44">
        <v>5931434</v>
      </c>
      <c r="Y97" s="44">
        <f t="shared" si="19"/>
        <v>20181032</v>
      </c>
      <c r="AB97" s="44">
        <f t="shared" si="24"/>
        <v>0</v>
      </c>
    </row>
    <row r="98" spans="1:28" ht="12.75" customHeight="1" x14ac:dyDescent="0.2">
      <c r="A98" s="44" t="s">
        <v>122</v>
      </c>
      <c r="C98" s="44" t="s">
        <v>43</v>
      </c>
      <c r="E98" s="143">
        <f t="shared" si="17"/>
        <v>59317977</v>
      </c>
      <c r="G98" s="44">
        <f>45357695+150650541</f>
        <v>196008236</v>
      </c>
      <c r="I98" s="44">
        <v>424651</v>
      </c>
      <c r="K98" s="44">
        <v>255750864</v>
      </c>
      <c r="M98" s="44">
        <f t="shared" si="18"/>
        <v>10099378</v>
      </c>
      <c r="O98" s="44">
        <v>34847580</v>
      </c>
      <c r="Q98" s="44">
        <v>44946958</v>
      </c>
      <c r="S98" s="44">
        <v>162830578</v>
      </c>
      <c r="U98" s="44">
        <f>210803906-162830578-31427237</f>
        <v>16546091</v>
      </c>
      <c r="W98" s="44">
        <v>31427237</v>
      </c>
      <c r="Y98" s="44">
        <f t="shared" si="19"/>
        <v>210803906</v>
      </c>
      <c r="AB98" s="44">
        <f t="shared" si="24"/>
        <v>0</v>
      </c>
    </row>
    <row r="99" spans="1:28" ht="12.75" customHeight="1" x14ac:dyDescent="0.2">
      <c r="A99" s="35" t="s">
        <v>507</v>
      </c>
      <c r="B99" s="51"/>
      <c r="C99" s="35" t="s">
        <v>43</v>
      </c>
      <c r="E99" s="143">
        <f t="shared" si="17"/>
        <v>6004891</v>
      </c>
      <c r="G99" s="44">
        <v>47987254</v>
      </c>
      <c r="I99" s="44">
        <v>113007</v>
      </c>
      <c r="K99" s="44">
        <v>54105152</v>
      </c>
      <c r="M99" s="44">
        <f t="shared" si="18"/>
        <v>3160776</v>
      </c>
      <c r="O99" s="44">
        <v>14747527</v>
      </c>
      <c r="Q99" s="44">
        <v>17908303</v>
      </c>
      <c r="S99" s="44">
        <v>31554382</v>
      </c>
      <c r="U99" s="44">
        <f>36196849-31554382-3727047</f>
        <v>915420</v>
      </c>
      <c r="W99" s="44">
        <v>3727047</v>
      </c>
      <c r="Y99" s="44">
        <f t="shared" si="19"/>
        <v>36196849</v>
      </c>
      <c r="AB99" s="44">
        <f t="shared" si="24"/>
        <v>0</v>
      </c>
    </row>
    <row r="100" spans="1:28" ht="12.75" customHeight="1" x14ac:dyDescent="0.2">
      <c r="A100" s="44" t="s">
        <v>45</v>
      </c>
      <c r="C100" s="44" t="s">
        <v>103</v>
      </c>
      <c r="E100" s="143">
        <f t="shared" si="17"/>
        <v>42485386</v>
      </c>
      <c r="G100" s="44">
        <f>35971158+53776395</f>
        <v>89747553</v>
      </c>
      <c r="I100" s="44">
        <v>352822</v>
      </c>
      <c r="K100" s="44">
        <v>132585761</v>
      </c>
      <c r="M100" s="44">
        <f t="shared" si="18"/>
        <v>14691515</v>
      </c>
      <c r="O100" s="44">
        <v>33433156</v>
      </c>
      <c r="Q100" s="44">
        <v>48124671</v>
      </c>
      <c r="S100" s="44">
        <v>61265974</v>
      </c>
      <c r="U100" s="44">
        <f>84461090-61265974-5091551</f>
        <v>18103565</v>
      </c>
      <c r="W100" s="44">
        <v>5091551</v>
      </c>
      <c r="Y100" s="44">
        <f t="shared" si="19"/>
        <v>84461090</v>
      </c>
      <c r="AB100" s="44">
        <f t="shared" si="24"/>
        <v>0</v>
      </c>
    </row>
    <row r="101" spans="1:28" ht="12.75" customHeight="1" x14ac:dyDescent="0.2">
      <c r="A101" s="44" t="s">
        <v>123</v>
      </c>
      <c r="C101" s="44" t="s">
        <v>45</v>
      </c>
      <c r="E101" s="143">
        <f t="shared" si="17"/>
        <v>6479493</v>
      </c>
      <c r="G101" s="44">
        <f>4230087+11668076</f>
        <v>15898163</v>
      </c>
      <c r="I101" s="44">
        <v>81276</v>
      </c>
      <c r="K101" s="44">
        <v>22458932</v>
      </c>
      <c r="M101" s="44">
        <f t="shared" si="18"/>
        <v>4494785</v>
      </c>
      <c r="O101" s="44">
        <v>6839293</v>
      </c>
      <c r="Q101" s="44">
        <v>11334078</v>
      </c>
      <c r="S101" s="44">
        <v>9157078</v>
      </c>
      <c r="U101" s="44">
        <f>196806+434498+529826+173718</f>
        <v>1334848</v>
      </c>
      <c r="W101" s="44">
        <v>632928</v>
      </c>
      <c r="Y101" s="44">
        <f t="shared" si="19"/>
        <v>11124854</v>
      </c>
      <c r="AB101" s="44">
        <f t="shared" si="24"/>
        <v>0</v>
      </c>
    </row>
    <row r="102" spans="1:28" ht="12.75" customHeight="1" x14ac:dyDescent="0.2">
      <c r="A102" s="44" t="s">
        <v>124</v>
      </c>
      <c r="C102" s="44" t="s">
        <v>125</v>
      </c>
      <c r="E102" s="143">
        <f t="shared" si="17"/>
        <v>8753404</v>
      </c>
      <c r="G102" s="44">
        <f>13713634+19800687</f>
        <v>33514321</v>
      </c>
      <c r="I102" s="44">
        <v>0</v>
      </c>
      <c r="K102" s="44">
        <v>42267725</v>
      </c>
      <c r="M102" s="44">
        <f t="shared" si="18"/>
        <v>2266953</v>
      </c>
      <c r="O102" s="44">
        <v>3945593</v>
      </c>
      <c r="Q102" s="44">
        <v>6212546</v>
      </c>
      <c r="S102" s="44">
        <v>29909342</v>
      </c>
      <c r="U102" s="44">
        <f>36055179-29909342-3096541</f>
        <v>3049296</v>
      </c>
      <c r="W102" s="44">
        <v>3096541</v>
      </c>
      <c r="Y102" s="44">
        <f t="shared" si="19"/>
        <v>36055179</v>
      </c>
      <c r="AB102" s="44">
        <f>+K102-Q102-Y102</f>
        <v>0</v>
      </c>
    </row>
    <row r="103" spans="1:28" ht="12.75" customHeight="1" x14ac:dyDescent="0.2">
      <c r="A103" s="44" t="s">
        <v>126</v>
      </c>
      <c r="C103" s="44" t="s">
        <v>27</v>
      </c>
      <c r="E103" s="143">
        <f t="shared" si="17"/>
        <v>19798735</v>
      </c>
      <c r="G103" s="44">
        <f>3376876+41556304</f>
        <v>44933180</v>
      </c>
      <c r="I103" s="44">
        <v>187220</v>
      </c>
      <c r="K103" s="44">
        <v>64919135</v>
      </c>
      <c r="M103" s="44">
        <f t="shared" si="18"/>
        <v>4020425</v>
      </c>
      <c r="O103" s="44">
        <v>11416725</v>
      </c>
      <c r="Q103" s="44">
        <v>15437150</v>
      </c>
      <c r="S103" s="44">
        <v>32853682</v>
      </c>
      <c r="U103" s="44">
        <f>6194582+26898+645923+526236</f>
        <v>7393639</v>
      </c>
      <c r="W103" s="44">
        <v>9234664</v>
      </c>
      <c r="Y103" s="44">
        <f t="shared" si="19"/>
        <v>49481985</v>
      </c>
      <c r="AB103" s="44">
        <f t="shared" si="24"/>
        <v>0</v>
      </c>
    </row>
    <row r="104" spans="1:28" ht="12.75" customHeight="1" x14ac:dyDescent="0.2">
      <c r="A104" s="44" t="s">
        <v>127</v>
      </c>
      <c r="C104" s="44" t="s">
        <v>43</v>
      </c>
      <c r="E104" s="143">
        <f t="shared" si="17"/>
        <v>27760623</v>
      </c>
      <c r="G104" s="44">
        <f>4450717+420082886-167571244</f>
        <v>256962359</v>
      </c>
      <c r="I104" s="44">
        <v>913447</v>
      </c>
      <c r="K104" s="44">
        <v>285636429</v>
      </c>
      <c r="M104" s="44">
        <f t="shared" si="18"/>
        <v>12793041</v>
      </c>
      <c r="O104" s="44">
        <v>61702475</v>
      </c>
      <c r="Q104" s="44">
        <v>74495516</v>
      </c>
      <c r="S104" s="44">
        <v>194252945</v>
      </c>
      <c r="U104" s="44">
        <f>4060190+126425+4881174</f>
        <v>9067789</v>
      </c>
      <c r="W104" s="44">
        <v>7820179</v>
      </c>
      <c r="Y104" s="44">
        <f t="shared" si="19"/>
        <v>211140913</v>
      </c>
      <c r="AB104" s="44">
        <f t="shared" si="24"/>
        <v>0</v>
      </c>
    </row>
    <row r="105" spans="1:28" ht="12.75" customHeight="1" x14ac:dyDescent="0.2">
      <c r="A105" s="44" t="s">
        <v>128</v>
      </c>
      <c r="C105" s="44" t="s">
        <v>119</v>
      </c>
      <c r="E105" s="143">
        <f t="shared" si="17"/>
        <v>3661673</v>
      </c>
      <c r="G105" s="44">
        <f>642941+12568591</f>
        <v>13211532</v>
      </c>
      <c r="I105" s="44">
        <v>0</v>
      </c>
      <c r="K105" s="44">
        <v>16873205</v>
      </c>
      <c r="M105" s="44">
        <f t="shared" si="18"/>
        <v>878993</v>
      </c>
      <c r="O105" s="44">
        <v>3269219</v>
      </c>
      <c r="Q105" s="44">
        <v>4148212</v>
      </c>
      <c r="S105" s="44">
        <v>10103537</v>
      </c>
      <c r="U105" s="44">
        <f>166950+353650+220180+514174</f>
        <v>1254954</v>
      </c>
      <c r="W105" s="44">
        <v>1366502</v>
      </c>
      <c r="Y105" s="44">
        <f t="shared" si="19"/>
        <v>12724993</v>
      </c>
      <c r="AB105" s="44">
        <f>+K105-Q105-Y105</f>
        <v>0</v>
      </c>
    </row>
    <row r="106" spans="1:28" ht="12.75" customHeight="1" x14ac:dyDescent="0.2">
      <c r="A106" s="44" t="s">
        <v>129</v>
      </c>
      <c r="C106" s="44" t="s">
        <v>80</v>
      </c>
      <c r="E106" s="143">
        <f t="shared" si="17"/>
        <v>2305659</v>
      </c>
      <c r="G106" s="44">
        <v>4250440</v>
      </c>
      <c r="I106" s="44">
        <v>59606</v>
      </c>
      <c r="K106" s="44">
        <v>6615705</v>
      </c>
      <c r="M106" s="44">
        <f t="shared" si="18"/>
        <v>1127797</v>
      </c>
      <c r="O106" s="44">
        <v>2465401</v>
      </c>
      <c r="Q106" s="44">
        <v>3593198</v>
      </c>
      <c r="S106" s="44">
        <v>1440326</v>
      </c>
      <c r="U106" s="44">
        <f>3022507-1440326-1323151</f>
        <v>259030</v>
      </c>
      <c r="W106" s="44">
        <v>1323151</v>
      </c>
      <c r="Y106" s="44">
        <f t="shared" si="19"/>
        <v>3022507</v>
      </c>
      <c r="AB106" s="44">
        <f t="shared" si="24"/>
        <v>0</v>
      </c>
    </row>
    <row r="107" spans="1:28" ht="12.75" customHeight="1" x14ac:dyDescent="0.2">
      <c r="A107" s="44" t="s">
        <v>130</v>
      </c>
      <c r="C107" s="44" t="s">
        <v>66</v>
      </c>
      <c r="E107" s="143">
        <f t="shared" si="17"/>
        <v>54738036</v>
      </c>
      <c r="G107" s="44">
        <f>30670456+67476002</f>
        <v>98146458</v>
      </c>
      <c r="I107" s="44">
        <v>237081</v>
      </c>
      <c r="K107" s="44">
        <v>153121575</v>
      </c>
      <c r="M107" s="44">
        <f t="shared" si="18"/>
        <v>16900608</v>
      </c>
      <c r="O107" s="44">
        <v>26495229</v>
      </c>
      <c r="Q107" s="44">
        <v>43395837</v>
      </c>
      <c r="S107" s="44">
        <v>66173495</v>
      </c>
      <c r="U107" s="44">
        <f>109725738-66173495-15594893</f>
        <v>27957350</v>
      </c>
      <c r="W107" s="44">
        <v>15594893</v>
      </c>
      <c r="Y107" s="44">
        <f t="shared" si="19"/>
        <v>109725738</v>
      </c>
      <c r="AB107" s="44">
        <f t="shared" si="24"/>
        <v>0</v>
      </c>
    </row>
    <row r="108" spans="1:28" ht="12.75" customHeight="1" x14ac:dyDescent="0.2">
      <c r="A108" s="44" t="s">
        <v>131</v>
      </c>
      <c r="C108" s="44" t="s">
        <v>13</v>
      </c>
      <c r="E108" s="143">
        <f t="shared" si="17"/>
        <v>34772135</v>
      </c>
      <c r="G108" s="44">
        <f>20756030+86081163</f>
        <v>106837193</v>
      </c>
      <c r="I108" s="44">
        <v>324190</v>
      </c>
      <c r="K108" s="44">
        <v>141933518</v>
      </c>
      <c r="M108" s="44">
        <f t="shared" si="18"/>
        <v>14797596</v>
      </c>
      <c r="O108" s="44">
        <v>24254569</v>
      </c>
      <c r="Q108" s="44">
        <v>39052165</v>
      </c>
      <c r="S108" s="44">
        <v>81036611</v>
      </c>
      <c r="U108" s="44">
        <f>3294966+1640484+527500+6127850+6473</f>
        <v>11597273</v>
      </c>
      <c r="W108" s="44">
        <v>10247469</v>
      </c>
      <c r="Y108" s="44">
        <f t="shared" si="19"/>
        <v>102881353</v>
      </c>
      <c r="AB108" s="44">
        <f>+K108-Q108-Y108</f>
        <v>0</v>
      </c>
    </row>
    <row r="109" spans="1:28" ht="12.75" customHeight="1" x14ac:dyDescent="0.2">
      <c r="A109" s="44" t="s">
        <v>38</v>
      </c>
      <c r="C109" s="44" t="s">
        <v>132</v>
      </c>
      <c r="E109" s="143">
        <f t="shared" si="17"/>
        <v>5881985</v>
      </c>
      <c r="G109" s="44">
        <f>6041336+5680866</f>
        <v>11722202</v>
      </c>
      <c r="I109" s="44">
        <v>0</v>
      </c>
      <c r="K109" s="44">
        <v>17604187</v>
      </c>
      <c r="M109" s="44">
        <f t="shared" si="18"/>
        <v>3063241</v>
      </c>
      <c r="O109" s="44">
        <v>1484963</v>
      </c>
      <c r="Q109" s="44">
        <v>4548204</v>
      </c>
      <c r="S109" s="44">
        <v>9407360</v>
      </c>
      <c r="U109" s="44">
        <f>176057+39181+689138+526710+28163+1196755</f>
        <v>2656004</v>
      </c>
      <c r="W109" s="44">
        <v>992619</v>
      </c>
      <c r="Y109" s="44">
        <f t="shared" si="19"/>
        <v>13055983</v>
      </c>
      <c r="AB109" s="44">
        <f t="shared" si="24"/>
        <v>0</v>
      </c>
    </row>
    <row r="110" spans="1:28" ht="12.75" customHeight="1" x14ac:dyDescent="0.2">
      <c r="A110" s="44" t="s">
        <v>133</v>
      </c>
      <c r="C110" s="44" t="s">
        <v>27</v>
      </c>
      <c r="E110" s="143">
        <f t="shared" si="17"/>
        <v>26203424</v>
      </c>
      <c r="G110" s="44">
        <f>17515711+73755581</f>
        <v>91271292</v>
      </c>
      <c r="I110" s="44">
        <v>314419</v>
      </c>
      <c r="K110" s="44">
        <v>117789135</v>
      </c>
      <c r="M110" s="44">
        <f t="shared" si="18"/>
        <v>4841317</v>
      </c>
      <c r="O110" s="44">
        <v>30396627</v>
      </c>
      <c r="Q110" s="44">
        <v>35237944</v>
      </c>
      <c r="S110" s="44">
        <v>61396249</v>
      </c>
      <c r="U110" s="44">
        <f>82551191-61396249-13997009</f>
        <v>7157933</v>
      </c>
      <c r="W110" s="44">
        <v>13997009</v>
      </c>
      <c r="Y110" s="44">
        <f t="shared" si="19"/>
        <v>82551191</v>
      </c>
      <c r="AB110" s="44">
        <f t="shared" si="24"/>
        <v>0</v>
      </c>
    </row>
    <row r="111" spans="1:28" ht="12.75" customHeight="1" x14ac:dyDescent="0.2">
      <c r="A111" s="44" t="s">
        <v>482</v>
      </c>
      <c r="C111" s="44" t="s">
        <v>45</v>
      </c>
      <c r="E111" s="143">
        <f t="shared" si="17"/>
        <v>24088140</v>
      </c>
      <c r="G111" s="44">
        <f>81204376+18383277</f>
        <v>99587653</v>
      </c>
      <c r="I111" s="44">
        <v>0</v>
      </c>
      <c r="K111" s="44">
        <v>123675793</v>
      </c>
      <c r="M111" s="44">
        <f t="shared" si="18"/>
        <v>2694610</v>
      </c>
      <c r="O111" s="44">
        <v>3405935</v>
      </c>
      <c r="Q111" s="44">
        <v>6100545</v>
      </c>
      <c r="S111" s="44">
        <v>96787478</v>
      </c>
      <c r="U111" s="44">
        <f>2004433+2529132+3387+1067224</f>
        <v>5604176</v>
      </c>
      <c r="W111" s="44">
        <v>15183594</v>
      </c>
      <c r="Y111" s="44">
        <f t="shared" si="19"/>
        <v>117575248</v>
      </c>
      <c r="AB111" s="44">
        <f t="shared" si="24"/>
        <v>0</v>
      </c>
    </row>
    <row r="112" spans="1:28" ht="12.75" customHeight="1" x14ac:dyDescent="0.2">
      <c r="A112" s="44" t="s">
        <v>134</v>
      </c>
      <c r="C112" s="44" t="s">
        <v>45</v>
      </c>
      <c r="E112" s="143">
        <f t="shared" ref="E112" si="25">+K112-G112-I112</f>
        <v>5603076</v>
      </c>
      <c r="G112" s="44">
        <f>1901978+22403035</f>
        <v>24305013</v>
      </c>
      <c r="I112" s="44">
        <v>0</v>
      </c>
      <c r="K112" s="44">
        <v>29908089</v>
      </c>
      <c r="M112" s="44">
        <f t="shared" ref="M112" si="26">+Q112-O112</f>
        <v>1117253</v>
      </c>
      <c r="O112" s="44">
        <v>2549754</v>
      </c>
      <c r="Q112" s="44">
        <v>3667007</v>
      </c>
      <c r="S112" s="44">
        <v>22060899</v>
      </c>
      <c r="U112" s="44">
        <f>316313+30062+335839+850177+2557983</f>
        <v>4090374</v>
      </c>
      <c r="W112" s="44">
        <v>89809</v>
      </c>
      <c r="Y112" s="44">
        <f t="shared" ref="Y112" si="27">S112+U112+W112</f>
        <v>26241082</v>
      </c>
      <c r="AB112" s="44">
        <f>+K112-Q112-Y112</f>
        <v>0</v>
      </c>
    </row>
    <row r="113" spans="1:28" ht="12.75" customHeight="1" x14ac:dyDescent="0.2">
      <c r="A113" s="44" t="s">
        <v>136</v>
      </c>
      <c r="C113" s="44" t="s">
        <v>136</v>
      </c>
      <c r="E113" s="143">
        <f t="shared" si="17"/>
        <v>7674207</v>
      </c>
      <c r="G113" s="44">
        <v>7219611</v>
      </c>
      <c r="I113" s="44">
        <v>0</v>
      </c>
      <c r="K113" s="44">
        <v>14893818</v>
      </c>
      <c r="M113" s="44">
        <f t="shared" si="18"/>
        <v>1067409</v>
      </c>
      <c r="O113" s="44">
        <v>775694</v>
      </c>
      <c r="Q113" s="44">
        <v>1843103</v>
      </c>
      <c r="S113" s="44">
        <v>6831174</v>
      </c>
      <c r="U113" s="44">
        <f>13050715-6831174-3272151</f>
        <v>2947390</v>
      </c>
      <c r="W113" s="44">
        <v>3272151</v>
      </c>
      <c r="Y113" s="44">
        <f t="shared" si="19"/>
        <v>13050715</v>
      </c>
      <c r="AB113" s="44">
        <f>+K113-Q113-Y113</f>
        <v>0</v>
      </c>
    </row>
    <row r="114" spans="1:28" ht="12.75" customHeight="1" x14ac:dyDescent="0.2">
      <c r="A114" s="44" t="s">
        <v>137</v>
      </c>
      <c r="C114" s="44" t="s">
        <v>22</v>
      </c>
      <c r="E114" s="143">
        <f t="shared" si="17"/>
        <v>35934757</v>
      </c>
      <c r="G114" s="44">
        <f>18144619+24895606</f>
        <v>43040225</v>
      </c>
      <c r="I114" s="44">
        <v>0</v>
      </c>
      <c r="K114" s="44">
        <v>78974982</v>
      </c>
      <c r="M114" s="44">
        <f t="shared" si="18"/>
        <v>14829166</v>
      </c>
      <c r="O114" s="44">
        <v>2326743</v>
      </c>
      <c r="Q114" s="44">
        <v>17155909</v>
      </c>
      <c r="S114" s="44">
        <v>37887705</v>
      </c>
      <c r="U114" s="44">
        <f>61819073-37887705-12407928</f>
        <v>11523440</v>
      </c>
      <c r="W114" s="44">
        <v>12407928</v>
      </c>
      <c r="Y114" s="44">
        <f t="shared" si="19"/>
        <v>61819073</v>
      </c>
      <c r="AB114" s="44">
        <f t="shared" si="24"/>
        <v>0</v>
      </c>
    </row>
    <row r="115" spans="1:28" ht="12.75" hidden="1" customHeight="1" x14ac:dyDescent="0.2">
      <c r="A115" s="44" t="s">
        <v>491</v>
      </c>
      <c r="C115" s="44" t="s">
        <v>139</v>
      </c>
      <c r="E115" s="143">
        <f t="shared" si="17"/>
        <v>0</v>
      </c>
      <c r="M115" s="44">
        <f t="shared" si="18"/>
        <v>0</v>
      </c>
      <c r="Y115" s="44">
        <f t="shared" si="19"/>
        <v>0</v>
      </c>
      <c r="AB115" s="44">
        <f t="shared" si="24"/>
        <v>0</v>
      </c>
    </row>
    <row r="116" spans="1:28" ht="12.75" customHeight="1" x14ac:dyDescent="0.2">
      <c r="A116" s="44" t="s">
        <v>140</v>
      </c>
      <c r="C116" s="44" t="s">
        <v>66</v>
      </c>
      <c r="E116" s="143">
        <f t="shared" si="17"/>
        <v>83653200</v>
      </c>
      <c r="G116" s="44">
        <f>11268013+139789619</f>
        <v>151057632</v>
      </c>
      <c r="I116" s="44">
        <v>0</v>
      </c>
      <c r="K116" s="44">
        <v>234710832</v>
      </c>
      <c r="M116" s="44">
        <f t="shared" si="18"/>
        <v>18934225</v>
      </c>
      <c r="O116" s="44">
        <v>16852090</v>
      </c>
      <c r="Q116" s="44">
        <v>35786315</v>
      </c>
      <c r="S116" s="44">
        <v>134783717</v>
      </c>
      <c r="U116" s="44">
        <f>198924517-134783717-48971606</f>
        <v>15169194</v>
      </c>
      <c r="W116" s="44">
        <v>48971606</v>
      </c>
      <c r="Y116" s="44">
        <f t="shared" si="19"/>
        <v>198924517</v>
      </c>
      <c r="AB116" s="44">
        <f>+K116-Q116-Y116</f>
        <v>0</v>
      </c>
    </row>
    <row r="117" spans="1:28" ht="12.75" customHeight="1" x14ac:dyDescent="0.2">
      <c r="A117" s="44" t="s">
        <v>478</v>
      </c>
      <c r="C117" s="44" t="s">
        <v>92</v>
      </c>
      <c r="E117" s="143">
        <f t="shared" si="17"/>
        <v>4810325</v>
      </c>
      <c r="G117" s="44">
        <f>1364602+16765389</f>
        <v>18129991</v>
      </c>
      <c r="I117" s="44">
        <v>50630</v>
      </c>
      <c r="K117" s="44">
        <v>22990946</v>
      </c>
      <c r="M117" s="44">
        <f t="shared" si="18"/>
        <v>2570896</v>
      </c>
      <c r="O117" s="44">
        <v>3996329</v>
      </c>
      <c r="Q117" s="44">
        <v>6567225</v>
      </c>
      <c r="S117" s="44">
        <v>13834631</v>
      </c>
      <c r="U117" s="44">
        <f>780916+83903+180172+193069+194979</f>
        <v>1433039</v>
      </c>
      <c r="W117" s="44">
        <v>1156051</v>
      </c>
      <c r="Y117" s="44">
        <f t="shared" si="19"/>
        <v>16423721</v>
      </c>
      <c r="AB117" s="44">
        <f t="shared" si="24"/>
        <v>0</v>
      </c>
    </row>
    <row r="118" spans="1:28" ht="12.75" customHeight="1" x14ac:dyDescent="0.2">
      <c r="A118" s="44" t="s">
        <v>141</v>
      </c>
      <c r="C118" s="44" t="s">
        <v>27</v>
      </c>
      <c r="E118" s="143">
        <f t="shared" si="17"/>
        <v>45554126</v>
      </c>
      <c r="G118" s="44">
        <f>9159039+59484151</f>
        <v>68643190</v>
      </c>
      <c r="I118" s="44">
        <v>685367</v>
      </c>
      <c r="K118" s="44">
        <v>114882683</v>
      </c>
      <c r="M118" s="44">
        <f t="shared" si="18"/>
        <v>21631820</v>
      </c>
      <c r="O118" s="44">
        <v>40689442</v>
      </c>
      <c r="Q118" s="44">
        <v>62321262</v>
      </c>
      <c r="S118" s="44">
        <v>32219436</v>
      </c>
      <c r="U118" s="44">
        <f>52561421-32219436-13594321</f>
        <v>6747664</v>
      </c>
      <c r="W118" s="44">
        <v>13594321</v>
      </c>
      <c r="Y118" s="44">
        <f t="shared" si="19"/>
        <v>52561421</v>
      </c>
      <c r="AB118" s="44">
        <f t="shared" si="24"/>
        <v>0</v>
      </c>
    </row>
    <row r="119" spans="1:28" ht="12.75" customHeight="1" x14ac:dyDescent="0.2">
      <c r="A119" s="44" t="s">
        <v>142</v>
      </c>
      <c r="C119" s="44" t="s">
        <v>102</v>
      </c>
      <c r="E119" s="143">
        <f t="shared" si="17"/>
        <v>25244383</v>
      </c>
      <c r="G119" s="44">
        <f>19257961+18684072</f>
        <v>37942033</v>
      </c>
      <c r="I119" s="44">
        <v>0</v>
      </c>
      <c r="K119" s="44">
        <v>63186416</v>
      </c>
      <c r="M119" s="44">
        <f t="shared" si="18"/>
        <v>11341244</v>
      </c>
      <c r="O119" s="44">
        <v>11477867</v>
      </c>
      <c r="Q119" s="44">
        <v>22819111</v>
      </c>
      <c r="S119" s="44">
        <v>29585924</v>
      </c>
      <c r="U119" s="44">
        <f>40367305-29585924-169239</f>
        <v>10612142</v>
      </c>
      <c r="W119" s="44">
        <v>169239</v>
      </c>
      <c r="Y119" s="44">
        <f t="shared" si="19"/>
        <v>40367305</v>
      </c>
      <c r="AB119" s="44">
        <f>+K119-Q119-Y119</f>
        <v>0</v>
      </c>
    </row>
    <row r="120" spans="1:28" ht="12.75" customHeight="1" x14ac:dyDescent="0.2">
      <c r="A120" s="44" t="s">
        <v>143</v>
      </c>
      <c r="C120" s="44" t="s">
        <v>111</v>
      </c>
      <c r="E120" s="143">
        <f t="shared" si="17"/>
        <v>28384029</v>
      </c>
      <c r="G120" s="44">
        <f>15545376+29029615</f>
        <v>44574991</v>
      </c>
      <c r="I120" s="44">
        <v>0</v>
      </c>
      <c r="K120" s="44">
        <v>72959020</v>
      </c>
      <c r="M120" s="44">
        <f t="shared" si="18"/>
        <v>6611991</v>
      </c>
      <c r="O120" s="44">
        <v>6045518</v>
      </c>
      <c r="Q120" s="44">
        <v>12657509</v>
      </c>
      <c r="S120" s="44">
        <v>39051129</v>
      </c>
      <c r="U120" s="44">
        <f>60301511-39051129-10376818</f>
        <v>10873564</v>
      </c>
      <c r="W120" s="44">
        <v>10376818</v>
      </c>
      <c r="Y120" s="44">
        <f t="shared" si="19"/>
        <v>60301511</v>
      </c>
      <c r="AB120" s="44">
        <f t="shared" si="24"/>
        <v>0</v>
      </c>
    </row>
    <row r="121" spans="1:28" ht="12.75" customHeight="1" x14ac:dyDescent="0.2">
      <c r="A121" s="44" t="s">
        <v>144</v>
      </c>
      <c r="C121" s="44" t="s">
        <v>88</v>
      </c>
      <c r="E121" s="143">
        <f t="shared" si="17"/>
        <v>34705999</v>
      </c>
      <c r="G121" s="44">
        <f>21653717+37416235</f>
        <v>59069952</v>
      </c>
      <c r="I121" s="44">
        <v>0</v>
      </c>
      <c r="K121" s="44">
        <v>93775951</v>
      </c>
      <c r="M121" s="44">
        <f t="shared" si="18"/>
        <v>17174162</v>
      </c>
      <c r="O121" s="44">
        <v>4805886</v>
      </c>
      <c r="Q121" s="44">
        <v>21980048</v>
      </c>
      <c r="S121" s="44">
        <v>56243949</v>
      </c>
      <c r="U121" s="44">
        <f>771248+593543+5418236</f>
        <v>6783027</v>
      </c>
      <c r="W121" s="44">
        <v>8768927</v>
      </c>
      <c r="Y121" s="44">
        <f t="shared" si="19"/>
        <v>71795903</v>
      </c>
      <c r="AB121" s="44">
        <f t="shared" si="24"/>
        <v>0</v>
      </c>
    </row>
    <row r="122" spans="1:28" ht="12.75" customHeight="1" x14ac:dyDescent="0.2">
      <c r="A122" s="44" t="s">
        <v>36</v>
      </c>
      <c r="C122" s="44" t="s">
        <v>145</v>
      </c>
      <c r="E122" s="143">
        <f t="shared" si="17"/>
        <v>3734696</v>
      </c>
      <c r="G122" s="44">
        <f>1052923+6337591</f>
        <v>7390514</v>
      </c>
      <c r="I122" s="44">
        <v>0</v>
      </c>
      <c r="K122" s="44">
        <v>11125210</v>
      </c>
      <c r="M122" s="44">
        <f t="shared" si="18"/>
        <v>897957</v>
      </c>
      <c r="O122" s="44">
        <v>504063</v>
      </c>
      <c r="Q122" s="44">
        <v>1402020</v>
      </c>
      <c r="S122" s="44">
        <v>6939467</v>
      </c>
      <c r="U122" s="44">
        <f>9723190-6939467-1487693</f>
        <v>1296030</v>
      </c>
      <c r="W122" s="44">
        <v>1487693</v>
      </c>
      <c r="Y122" s="44">
        <f t="shared" si="19"/>
        <v>9723190</v>
      </c>
      <c r="AB122" s="44">
        <f t="shared" si="24"/>
        <v>0</v>
      </c>
    </row>
    <row r="123" spans="1:28" ht="12.75" customHeight="1" x14ac:dyDescent="0.2">
      <c r="Y123" s="48" t="s">
        <v>484</v>
      </c>
    </row>
    <row r="124" spans="1:28" ht="12.75" customHeight="1" x14ac:dyDescent="0.2">
      <c r="A124" s="44" t="s">
        <v>146</v>
      </c>
      <c r="C124" s="44" t="s">
        <v>147</v>
      </c>
      <c r="E124" s="154">
        <f t="shared" si="17"/>
        <v>6702403</v>
      </c>
      <c r="F124" s="46"/>
      <c r="G124" s="46">
        <f>3775407+13084414</f>
        <v>16859821</v>
      </c>
      <c r="H124" s="46"/>
      <c r="I124" s="46">
        <v>62527</v>
      </c>
      <c r="J124" s="46"/>
      <c r="K124" s="46">
        <v>23624751</v>
      </c>
      <c r="L124" s="46"/>
      <c r="M124" s="46">
        <f t="shared" si="18"/>
        <v>2299493</v>
      </c>
      <c r="N124" s="46"/>
      <c r="O124" s="46">
        <v>5005740</v>
      </c>
      <c r="P124" s="46"/>
      <c r="Q124" s="46">
        <v>7305233</v>
      </c>
      <c r="R124" s="46"/>
      <c r="S124" s="46">
        <v>13158935</v>
      </c>
      <c r="T124" s="46"/>
      <c r="U124" s="46">
        <f>380127+74541+834153+136842+77098</f>
        <v>1502761</v>
      </c>
      <c r="V124" s="46"/>
      <c r="W124" s="46">
        <v>1657822</v>
      </c>
      <c r="X124" s="46"/>
      <c r="Y124" s="46">
        <f t="shared" si="19"/>
        <v>16319518</v>
      </c>
      <c r="AB124" s="44">
        <f t="shared" si="24"/>
        <v>0</v>
      </c>
    </row>
    <row r="125" spans="1:28" ht="12.75" customHeight="1" x14ac:dyDescent="0.2">
      <c r="A125" s="44" t="s">
        <v>17</v>
      </c>
      <c r="C125" s="44" t="s">
        <v>17</v>
      </c>
      <c r="E125" s="143">
        <f t="shared" si="17"/>
        <v>50127716</v>
      </c>
      <c r="G125" s="44">
        <f>14298893+86671488</f>
        <v>100970381</v>
      </c>
      <c r="I125" s="44">
        <v>932475</v>
      </c>
      <c r="K125" s="44">
        <v>152030572</v>
      </c>
      <c r="M125" s="44">
        <f t="shared" si="18"/>
        <v>13206960</v>
      </c>
      <c r="O125" s="44">
        <v>49624669</v>
      </c>
      <c r="Q125" s="44">
        <v>62831629</v>
      </c>
      <c r="S125" s="44">
        <v>60778723</v>
      </c>
      <c r="U125" s="44">
        <f>811105+2869661+21263384</f>
        <v>24944150</v>
      </c>
      <c r="W125" s="44">
        <v>3476070</v>
      </c>
      <c r="Y125" s="44">
        <f t="shared" si="19"/>
        <v>89198943</v>
      </c>
      <c r="AB125" s="44">
        <f t="shared" si="24"/>
        <v>0</v>
      </c>
    </row>
    <row r="126" spans="1:28" ht="12.75" customHeight="1" x14ac:dyDescent="0.2">
      <c r="A126" s="44" t="s">
        <v>148</v>
      </c>
      <c r="C126" s="44" t="s">
        <v>15</v>
      </c>
      <c r="E126" s="143">
        <f t="shared" si="17"/>
        <v>3859669</v>
      </c>
      <c r="G126" s="44">
        <f>1943070+2549882</f>
        <v>4492952</v>
      </c>
      <c r="I126" s="44">
        <v>0</v>
      </c>
      <c r="K126" s="44">
        <v>8352621</v>
      </c>
      <c r="M126" s="44">
        <f t="shared" si="18"/>
        <v>785843</v>
      </c>
      <c r="O126" s="44">
        <v>346634</v>
      </c>
      <c r="Q126" s="44">
        <v>1132477</v>
      </c>
      <c r="S126" s="44">
        <v>4238952</v>
      </c>
      <c r="U126" s="44">
        <f>129975+15452+511502+233503+25617</f>
        <v>916049</v>
      </c>
      <c r="W126" s="44">
        <v>2065143</v>
      </c>
      <c r="Y126" s="44">
        <f t="shared" si="19"/>
        <v>7220144</v>
      </c>
      <c r="AB126" s="44">
        <f t="shared" si="24"/>
        <v>0</v>
      </c>
    </row>
    <row r="127" spans="1:28" ht="12.75" customHeight="1" x14ac:dyDescent="0.2">
      <c r="A127" s="44" t="s">
        <v>149</v>
      </c>
      <c r="C127" s="44" t="s">
        <v>45</v>
      </c>
      <c r="E127" s="143">
        <f t="shared" si="17"/>
        <v>9471597</v>
      </c>
      <c r="G127" s="44">
        <f>3751815+16941507</f>
        <v>20693322</v>
      </c>
      <c r="I127" s="44">
        <v>0</v>
      </c>
      <c r="K127" s="44">
        <v>30164919</v>
      </c>
      <c r="M127" s="44">
        <f t="shared" si="18"/>
        <v>4319434</v>
      </c>
      <c r="O127" s="44">
        <v>6473140</v>
      </c>
      <c r="Q127" s="44">
        <v>10792574</v>
      </c>
      <c r="S127" s="44">
        <v>13154734</v>
      </c>
      <c r="U127" s="44">
        <f>2673584+81048+817740</f>
        <v>3572372</v>
      </c>
      <c r="W127" s="44">
        <v>2645239</v>
      </c>
      <c r="Y127" s="44">
        <f t="shared" si="19"/>
        <v>19372345</v>
      </c>
      <c r="AB127" s="44">
        <f t="shared" si="24"/>
        <v>0</v>
      </c>
    </row>
    <row r="128" spans="1:28" ht="12.75" customHeight="1" x14ac:dyDescent="0.2">
      <c r="A128" s="44" t="s">
        <v>150</v>
      </c>
      <c r="C128" s="44" t="s">
        <v>27</v>
      </c>
      <c r="E128" s="143">
        <f t="shared" si="17"/>
        <v>28090941</v>
      </c>
      <c r="G128" s="44">
        <f>421379+71275955</f>
        <v>71697334</v>
      </c>
      <c r="I128" s="44">
        <v>0</v>
      </c>
      <c r="K128" s="44">
        <v>99788275</v>
      </c>
      <c r="M128" s="44">
        <f t="shared" si="18"/>
        <v>6594444</v>
      </c>
      <c r="O128" s="44">
        <v>2287979</v>
      </c>
      <c r="Q128" s="44">
        <v>8882423</v>
      </c>
      <c r="S128" s="44">
        <v>69452334</v>
      </c>
      <c r="U128" s="44">
        <f>8472823+1777782+3923808</f>
        <v>14174413</v>
      </c>
      <c r="W128" s="44">
        <v>7279105</v>
      </c>
      <c r="Y128" s="44">
        <f t="shared" si="19"/>
        <v>90905852</v>
      </c>
      <c r="AB128" s="44">
        <f t="shared" si="24"/>
        <v>0</v>
      </c>
    </row>
    <row r="129" spans="1:29" ht="12.75" customHeight="1" x14ac:dyDescent="0.2">
      <c r="A129" s="44" t="s">
        <v>151</v>
      </c>
      <c r="C129" s="44" t="s">
        <v>13</v>
      </c>
      <c r="E129" s="143">
        <f t="shared" si="17"/>
        <v>12491078</v>
      </c>
      <c r="G129" s="44">
        <f>7472228+37336149</f>
        <v>44808377</v>
      </c>
      <c r="I129" s="44">
        <v>124838</v>
      </c>
      <c r="K129" s="44">
        <v>57424293</v>
      </c>
      <c r="M129" s="44">
        <f t="shared" si="18"/>
        <v>4029383</v>
      </c>
      <c r="O129" s="44">
        <v>11514839</v>
      </c>
      <c r="Q129" s="44">
        <v>15544222</v>
      </c>
      <c r="S129" s="44">
        <v>32748921</v>
      </c>
      <c r="U129" s="44">
        <f>41880071-32748921-7132325</f>
        <v>1998825</v>
      </c>
      <c r="W129" s="44">
        <v>7132325</v>
      </c>
      <c r="Y129" s="44">
        <f t="shared" si="19"/>
        <v>41880071</v>
      </c>
      <c r="AB129" s="44">
        <f t="shared" si="24"/>
        <v>0</v>
      </c>
    </row>
    <row r="130" spans="1:29" s="121" customFormat="1" ht="12.75" hidden="1" customHeight="1" x14ac:dyDescent="0.2">
      <c r="A130" s="121" t="s">
        <v>481</v>
      </c>
      <c r="B130" s="122"/>
      <c r="C130" s="121" t="s">
        <v>45</v>
      </c>
      <c r="D130" s="122"/>
      <c r="E130" s="149">
        <f t="shared" si="17"/>
        <v>5695687</v>
      </c>
      <c r="G130" s="121">
        <f>645000+7795994</f>
        <v>8440994</v>
      </c>
      <c r="I130" s="121">
        <v>0</v>
      </c>
      <c r="K130" s="121">
        <v>14136681</v>
      </c>
      <c r="M130" s="121">
        <f t="shared" si="18"/>
        <v>3436356</v>
      </c>
      <c r="O130" s="121">
        <v>53843</v>
      </c>
      <c r="Q130" s="121">
        <v>3490199</v>
      </c>
      <c r="S130" s="121">
        <v>6955994</v>
      </c>
      <c r="U130" s="121">
        <v>-748215</v>
      </c>
      <c r="W130" s="121">
        <v>4438703</v>
      </c>
      <c r="Y130" s="121">
        <f t="shared" si="19"/>
        <v>10646482</v>
      </c>
      <c r="AB130" s="121">
        <f t="shared" si="24"/>
        <v>0</v>
      </c>
      <c r="AC130" s="121" t="s">
        <v>502</v>
      </c>
    </row>
    <row r="131" spans="1:29" ht="12.75" customHeight="1" x14ac:dyDescent="0.2">
      <c r="A131" s="44" t="s">
        <v>152</v>
      </c>
      <c r="C131" s="44" t="s">
        <v>153</v>
      </c>
      <c r="E131" s="143">
        <f t="shared" si="17"/>
        <v>28946044</v>
      </c>
      <c r="G131" s="44">
        <v>58709143</v>
      </c>
      <c r="I131" s="44">
        <v>0</v>
      </c>
      <c r="K131" s="44">
        <v>87655187</v>
      </c>
      <c r="M131" s="44">
        <f t="shared" si="18"/>
        <v>6439822</v>
      </c>
      <c r="O131" s="44">
        <v>8938060</v>
      </c>
      <c r="Q131" s="44">
        <v>15377882</v>
      </c>
      <c r="S131" s="44">
        <v>53469143</v>
      </c>
      <c r="U131" s="44">
        <f>72277305+2228989-53469143</f>
        <v>21037151</v>
      </c>
      <c r="W131" s="44">
        <v>-2228989</v>
      </c>
      <c r="Y131" s="44">
        <f t="shared" si="19"/>
        <v>72277305</v>
      </c>
      <c r="AB131" s="44">
        <f t="shared" si="24"/>
        <v>0</v>
      </c>
    </row>
    <row r="132" spans="1:29" ht="12.75" customHeight="1" x14ac:dyDescent="0.2">
      <c r="A132" s="44" t="s">
        <v>154</v>
      </c>
      <c r="C132" s="44" t="s">
        <v>27</v>
      </c>
      <c r="E132" s="143">
        <f t="shared" si="17"/>
        <v>13191779</v>
      </c>
      <c r="G132" s="44">
        <f>805404+50072966</f>
        <v>50878370</v>
      </c>
      <c r="I132" s="44">
        <v>241256</v>
      </c>
      <c r="K132" s="44">
        <v>64311405</v>
      </c>
      <c r="M132" s="44">
        <f t="shared" si="18"/>
        <v>8306526</v>
      </c>
      <c r="O132" s="44">
        <v>19884554</v>
      </c>
      <c r="Q132" s="44">
        <v>28191080</v>
      </c>
      <c r="S132" s="44">
        <v>32707999</v>
      </c>
      <c r="U132" s="44">
        <f>402363+291714+708862+329090+382151</f>
        <v>2114180</v>
      </c>
      <c r="W132" s="44">
        <v>1298146</v>
      </c>
      <c r="Y132" s="44">
        <f t="shared" si="19"/>
        <v>36120325</v>
      </c>
      <c r="AB132" s="44">
        <f t="shared" si="24"/>
        <v>0</v>
      </c>
    </row>
    <row r="133" spans="1:29" ht="12.75" customHeight="1" x14ac:dyDescent="0.2">
      <c r="A133" s="44" t="s">
        <v>155</v>
      </c>
      <c r="C133" s="44" t="s">
        <v>40</v>
      </c>
      <c r="E133" s="143">
        <f t="shared" si="17"/>
        <v>12983843</v>
      </c>
      <c r="G133" s="44">
        <f>8802387+16806736</f>
        <v>25609123</v>
      </c>
      <c r="I133" s="44">
        <v>0</v>
      </c>
      <c r="K133" s="44">
        <v>38592966</v>
      </c>
      <c r="M133" s="44">
        <f t="shared" si="18"/>
        <v>4418235</v>
      </c>
      <c r="O133" s="44">
        <v>4652467</v>
      </c>
      <c r="Q133" s="44">
        <v>9070702</v>
      </c>
      <c r="S133" s="44">
        <v>22959443</v>
      </c>
      <c r="U133" s="44">
        <f>29522264-22959443-1487280</f>
        <v>5075541</v>
      </c>
      <c r="W133" s="44">
        <v>1487280</v>
      </c>
      <c r="Y133" s="44">
        <f t="shared" si="19"/>
        <v>29522264</v>
      </c>
      <c r="AB133" s="44">
        <f t="shared" si="24"/>
        <v>0</v>
      </c>
    </row>
    <row r="134" spans="1:29" ht="12.75" customHeight="1" x14ac:dyDescent="0.2">
      <c r="A134" s="44" t="s">
        <v>156</v>
      </c>
      <c r="C134" s="44" t="s">
        <v>156</v>
      </c>
      <c r="E134" s="44">
        <f>+K134-G134-I134</f>
        <v>14316622</v>
      </c>
      <c r="G134" s="44">
        <f>9470589+61578311</f>
        <v>71048900</v>
      </c>
      <c r="I134" s="44">
        <v>0</v>
      </c>
      <c r="K134" s="44">
        <v>85365522</v>
      </c>
      <c r="M134" s="44">
        <f t="shared" si="18"/>
        <v>6108377</v>
      </c>
      <c r="O134" s="44">
        <v>8962990</v>
      </c>
      <c r="Q134" s="44">
        <v>15071367</v>
      </c>
      <c r="S134" s="44">
        <v>66187425</v>
      </c>
      <c r="U134" s="44">
        <f>3764288+1088895+2299648</f>
        <v>7152831</v>
      </c>
      <c r="W134" s="44">
        <v>-3046101</v>
      </c>
      <c r="Y134" s="44">
        <f>S134+U134+W134</f>
        <v>70294155</v>
      </c>
      <c r="AB134" s="44">
        <f t="shared" si="24"/>
        <v>0</v>
      </c>
    </row>
    <row r="135" spans="1:29" ht="12.75" customHeight="1" x14ac:dyDescent="0.2">
      <c r="A135" s="44" t="s">
        <v>157</v>
      </c>
      <c r="C135" s="44" t="s">
        <v>33</v>
      </c>
      <c r="E135" s="44">
        <f>+K135-G135-I135</f>
        <v>4215265</v>
      </c>
      <c r="G135" s="44">
        <f>890342+2220343</f>
        <v>3110685</v>
      </c>
      <c r="I135" s="44">
        <v>0</v>
      </c>
      <c r="K135" s="44">
        <v>7325950</v>
      </c>
      <c r="M135" s="44">
        <f t="shared" ref="M135" si="28">+Q135-O135</f>
        <v>700035</v>
      </c>
      <c r="O135" s="44">
        <v>329007</v>
      </c>
      <c r="Q135" s="44">
        <v>1029042</v>
      </c>
      <c r="S135" s="44">
        <v>2936546</v>
      </c>
      <c r="U135" s="44">
        <f>1171522+165802+553770</f>
        <v>1891094</v>
      </c>
      <c r="W135" s="44">
        <v>1469268</v>
      </c>
      <c r="Y135" s="44">
        <f>S135+U135+W135</f>
        <v>6296908</v>
      </c>
      <c r="AB135" s="44">
        <f>+K135-Q135-Y135</f>
        <v>0</v>
      </c>
    </row>
    <row r="136" spans="1:29" ht="12.75" customHeight="1" x14ac:dyDescent="0.2">
      <c r="A136" s="44" t="s">
        <v>158</v>
      </c>
      <c r="C136" s="44" t="s">
        <v>159</v>
      </c>
      <c r="E136" s="143">
        <f t="shared" ref="E136:E198" si="29">+K136-G136-I136</f>
        <v>33603337</v>
      </c>
      <c r="G136" s="44">
        <f>6250777+36680952</f>
        <v>42931729</v>
      </c>
      <c r="I136" s="44">
        <v>0</v>
      </c>
      <c r="K136" s="44">
        <v>76535066</v>
      </c>
      <c r="M136" s="44">
        <f t="shared" ref="M136:M198" si="30">+Q136-O136</f>
        <v>19076713</v>
      </c>
      <c r="O136" s="44">
        <v>19990520</v>
      </c>
      <c r="Q136" s="44">
        <v>39067233</v>
      </c>
      <c r="S136" s="44">
        <v>22012656</v>
      </c>
      <c r="U136" s="44">
        <f>13270384+3544905</f>
        <v>16815289</v>
      </c>
      <c r="W136" s="44">
        <v>-1360112</v>
      </c>
      <c r="Y136" s="44">
        <f t="shared" ref="Y136:Y198" si="31">S136+U136+W136</f>
        <v>37467833</v>
      </c>
      <c r="AB136" s="44">
        <f t="shared" si="24"/>
        <v>0</v>
      </c>
    </row>
    <row r="137" spans="1:29" s="46" customFormat="1" ht="12.75" customHeight="1" x14ac:dyDescent="0.2">
      <c r="A137" s="46" t="s">
        <v>160</v>
      </c>
      <c r="C137" s="46" t="s">
        <v>111</v>
      </c>
      <c r="E137" s="143">
        <f t="shared" si="29"/>
        <v>63989361</v>
      </c>
      <c r="F137" s="44"/>
      <c r="G137" s="44">
        <f>69026188+99588838</f>
        <v>168615026</v>
      </c>
      <c r="H137" s="44"/>
      <c r="I137" s="44">
        <v>513239</v>
      </c>
      <c r="J137" s="44"/>
      <c r="K137" s="44">
        <v>233117626</v>
      </c>
      <c r="L137" s="44"/>
      <c r="M137" s="44">
        <f t="shared" si="30"/>
        <v>19916517</v>
      </c>
      <c r="N137" s="44"/>
      <c r="O137" s="44">
        <v>39930571</v>
      </c>
      <c r="P137" s="44"/>
      <c r="Q137" s="44">
        <v>59847088</v>
      </c>
      <c r="R137" s="44"/>
      <c r="S137" s="44">
        <v>122687025</v>
      </c>
      <c r="T137" s="44"/>
      <c r="U137" s="44">
        <f>3464678+5622724+6534294+1310003</f>
        <v>16931699</v>
      </c>
      <c r="V137" s="44"/>
      <c r="W137" s="44">
        <v>33651814</v>
      </c>
      <c r="X137" s="44"/>
      <c r="Y137" s="44">
        <f t="shared" si="31"/>
        <v>173270538</v>
      </c>
      <c r="Z137" s="44"/>
      <c r="AA137" s="44"/>
      <c r="AB137" s="44">
        <f t="shared" si="24"/>
        <v>0</v>
      </c>
    </row>
    <row r="138" spans="1:29" ht="12.75" customHeight="1" x14ac:dyDescent="0.2">
      <c r="A138" s="44" t="s">
        <v>161</v>
      </c>
      <c r="C138" s="44" t="s">
        <v>15</v>
      </c>
      <c r="E138" s="143">
        <f t="shared" si="29"/>
        <v>14532873</v>
      </c>
      <c r="G138" s="44">
        <f>8392624+26496071</f>
        <v>34888695</v>
      </c>
      <c r="I138" s="44">
        <v>0</v>
      </c>
      <c r="K138" s="44">
        <v>49421568</v>
      </c>
      <c r="M138" s="44">
        <f t="shared" si="30"/>
        <v>7193548</v>
      </c>
      <c r="O138" s="44">
        <v>22183381</v>
      </c>
      <c r="Q138" s="44">
        <v>29376929</v>
      </c>
      <c r="S138" s="44">
        <v>18254740</v>
      </c>
      <c r="U138" s="44">
        <f>20044639+3416990-18254740</f>
        <v>5206889</v>
      </c>
      <c r="W138" s="44">
        <v>-3416990</v>
      </c>
      <c r="Y138" s="44">
        <f t="shared" si="31"/>
        <v>20044639</v>
      </c>
      <c r="AB138" s="44">
        <f t="shared" si="24"/>
        <v>0</v>
      </c>
    </row>
    <row r="139" spans="1:29" ht="12.75" customHeight="1" x14ac:dyDescent="0.2">
      <c r="A139" s="44" t="s">
        <v>162</v>
      </c>
      <c r="C139" s="44" t="s">
        <v>163</v>
      </c>
      <c r="E139" s="143">
        <f t="shared" si="29"/>
        <v>41496745</v>
      </c>
      <c r="G139" s="44">
        <f>11714230+61814976</f>
        <v>73529206</v>
      </c>
      <c r="I139" s="44">
        <v>0</v>
      </c>
      <c r="K139" s="44">
        <v>115025951</v>
      </c>
      <c r="M139" s="44">
        <f t="shared" si="30"/>
        <v>9864135</v>
      </c>
      <c r="O139" s="44">
        <v>20663679</v>
      </c>
      <c r="Q139" s="44">
        <v>30527814</v>
      </c>
      <c r="S139" s="44">
        <v>57495468</v>
      </c>
      <c r="U139" s="44">
        <f>84498137-57495468-5460643</f>
        <v>21542026</v>
      </c>
      <c r="W139" s="44">
        <v>5460643</v>
      </c>
      <c r="Y139" s="44">
        <f t="shared" si="31"/>
        <v>84498137</v>
      </c>
      <c r="AB139" s="44">
        <f t="shared" si="24"/>
        <v>0</v>
      </c>
    </row>
    <row r="140" spans="1:29" ht="12.75" customHeight="1" x14ac:dyDescent="0.2">
      <c r="A140" s="44" t="s">
        <v>164</v>
      </c>
      <c r="C140" s="44" t="s">
        <v>27</v>
      </c>
      <c r="E140" s="143">
        <f t="shared" si="29"/>
        <v>26656205</v>
      </c>
      <c r="G140" s="44">
        <f>9460176+23646402</f>
        <v>33106578</v>
      </c>
      <c r="I140" s="44">
        <v>0</v>
      </c>
      <c r="K140" s="44">
        <v>59762783</v>
      </c>
      <c r="M140" s="44">
        <f t="shared" si="30"/>
        <v>7369624</v>
      </c>
      <c r="O140" s="44">
        <v>6024716</v>
      </c>
      <c r="Q140" s="44">
        <v>13394340</v>
      </c>
      <c r="S140" s="44">
        <v>28692694</v>
      </c>
      <c r="U140" s="44">
        <f>717763+572818</f>
        <v>1290581</v>
      </c>
      <c r="W140" s="44">
        <v>16385168</v>
      </c>
      <c r="Y140" s="44">
        <f t="shared" si="31"/>
        <v>46368443</v>
      </c>
      <c r="AB140" s="44">
        <f t="shared" si="24"/>
        <v>0</v>
      </c>
    </row>
    <row r="141" spans="1:29" ht="12.75" customHeight="1" x14ac:dyDescent="0.2">
      <c r="A141" s="44" t="s">
        <v>53</v>
      </c>
      <c r="C141" s="44" t="s">
        <v>53</v>
      </c>
      <c r="E141" s="143">
        <f t="shared" si="29"/>
        <v>56686498</v>
      </c>
      <c r="G141" s="44">
        <f>4260506+41209027</f>
        <v>45469533</v>
      </c>
      <c r="I141" s="44">
        <v>138095</v>
      </c>
      <c r="K141" s="44">
        <v>102294126</v>
      </c>
      <c r="M141" s="44">
        <f t="shared" si="30"/>
        <v>4704554</v>
      </c>
      <c r="O141" s="44">
        <v>14406626</v>
      </c>
      <c r="Q141" s="44">
        <v>19111180</v>
      </c>
      <c r="S141" s="44">
        <v>42023592</v>
      </c>
      <c r="U141" s="44">
        <f>83182946-17600180-42023592</f>
        <v>23559174</v>
      </c>
      <c r="W141" s="44">
        <v>17600180</v>
      </c>
      <c r="Y141" s="44">
        <f t="shared" si="31"/>
        <v>83182946</v>
      </c>
      <c r="AB141" s="44">
        <f t="shared" si="24"/>
        <v>0</v>
      </c>
    </row>
    <row r="142" spans="1:29" ht="12.75" customHeight="1" x14ac:dyDescent="0.2">
      <c r="A142" s="44" t="s">
        <v>165</v>
      </c>
      <c r="C142" s="44" t="s">
        <v>92</v>
      </c>
      <c r="E142" s="143">
        <f t="shared" si="29"/>
        <v>61677316</v>
      </c>
      <c r="G142" s="44">
        <f>64558825+105596441</f>
        <v>170155266</v>
      </c>
      <c r="I142" s="44">
        <v>242556</v>
      </c>
      <c r="K142" s="44">
        <v>232075138</v>
      </c>
      <c r="M142" s="44">
        <f t="shared" si="30"/>
        <v>14604209</v>
      </c>
      <c r="O142" s="44">
        <v>31443225</v>
      </c>
      <c r="Q142" s="44">
        <v>46047434</v>
      </c>
      <c r="S142" s="44">
        <v>137998058</v>
      </c>
      <c r="U142" s="44">
        <f>16918313+1862140+6346121</f>
        <v>25126574</v>
      </c>
      <c r="W142" s="44">
        <v>22903072</v>
      </c>
      <c r="Y142" s="44">
        <f t="shared" si="31"/>
        <v>186027704</v>
      </c>
      <c r="AB142" s="44">
        <f t="shared" si="24"/>
        <v>0</v>
      </c>
    </row>
    <row r="143" spans="1:29" ht="12.75" customHeight="1" x14ac:dyDescent="0.2">
      <c r="A143" s="44" t="s">
        <v>166</v>
      </c>
      <c r="C143" s="44" t="s">
        <v>92</v>
      </c>
      <c r="E143" s="143">
        <f t="shared" si="29"/>
        <v>5159942</v>
      </c>
      <c r="G143" s="44">
        <f>4485072+2460199</f>
        <v>6945271</v>
      </c>
      <c r="I143" s="44">
        <v>0</v>
      </c>
      <c r="K143" s="44">
        <v>12105213</v>
      </c>
      <c r="M143" s="44">
        <f t="shared" si="30"/>
        <v>4502794</v>
      </c>
      <c r="O143" s="44">
        <v>1128953</v>
      </c>
      <c r="Q143" s="44">
        <v>5631747</v>
      </c>
      <c r="S143" s="44">
        <v>3666434</v>
      </c>
      <c r="U143" s="44">
        <f>6473466-537744-3666434</f>
        <v>2269288</v>
      </c>
      <c r="W143" s="44">
        <v>537744</v>
      </c>
      <c r="Y143" s="44">
        <f t="shared" si="31"/>
        <v>6473466</v>
      </c>
      <c r="AB143" s="44">
        <f t="shared" si="24"/>
        <v>0</v>
      </c>
    </row>
    <row r="144" spans="1:29" ht="12.75" customHeight="1" x14ac:dyDescent="0.2">
      <c r="A144" s="44" t="s">
        <v>167</v>
      </c>
      <c r="C144" s="44" t="s">
        <v>66</v>
      </c>
      <c r="E144" s="143">
        <f t="shared" si="29"/>
        <v>27946944</v>
      </c>
      <c r="G144" s="44">
        <f>14246599+29676450</f>
        <v>43923049</v>
      </c>
      <c r="I144" s="44">
        <v>294388</v>
      </c>
      <c r="K144" s="44">
        <v>72164381</v>
      </c>
      <c r="M144" s="44">
        <f t="shared" si="30"/>
        <v>13164337</v>
      </c>
      <c r="O144" s="44">
        <v>8351275</v>
      </c>
      <c r="Q144" s="44">
        <v>21515612</v>
      </c>
      <c r="S144" s="44">
        <v>33669503</v>
      </c>
      <c r="U144" s="44">
        <f>50648769-6937807-33669503</f>
        <v>10041459</v>
      </c>
      <c r="W144" s="44">
        <v>6937807</v>
      </c>
      <c r="Y144" s="44">
        <f t="shared" si="31"/>
        <v>50648769</v>
      </c>
      <c r="AB144" s="44">
        <f t="shared" si="24"/>
        <v>0</v>
      </c>
    </row>
    <row r="145" spans="1:28" ht="12.75" customHeight="1" x14ac:dyDescent="0.2">
      <c r="A145" s="44" t="s">
        <v>168</v>
      </c>
      <c r="C145" s="44" t="s">
        <v>27</v>
      </c>
      <c r="E145" s="143">
        <f t="shared" si="29"/>
        <v>15887924</v>
      </c>
      <c r="G145" s="44">
        <f>13425787+43418853</f>
        <v>56844640</v>
      </c>
      <c r="I145" s="44">
        <v>146090</v>
      </c>
      <c r="K145" s="44">
        <v>72878654</v>
      </c>
      <c r="M145" s="44">
        <f t="shared" si="30"/>
        <v>6755526</v>
      </c>
      <c r="O145" s="44">
        <v>9308606</v>
      </c>
      <c r="Q145" s="44">
        <v>16064132</v>
      </c>
      <c r="S145" s="44">
        <v>47345795</v>
      </c>
      <c r="U145" s="44">
        <f>1020901+1988524+452608</f>
        <v>3462033</v>
      </c>
      <c r="W145" s="44">
        <v>6006694</v>
      </c>
      <c r="Y145" s="44">
        <f t="shared" si="31"/>
        <v>56814522</v>
      </c>
      <c r="AB145" s="44">
        <f t="shared" si="24"/>
        <v>0</v>
      </c>
    </row>
    <row r="146" spans="1:28" ht="12.75" customHeight="1" x14ac:dyDescent="0.2">
      <c r="A146" s="44" t="s">
        <v>169</v>
      </c>
      <c r="C146" s="44" t="s">
        <v>103</v>
      </c>
      <c r="E146" s="143">
        <f t="shared" si="29"/>
        <v>56414906</v>
      </c>
      <c r="G146" s="44">
        <f>15900775+73999705</f>
        <v>89900480</v>
      </c>
      <c r="I146" s="44">
        <v>889126</v>
      </c>
      <c r="K146" s="44">
        <v>147204512</v>
      </c>
      <c r="M146" s="44">
        <f t="shared" si="30"/>
        <v>15439865</v>
      </c>
      <c r="O146" s="44">
        <v>34177104</v>
      </c>
      <c r="Q146" s="44">
        <v>49616969</v>
      </c>
      <c r="S146" s="44">
        <v>56714116</v>
      </c>
      <c r="U146" s="44">
        <f>97587543-56714116-11312377</f>
        <v>29561050</v>
      </c>
      <c r="W146" s="44">
        <v>11312377</v>
      </c>
      <c r="Y146" s="44">
        <f t="shared" si="31"/>
        <v>97587543</v>
      </c>
      <c r="AB146" s="44">
        <f t="shared" si="24"/>
        <v>0</v>
      </c>
    </row>
    <row r="147" spans="1:28" ht="12.75" customHeight="1" x14ac:dyDescent="0.2">
      <c r="A147" s="44" t="s">
        <v>170</v>
      </c>
      <c r="C147" s="44" t="s">
        <v>171</v>
      </c>
      <c r="E147" s="143">
        <f t="shared" si="29"/>
        <v>11772107</v>
      </c>
      <c r="G147" s="44">
        <f>4013720+1474286+2398145-3797734</f>
        <v>4088417</v>
      </c>
      <c r="I147" s="44">
        <v>96519</v>
      </c>
      <c r="K147" s="44">
        <v>15957043</v>
      </c>
      <c r="M147" s="44">
        <f t="shared" si="30"/>
        <v>3024503</v>
      </c>
      <c r="O147" s="44">
        <v>2495993</v>
      </c>
      <c r="Q147" s="44">
        <v>5520496</v>
      </c>
      <c r="S147" s="44">
        <v>3346852</v>
      </c>
      <c r="U147" s="44">
        <f>412009+434461+907465+337534+474276</f>
        <v>2565745</v>
      </c>
      <c r="W147" s="44">
        <v>4523950</v>
      </c>
      <c r="Y147" s="44">
        <f t="shared" si="31"/>
        <v>10436547</v>
      </c>
      <c r="AB147" s="44">
        <f t="shared" si="24"/>
        <v>0</v>
      </c>
    </row>
    <row r="148" spans="1:28" ht="12.75" customHeight="1" x14ac:dyDescent="0.2">
      <c r="A148" s="44" t="s">
        <v>172</v>
      </c>
      <c r="C148" s="44" t="s">
        <v>103</v>
      </c>
      <c r="E148" s="143">
        <f t="shared" si="29"/>
        <v>32126057</v>
      </c>
      <c r="G148" s="44">
        <f>1979548+55085717</f>
        <v>57065265</v>
      </c>
      <c r="I148" s="44">
        <v>237013</v>
      </c>
      <c r="K148" s="44">
        <v>89428335</v>
      </c>
      <c r="M148" s="44">
        <f t="shared" si="30"/>
        <v>5446569</v>
      </c>
      <c r="O148" s="44">
        <v>12611417</v>
      </c>
      <c r="Q148" s="44">
        <v>18057986</v>
      </c>
      <c r="S148" s="44">
        <v>43525991</v>
      </c>
      <c r="U148" s="44">
        <f>71370349-43525991-25639374</f>
        <v>2204984</v>
      </c>
      <c r="W148" s="44">
        <v>25639374</v>
      </c>
      <c r="Y148" s="44">
        <f t="shared" si="31"/>
        <v>71370349</v>
      </c>
      <c r="AB148" s="44">
        <f t="shared" si="24"/>
        <v>0</v>
      </c>
    </row>
    <row r="149" spans="1:28" ht="12.75" customHeight="1" x14ac:dyDescent="0.2">
      <c r="A149" s="44" t="s">
        <v>66</v>
      </c>
      <c r="C149" s="44" t="s">
        <v>45</v>
      </c>
      <c r="E149" s="143">
        <f t="shared" si="29"/>
        <v>39635902</v>
      </c>
      <c r="G149" s="44">
        <f>16046795+23397946</f>
        <v>39444741</v>
      </c>
      <c r="I149" s="44">
        <v>0</v>
      </c>
      <c r="K149" s="44">
        <v>79080643</v>
      </c>
      <c r="M149" s="44">
        <f t="shared" si="30"/>
        <v>7374080</v>
      </c>
      <c r="O149" s="44">
        <v>3116748</v>
      </c>
      <c r="Q149" s="44">
        <v>10490828</v>
      </c>
      <c r="S149" s="44">
        <v>36182645</v>
      </c>
      <c r="U149" s="44">
        <f>68589815-36182645-14845473</f>
        <v>17561697</v>
      </c>
      <c r="W149" s="44">
        <v>14845473</v>
      </c>
      <c r="Y149" s="44">
        <f t="shared" si="31"/>
        <v>68589815</v>
      </c>
      <c r="AB149" s="44">
        <f t="shared" si="24"/>
        <v>0</v>
      </c>
    </row>
    <row r="150" spans="1:28" ht="12.75" customHeight="1" x14ac:dyDescent="0.2">
      <c r="A150" s="44" t="s">
        <v>173</v>
      </c>
      <c r="C150" s="44" t="s">
        <v>66</v>
      </c>
      <c r="E150" s="143">
        <f t="shared" si="29"/>
        <v>18255373</v>
      </c>
      <c r="G150" s="44">
        <f>14855607+19961329</f>
        <v>34816936</v>
      </c>
      <c r="I150" s="44">
        <v>167727</v>
      </c>
      <c r="K150" s="44">
        <v>53240036</v>
      </c>
      <c r="M150" s="44">
        <f t="shared" si="30"/>
        <v>3200898</v>
      </c>
      <c r="O150" s="44">
        <v>8723036</v>
      </c>
      <c r="Q150" s="44">
        <v>11923934</v>
      </c>
      <c r="S150" s="44">
        <v>28114573</v>
      </c>
      <c r="U150" s="44">
        <f>41316102-28114573-6604914</f>
        <v>6596615</v>
      </c>
      <c r="W150" s="44">
        <v>6604914</v>
      </c>
      <c r="Y150" s="44">
        <f t="shared" si="31"/>
        <v>41316102</v>
      </c>
      <c r="AB150" s="44">
        <f t="shared" ref="AB150:AB217" si="32">+K150-Q150-Y150</f>
        <v>0</v>
      </c>
    </row>
    <row r="151" spans="1:28" ht="12.75" customHeight="1" x14ac:dyDescent="0.2">
      <c r="A151" s="44" t="s">
        <v>174</v>
      </c>
      <c r="C151" s="44" t="s">
        <v>45</v>
      </c>
      <c r="E151" s="143">
        <f t="shared" si="29"/>
        <v>2390537</v>
      </c>
      <c r="G151" s="44">
        <f>648330+3434537</f>
        <v>4082867</v>
      </c>
      <c r="I151" s="44">
        <v>42286</v>
      </c>
      <c r="K151" s="44">
        <v>6515690</v>
      </c>
      <c r="M151" s="44">
        <f t="shared" si="30"/>
        <v>1366249</v>
      </c>
      <c r="O151" s="44">
        <v>1880828</v>
      </c>
      <c r="Q151" s="44">
        <v>3247077</v>
      </c>
      <c r="S151" s="44">
        <v>2256749</v>
      </c>
      <c r="U151" s="44">
        <f>163355+111721+31784+387+970</f>
        <v>308217</v>
      </c>
      <c r="W151" s="44">
        <v>703647</v>
      </c>
      <c r="Y151" s="44">
        <f t="shared" si="31"/>
        <v>3268613</v>
      </c>
      <c r="AB151" s="44">
        <f t="shared" si="32"/>
        <v>0</v>
      </c>
    </row>
    <row r="152" spans="1:28" ht="12.75" customHeight="1" x14ac:dyDescent="0.2">
      <c r="A152" s="44" t="s">
        <v>175</v>
      </c>
      <c r="C152" s="44" t="s">
        <v>176</v>
      </c>
      <c r="E152" s="143">
        <f t="shared" si="29"/>
        <v>13453632</v>
      </c>
      <c r="G152" s="44">
        <f>13276780+32906224</f>
        <v>46183004</v>
      </c>
      <c r="I152" s="44">
        <v>61750</v>
      </c>
      <c r="K152" s="44">
        <v>59698386</v>
      </c>
      <c r="M152" s="44">
        <f t="shared" si="30"/>
        <v>4795558</v>
      </c>
      <c r="O152" s="44">
        <v>7584919</v>
      </c>
      <c r="Q152" s="44">
        <v>12380477</v>
      </c>
      <c r="S152" s="44">
        <v>42072367</v>
      </c>
      <c r="U152" s="44">
        <f>47317909-42072367-2210749</f>
        <v>3034793</v>
      </c>
      <c r="W152" s="44">
        <v>2210749</v>
      </c>
      <c r="Y152" s="44">
        <f t="shared" si="31"/>
        <v>47317909</v>
      </c>
      <c r="AB152" s="44">
        <f t="shared" si="32"/>
        <v>0</v>
      </c>
    </row>
    <row r="153" spans="1:28" ht="12.75" customHeight="1" x14ac:dyDescent="0.2">
      <c r="A153" s="44" t="s">
        <v>177</v>
      </c>
      <c r="C153" s="44" t="s">
        <v>13</v>
      </c>
      <c r="E153" s="143">
        <f t="shared" si="29"/>
        <v>5094959</v>
      </c>
      <c r="G153" s="44">
        <f>1653686+4758070</f>
        <v>6411756</v>
      </c>
      <c r="I153" s="44">
        <v>6297</v>
      </c>
      <c r="K153" s="44">
        <v>11513012</v>
      </c>
      <c r="M153" s="44">
        <f t="shared" si="30"/>
        <v>1056408</v>
      </c>
      <c r="O153" s="44">
        <v>920724</v>
      </c>
      <c r="Q153" s="44">
        <v>1977132</v>
      </c>
      <c r="S153" s="44">
        <v>5757403</v>
      </c>
      <c r="U153" s="44">
        <f>9535880-5757403-1927823</f>
        <v>1850654</v>
      </c>
      <c r="W153" s="44">
        <v>1927823</v>
      </c>
      <c r="Y153" s="44">
        <f t="shared" si="31"/>
        <v>9535880</v>
      </c>
      <c r="AB153" s="44">
        <f t="shared" si="32"/>
        <v>0</v>
      </c>
    </row>
    <row r="154" spans="1:28" ht="12.75" customHeight="1" x14ac:dyDescent="0.2">
      <c r="A154" s="44" t="s">
        <v>178</v>
      </c>
      <c r="C154" s="44" t="s">
        <v>179</v>
      </c>
      <c r="E154" s="143">
        <f t="shared" si="29"/>
        <v>7002866</v>
      </c>
      <c r="G154" s="44">
        <f>12269440+19412671</f>
        <v>31682111</v>
      </c>
      <c r="I154" s="44">
        <v>0</v>
      </c>
      <c r="K154" s="44">
        <v>38684977</v>
      </c>
      <c r="M154" s="44">
        <f t="shared" si="30"/>
        <v>1306734</v>
      </c>
      <c r="O154" s="44">
        <v>1851727</v>
      </c>
      <c r="Q154" s="44">
        <v>3158461</v>
      </c>
      <c r="S154" s="44">
        <v>30103480</v>
      </c>
      <c r="U154" s="44">
        <f>35526516-30103480-1537086</f>
        <v>3885950</v>
      </c>
      <c r="W154" s="44">
        <v>1537086</v>
      </c>
      <c r="Y154" s="44">
        <f t="shared" si="31"/>
        <v>35526516</v>
      </c>
      <c r="AB154" s="44">
        <f t="shared" si="32"/>
        <v>0</v>
      </c>
    </row>
    <row r="155" spans="1:28" ht="12.75" customHeight="1" x14ac:dyDescent="0.2">
      <c r="A155" s="44" t="s">
        <v>180</v>
      </c>
      <c r="C155" s="44" t="s">
        <v>20</v>
      </c>
      <c r="E155" s="143">
        <f t="shared" si="29"/>
        <v>4508383</v>
      </c>
      <c r="G155" s="44">
        <f>407263+11127624</f>
        <v>11534887</v>
      </c>
      <c r="I155" s="44">
        <v>0</v>
      </c>
      <c r="K155" s="44">
        <v>16043270</v>
      </c>
      <c r="M155" s="44">
        <f t="shared" si="30"/>
        <v>777037</v>
      </c>
      <c r="O155" s="44">
        <v>492156</v>
      </c>
      <c r="Q155" s="44">
        <v>1269193</v>
      </c>
      <c r="S155" s="44">
        <v>10934244</v>
      </c>
      <c r="U155" s="44">
        <f>14774077-10934244-1663268</f>
        <v>2176565</v>
      </c>
      <c r="W155" s="44">
        <v>1663268</v>
      </c>
      <c r="Y155" s="44">
        <f t="shared" si="31"/>
        <v>14774077</v>
      </c>
      <c r="AB155" s="44">
        <f t="shared" si="32"/>
        <v>0</v>
      </c>
    </row>
    <row r="156" spans="1:28" ht="12.75" customHeight="1" x14ac:dyDescent="0.2">
      <c r="A156" s="44" t="s">
        <v>508</v>
      </c>
      <c r="C156" s="44" t="s">
        <v>43</v>
      </c>
      <c r="E156" s="143">
        <f t="shared" si="29"/>
        <v>37669919</v>
      </c>
      <c r="G156" s="44">
        <v>102403155</v>
      </c>
      <c r="I156" s="44">
        <v>335179</v>
      </c>
      <c r="K156" s="44">
        <v>140408253</v>
      </c>
      <c r="M156" s="44">
        <f t="shared" si="30"/>
        <v>9606664</v>
      </c>
      <c r="O156" s="44">
        <v>31602728</v>
      </c>
      <c r="Q156" s="44">
        <v>41209392</v>
      </c>
      <c r="S156" s="44">
        <v>81037962</v>
      </c>
      <c r="U156" s="44">
        <f>99198861-81037962-10512068</f>
        <v>7648831</v>
      </c>
      <c r="W156" s="44">
        <v>10512068</v>
      </c>
      <c r="Y156" s="44">
        <f t="shared" si="31"/>
        <v>99198861</v>
      </c>
      <c r="AB156" s="44">
        <f t="shared" si="32"/>
        <v>0</v>
      </c>
    </row>
    <row r="157" spans="1:28" ht="12.75" customHeight="1" x14ac:dyDescent="0.2">
      <c r="A157" s="44" t="s">
        <v>182</v>
      </c>
      <c r="C157" s="44" t="s">
        <v>183</v>
      </c>
      <c r="E157" s="143">
        <f t="shared" si="29"/>
        <v>4609107</v>
      </c>
      <c r="G157" s="44">
        <f>586258+3306307</f>
        <v>3892565</v>
      </c>
      <c r="I157" s="44">
        <v>51222</v>
      </c>
      <c r="K157" s="44">
        <v>8552894</v>
      </c>
      <c r="M157" s="44">
        <f t="shared" si="30"/>
        <v>828000</v>
      </c>
      <c r="O157" s="44">
        <v>2246871</v>
      </c>
      <c r="Q157" s="44">
        <v>3074871</v>
      </c>
      <c r="S157" s="44">
        <v>1620962</v>
      </c>
      <c r="U157" s="44">
        <f>5478023-1620962-946204</f>
        <v>2910857</v>
      </c>
      <c r="W157" s="44">
        <v>946204</v>
      </c>
      <c r="Y157" s="44">
        <f t="shared" si="31"/>
        <v>5478023</v>
      </c>
      <c r="AB157" s="44">
        <f t="shared" si="32"/>
        <v>0</v>
      </c>
    </row>
    <row r="158" spans="1:28" ht="12.75" customHeight="1" x14ac:dyDescent="0.2">
      <c r="A158" s="44" t="s">
        <v>487</v>
      </c>
      <c r="C158" s="44" t="s">
        <v>13</v>
      </c>
      <c r="E158" s="143">
        <f t="shared" si="29"/>
        <v>7205003</v>
      </c>
      <c r="G158" s="44">
        <f>1449197+4092911</f>
        <v>5542108</v>
      </c>
      <c r="I158" s="44">
        <v>0</v>
      </c>
      <c r="K158" s="44">
        <v>12747111</v>
      </c>
      <c r="M158" s="44">
        <f t="shared" si="30"/>
        <v>3185009</v>
      </c>
      <c r="O158" s="44">
        <v>623621</v>
      </c>
      <c r="Q158" s="44">
        <v>3808630</v>
      </c>
      <c r="S158" s="44">
        <v>5483885</v>
      </c>
      <c r="U158" s="44">
        <f>2183+20415+1226271+637394</f>
        <v>1886263</v>
      </c>
      <c r="W158" s="44">
        <v>1568333</v>
      </c>
      <c r="Y158" s="44">
        <f t="shared" si="31"/>
        <v>8938481</v>
      </c>
      <c r="AB158" s="44">
        <f>+K158-Q158-Y158</f>
        <v>0</v>
      </c>
    </row>
    <row r="159" spans="1:28" ht="12.75" customHeight="1" x14ac:dyDescent="0.2">
      <c r="A159" s="44" t="s">
        <v>184</v>
      </c>
      <c r="C159" s="44" t="s">
        <v>89</v>
      </c>
      <c r="E159" s="143">
        <f t="shared" si="29"/>
        <v>11099132</v>
      </c>
      <c r="G159" s="44">
        <f>845541+26783310</f>
        <v>27628851</v>
      </c>
      <c r="I159" s="44">
        <v>0</v>
      </c>
      <c r="K159" s="44">
        <v>38727983</v>
      </c>
      <c r="M159" s="44">
        <f t="shared" si="30"/>
        <v>2918308</v>
      </c>
      <c r="O159" s="44">
        <v>2184014</v>
      </c>
      <c r="Q159" s="44">
        <v>5102322</v>
      </c>
      <c r="S159" s="44">
        <v>25964692</v>
      </c>
      <c r="U159" s="44">
        <f>81203+1889447+2395698</f>
        <v>4366348</v>
      </c>
      <c r="W159" s="44">
        <v>3294621</v>
      </c>
      <c r="Y159" s="44">
        <f t="shared" si="31"/>
        <v>33625661</v>
      </c>
      <c r="AB159" s="44">
        <f t="shared" si="32"/>
        <v>0</v>
      </c>
    </row>
    <row r="160" spans="1:28" ht="12.75" customHeight="1" x14ac:dyDescent="0.2">
      <c r="A160" s="44" t="s">
        <v>181</v>
      </c>
      <c r="C160" s="44" t="s">
        <v>125</v>
      </c>
      <c r="E160" s="143">
        <f t="shared" si="29"/>
        <v>27372290</v>
      </c>
      <c r="G160" s="44">
        <f>19295509+42023303</f>
        <v>61318812</v>
      </c>
      <c r="I160" s="44">
        <v>0</v>
      </c>
      <c r="K160" s="44">
        <v>88691102</v>
      </c>
      <c r="M160" s="44">
        <f t="shared" si="30"/>
        <v>8578541</v>
      </c>
      <c r="O160" s="44">
        <v>21439592</v>
      </c>
      <c r="Q160" s="44">
        <v>30018133</v>
      </c>
      <c r="S160" s="44">
        <v>42258279</v>
      </c>
      <c r="U160" s="44">
        <f>2313456+788778+482342+2709065+5477432+68266+1012319+1201391+96062</f>
        <v>14149111</v>
      </c>
      <c r="W160" s="44">
        <v>2265579</v>
      </c>
      <c r="Y160" s="44">
        <f t="shared" si="31"/>
        <v>58672969</v>
      </c>
      <c r="AB160" s="44">
        <f t="shared" si="32"/>
        <v>0</v>
      </c>
    </row>
    <row r="161" spans="1:28" ht="12.75" customHeight="1" x14ac:dyDescent="0.2">
      <c r="A161" s="44" t="s">
        <v>185</v>
      </c>
      <c r="C161" s="44" t="s">
        <v>80</v>
      </c>
      <c r="E161" s="143">
        <f t="shared" si="29"/>
        <v>16038241</v>
      </c>
      <c r="G161" s="44">
        <f>106300+4322089+13429208</f>
        <v>17857597</v>
      </c>
      <c r="I161" s="44">
        <v>0</v>
      </c>
      <c r="K161" s="44">
        <v>33895838</v>
      </c>
      <c r="M161" s="44">
        <f t="shared" si="30"/>
        <v>2297699</v>
      </c>
      <c r="O161" s="44">
        <v>4556124</v>
      </c>
      <c r="Q161" s="44">
        <v>6853823</v>
      </c>
      <c r="S161" s="44">
        <v>14609382</v>
      </c>
      <c r="U161" s="44">
        <f>27042015-14609382-10304730</f>
        <v>2127903</v>
      </c>
      <c r="W161" s="44">
        <v>10304730</v>
      </c>
      <c r="Y161" s="44">
        <f t="shared" si="31"/>
        <v>27042015</v>
      </c>
      <c r="AB161" s="44">
        <f>+K161-Q161-Y161</f>
        <v>0</v>
      </c>
    </row>
    <row r="162" spans="1:28" ht="12.75" customHeight="1" x14ac:dyDescent="0.2">
      <c r="A162" s="44" t="s">
        <v>186</v>
      </c>
      <c r="C162" s="44" t="s">
        <v>15</v>
      </c>
      <c r="E162" s="143">
        <f t="shared" si="29"/>
        <v>14143124</v>
      </c>
      <c r="G162" s="44">
        <v>29066461</v>
      </c>
      <c r="I162" s="44">
        <v>82640</v>
      </c>
      <c r="K162" s="44">
        <v>43292225</v>
      </c>
      <c r="M162" s="44">
        <f t="shared" si="30"/>
        <v>3085739</v>
      </c>
      <c r="O162" s="44">
        <v>3717277</v>
      </c>
      <c r="Q162" s="44">
        <v>6803016</v>
      </c>
      <c r="S162" s="44">
        <v>26603479</v>
      </c>
      <c r="U162" s="44">
        <f>36489209-26603479-7798043</f>
        <v>2087687</v>
      </c>
      <c r="W162" s="44">
        <v>7798043</v>
      </c>
      <c r="Y162" s="44">
        <f t="shared" si="31"/>
        <v>36489209</v>
      </c>
      <c r="AB162" s="44">
        <f t="shared" si="32"/>
        <v>0</v>
      </c>
    </row>
    <row r="163" spans="1:28" ht="12.75" customHeight="1" x14ac:dyDescent="0.2">
      <c r="A163" s="44" t="s">
        <v>187</v>
      </c>
      <c r="B163" s="44"/>
      <c r="C163" s="44" t="s">
        <v>27</v>
      </c>
      <c r="D163" s="44"/>
      <c r="E163" s="143">
        <f t="shared" si="29"/>
        <v>34094599</v>
      </c>
      <c r="G163" s="44">
        <f>4116640+60405061</f>
        <v>64521701</v>
      </c>
      <c r="I163" s="44">
        <v>176112</v>
      </c>
      <c r="K163" s="44">
        <v>98792412</v>
      </c>
      <c r="M163" s="44">
        <f t="shared" si="30"/>
        <v>16666640</v>
      </c>
      <c r="O163" s="44">
        <v>26724153</v>
      </c>
      <c r="Q163" s="44">
        <v>43390793</v>
      </c>
      <c r="S163" s="44">
        <v>36787582</v>
      </c>
      <c r="U163" s="44">
        <f>55401619-36787582-6476551</f>
        <v>12137486</v>
      </c>
      <c r="W163" s="44">
        <v>6476551</v>
      </c>
      <c r="Y163" s="44">
        <f t="shared" si="31"/>
        <v>55401619</v>
      </c>
      <c r="AB163" s="44">
        <f>+K163-Q163-Y163</f>
        <v>0</v>
      </c>
    </row>
    <row r="164" spans="1:28" ht="12.75" customHeight="1" x14ac:dyDescent="0.2">
      <c r="A164" s="44" t="s">
        <v>189</v>
      </c>
      <c r="C164" s="44" t="s">
        <v>17</v>
      </c>
      <c r="E164" s="143">
        <f t="shared" si="29"/>
        <v>21619796</v>
      </c>
      <c r="G164" s="44">
        <f>3037854+60801199</f>
        <v>63839053</v>
      </c>
      <c r="I164" s="44">
        <v>0</v>
      </c>
      <c r="K164" s="44">
        <v>85458849</v>
      </c>
      <c r="M164" s="44">
        <f t="shared" si="30"/>
        <v>11865413</v>
      </c>
      <c r="O164" s="44">
        <v>8624966</v>
      </c>
      <c r="Q164" s="44">
        <v>20490379</v>
      </c>
      <c r="S164" s="44">
        <v>55632130</v>
      </c>
      <c r="U164" s="44">
        <f>64968470-55632130-3748051</f>
        <v>5588289</v>
      </c>
      <c r="W164" s="44">
        <v>3748051</v>
      </c>
      <c r="Y164" s="44">
        <f t="shared" si="31"/>
        <v>64968470</v>
      </c>
      <c r="AB164" s="44">
        <f t="shared" si="32"/>
        <v>0</v>
      </c>
    </row>
    <row r="165" spans="1:28" ht="12.75" customHeight="1" x14ac:dyDescent="0.2">
      <c r="A165" s="44" t="s">
        <v>188</v>
      </c>
      <c r="C165" s="44" t="s">
        <v>27</v>
      </c>
      <c r="E165" s="143">
        <f t="shared" si="29"/>
        <v>28580420</v>
      </c>
      <c r="G165" s="44">
        <f>9391623+105540448</f>
        <v>114932071</v>
      </c>
      <c r="I165" s="44">
        <f>14884+82338</f>
        <v>97222</v>
      </c>
      <c r="K165" s="44">
        <v>143609713</v>
      </c>
      <c r="M165" s="44">
        <f t="shared" si="30"/>
        <v>8629283</v>
      </c>
      <c r="O165" s="44">
        <v>26563044</v>
      </c>
      <c r="Q165" s="44">
        <v>35192327</v>
      </c>
      <c r="S165" s="44">
        <v>94296030</v>
      </c>
      <c r="U165" s="44">
        <f>6344433+1946394+3458515</f>
        <v>11749342</v>
      </c>
      <c r="W165" s="44">
        <v>2372014</v>
      </c>
      <c r="Y165" s="44">
        <f t="shared" si="31"/>
        <v>108417386</v>
      </c>
      <c r="AB165" s="44">
        <f>+K165-Q165-Y165</f>
        <v>0</v>
      </c>
    </row>
    <row r="166" spans="1:28" ht="12.75" customHeight="1" x14ac:dyDescent="0.2">
      <c r="A166" s="44" t="s">
        <v>190</v>
      </c>
      <c r="C166" s="44" t="s">
        <v>47</v>
      </c>
      <c r="E166" s="143">
        <f t="shared" si="29"/>
        <v>8986924</v>
      </c>
      <c r="G166" s="44">
        <f>423539+8184768</f>
        <v>8608307</v>
      </c>
      <c r="I166" s="44">
        <v>0</v>
      </c>
      <c r="K166" s="44">
        <v>17595231</v>
      </c>
      <c r="M166" s="44">
        <f t="shared" si="30"/>
        <v>865201</v>
      </c>
      <c r="O166" s="44">
        <v>2709331</v>
      </c>
      <c r="Q166" s="44">
        <v>3574532</v>
      </c>
      <c r="S166" s="44">
        <v>8262892</v>
      </c>
      <c r="U166" s="44">
        <f>3975177+542156+693591+573360+205596</f>
        <v>5989880</v>
      </c>
      <c r="W166" s="44">
        <v>-232073</v>
      </c>
      <c r="Y166" s="44">
        <f t="shared" si="31"/>
        <v>14020699</v>
      </c>
      <c r="AB166" s="44">
        <f t="shared" si="32"/>
        <v>0</v>
      </c>
    </row>
    <row r="167" spans="1:28" ht="12.75" customHeight="1" x14ac:dyDescent="0.2">
      <c r="A167" s="44" t="s">
        <v>191</v>
      </c>
      <c r="C167" s="44" t="s">
        <v>13</v>
      </c>
      <c r="E167" s="143">
        <f t="shared" si="29"/>
        <v>11445759</v>
      </c>
      <c r="G167" s="44">
        <f>6733400+15813160</f>
        <v>22546560</v>
      </c>
      <c r="I167" s="44">
        <v>118331</v>
      </c>
      <c r="K167" s="44">
        <v>34110650</v>
      </c>
      <c r="M167" s="44">
        <f t="shared" si="30"/>
        <v>2695711</v>
      </c>
      <c r="O167" s="44">
        <v>8233869</v>
      </c>
      <c r="Q167" s="44">
        <v>10929580</v>
      </c>
      <c r="S167" s="44">
        <v>14719891</v>
      </c>
      <c r="U167" s="44">
        <f>23181070-14719891-4300643</f>
        <v>4160536</v>
      </c>
      <c r="W167" s="44">
        <v>4300643</v>
      </c>
      <c r="Y167" s="44">
        <f t="shared" si="31"/>
        <v>23181070</v>
      </c>
      <c r="AB167" s="44">
        <f t="shared" si="32"/>
        <v>0</v>
      </c>
    </row>
    <row r="168" spans="1:28" ht="12.75" customHeight="1" x14ac:dyDescent="0.2">
      <c r="A168" s="44" t="s">
        <v>192</v>
      </c>
      <c r="C168" s="44" t="s">
        <v>38</v>
      </c>
      <c r="E168" s="143">
        <f t="shared" si="29"/>
        <v>15080795</v>
      </c>
      <c r="G168" s="44">
        <f>2286440+16443933</f>
        <v>18730373</v>
      </c>
      <c r="I168" s="44">
        <v>0</v>
      </c>
      <c r="K168" s="44">
        <v>33811168</v>
      </c>
      <c r="M168" s="44">
        <f t="shared" si="30"/>
        <v>2650708</v>
      </c>
      <c r="O168" s="44">
        <v>2238205</v>
      </c>
      <c r="Q168" s="44">
        <v>4888913</v>
      </c>
      <c r="S168" s="44">
        <v>17366005</v>
      </c>
      <c r="U168" s="44">
        <f>28922255-17366005-2012749</f>
        <v>9543501</v>
      </c>
      <c r="W168" s="44">
        <v>2012749</v>
      </c>
      <c r="Y168" s="44">
        <f t="shared" si="31"/>
        <v>28922255</v>
      </c>
      <c r="AB168" s="44">
        <f t="shared" si="32"/>
        <v>0</v>
      </c>
    </row>
    <row r="169" spans="1:28" ht="12.75" customHeight="1" x14ac:dyDescent="0.2">
      <c r="A169" s="44" t="s">
        <v>193</v>
      </c>
      <c r="C169" s="44" t="s">
        <v>45</v>
      </c>
      <c r="E169" s="143">
        <f t="shared" si="29"/>
        <v>12501478</v>
      </c>
      <c r="G169" s="44">
        <f>6376146+13297451</f>
        <v>19673597</v>
      </c>
      <c r="I169" s="44">
        <v>112306</v>
      </c>
      <c r="K169" s="44">
        <v>32287381</v>
      </c>
      <c r="M169" s="44">
        <f t="shared" si="30"/>
        <v>8765774</v>
      </c>
      <c r="O169" s="44">
        <v>22370342</v>
      </c>
      <c r="Q169" s="44">
        <v>31136116</v>
      </c>
      <c r="S169" s="44">
        <v>10103151</v>
      </c>
      <c r="U169" s="44">
        <f>1151265+12934330-10103151</f>
        <v>3982444</v>
      </c>
      <c r="W169" s="44">
        <v>-12934330</v>
      </c>
      <c r="Y169" s="44">
        <f t="shared" si="31"/>
        <v>1151265</v>
      </c>
      <c r="AB169" s="44">
        <f t="shared" si="32"/>
        <v>0</v>
      </c>
    </row>
    <row r="170" spans="1:28" ht="12.75" customHeight="1" x14ac:dyDescent="0.2">
      <c r="A170" s="44" t="s">
        <v>194</v>
      </c>
      <c r="C170" s="44" t="s">
        <v>66</v>
      </c>
      <c r="E170" s="143">
        <f t="shared" si="29"/>
        <v>14710693</v>
      </c>
      <c r="G170" s="44">
        <f>4783567+35074630</f>
        <v>39858197</v>
      </c>
      <c r="I170" s="44">
        <v>0</v>
      </c>
      <c r="K170" s="44">
        <v>54568890</v>
      </c>
      <c r="M170" s="44">
        <f t="shared" si="30"/>
        <v>4580809</v>
      </c>
      <c r="O170" s="44">
        <v>1617682</v>
      </c>
      <c r="Q170" s="44">
        <v>6198491</v>
      </c>
      <c r="S170" s="44">
        <v>37334197</v>
      </c>
      <c r="U170" s="44">
        <f>48370399-37334197-9605983</f>
        <v>1430219</v>
      </c>
      <c r="W170" s="44">
        <v>9605983</v>
      </c>
      <c r="Y170" s="44">
        <f t="shared" si="31"/>
        <v>48370399</v>
      </c>
      <c r="AB170" s="44">
        <f t="shared" si="32"/>
        <v>0</v>
      </c>
    </row>
    <row r="171" spans="1:28" ht="12.75" customHeight="1" x14ac:dyDescent="0.2">
      <c r="A171" s="44" t="s">
        <v>195</v>
      </c>
      <c r="C171" s="44" t="s">
        <v>17</v>
      </c>
      <c r="E171" s="143">
        <f t="shared" si="29"/>
        <v>14662015</v>
      </c>
      <c r="G171" s="44">
        <f>4550056+31620779</f>
        <v>36170835</v>
      </c>
      <c r="I171" s="44">
        <v>0</v>
      </c>
      <c r="K171" s="44">
        <v>50832850</v>
      </c>
      <c r="M171" s="44">
        <f t="shared" si="30"/>
        <v>2337769</v>
      </c>
      <c r="O171" s="44">
        <v>9321843</v>
      </c>
      <c r="Q171" s="44">
        <v>11659612</v>
      </c>
      <c r="S171" s="44">
        <v>26903985</v>
      </c>
      <c r="U171" s="44">
        <f>2640536+296940+1296077</f>
        <v>4233553</v>
      </c>
      <c r="W171" s="44">
        <v>8035700</v>
      </c>
      <c r="Y171" s="44">
        <f t="shared" si="31"/>
        <v>39173238</v>
      </c>
      <c r="AB171" s="44">
        <f>+K171-Q171-Y171</f>
        <v>0</v>
      </c>
    </row>
    <row r="172" spans="1:28" ht="12.75" customHeight="1" x14ac:dyDescent="0.2">
      <c r="A172" s="44" t="s">
        <v>492</v>
      </c>
      <c r="C172" s="44" t="s">
        <v>27</v>
      </c>
      <c r="E172" s="143">
        <f t="shared" si="29"/>
        <v>11777700</v>
      </c>
      <c r="G172" s="44">
        <v>25028443</v>
      </c>
      <c r="I172" s="44">
        <v>0</v>
      </c>
      <c r="K172" s="44">
        <v>36806143</v>
      </c>
      <c r="M172" s="44">
        <f t="shared" si="30"/>
        <v>3160811</v>
      </c>
      <c r="O172" s="44">
        <v>6153712</v>
      </c>
      <c r="Q172" s="44">
        <v>9314523</v>
      </c>
      <c r="S172" s="44">
        <v>21171133</v>
      </c>
      <c r="U172" s="44">
        <f>2320498+2405845</f>
        <v>4726343</v>
      </c>
      <c r="W172" s="44">
        <v>1594144</v>
      </c>
      <c r="Y172" s="44">
        <f t="shared" si="31"/>
        <v>27491620</v>
      </c>
      <c r="AB172" s="44">
        <f t="shared" si="32"/>
        <v>0</v>
      </c>
    </row>
    <row r="173" spans="1:28" ht="12.75" customHeight="1" x14ac:dyDescent="0.2">
      <c r="A173" s="44" t="s">
        <v>402</v>
      </c>
      <c r="C173" s="44" t="s">
        <v>153</v>
      </c>
      <c r="E173" s="143">
        <f t="shared" si="29"/>
        <v>9293505</v>
      </c>
      <c r="G173" s="44">
        <v>19375857</v>
      </c>
      <c r="I173" s="44">
        <v>152749</v>
      </c>
      <c r="K173" s="44">
        <v>28822111</v>
      </c>
      <c r="M173" s="44">
        <f t="shared" si="30"/>
        <v>1064928</v>
      </c>
      <c r="O173" s="44">
        <v>1973552</v>
      </c>
      <c r="Q173" s="44">
        <v>3038480</v>
      </c>
      <c r="S173" s="44">
        <v>17702355</v>
      </c>
      <c r="U173" s="44">
        <f>25783631-17702355-4306007</f>
        <v>3775269</v>
      </c>
      <c r="W173" s="44">
        <v>4306007</v>
      </c>
      <c r="Y173" s="44">
        <f t="shared" si="31"/>
        <v>25783631</v>
      </c>
      <c r="AB173" s="44">
        <f t="shared" si="32"/>
        <v>0</v>
      </c>
    </row>
    <row r="174" spans="1:28" ht="12.75" customHeight="1" x14ac:dyDescent="0.2">
      <c r="A174" s="44" t="s">
        <v>197</v>
      </c>
      <c r="C174" s="44" t="s">
        <v>163</v>
      </c>
      <c r="E174" s="143">
        <f t="shared" si="29"/>
        <v>50855977</v>
      </c>
      <c r="G174" s="44">
        <f>10215169+31909098</f>
        <v>42124267</v>
      </c>
      <c r="I174" s="44">
        <v>0</v>
      </c>
      <c r="K174" s="44">
        <v>92980244</v>
      </c>
      <c r="M174" s="44">
        <f t="shared" si="30"/>
        <v>11752243</v>
      </c>
      <c r="O174" s="44">
        <v>15059537</v>
      </c>
      <c r="Q174" s="44">
        <v>26811780</v>
      </c>
      <c r="S174" s="44">
        <v>20624080</v>
      </c>
      <c r="U174" s="44">
        <f>66168464-20624080-26052310</f>
        <v>19492074</v>
      </c>
      <c r="W174" s="44">
        <v>26052310</v>
      </c>
      <c r="Y174" s="44">
        <f t="shared" si="31"/>
        <v>66168464</v>
      </c>
      <c r="AB174" s="44">
        <f>+K174-Q174-Y174</f>
        <v>0</v>
      </c>
    </row>
    <row r="175" spans="1:28" ht="12.75" customHeight="1" x14ac:dyDescent="0.2">
      <c r="A175" s="44" t="s">
        <v>198</v>
      </c>
      <c r="C175" s="44" t="s">
        <v>199</v>
      </c>
      <c r="E175" s="143">
        <f t="shared" si="29"/>
        <v>7700086</v>
      </c>
      <c r="G175" s="44">
        <f>3682978+39722476</f>
        <v>43405454</v>
      </c>
      <c r="I175" s="44">
        <v>0</v>
      </c>
      <c r="K175" s="44">
        <v>51105540</v>
      </c>
      <c r="M175" s="44">
        <f t="shared" si="30"/>
        <v>1123349</v>
      </c>
      <c r="O175" s="44">
        <v>138013</v>
      </c>
      <c r="Q175" s="44">
        <v>1261362</v>
      </c>
      <c r="S175" s="44">
        <v>43370414</v>
      </c>
      <c r="U175" s="44">
        <f>49844178-43370414-5332158</f>
        <v>1141606</v>
      </c>
      <c r="W175" s="44">
        <v>5332158</v>
      </c>
      <c r="Y175" s="44">
        <f t="shared" si="31"/>
        <v>49844178</v>
      </c>
      <c r="AB175" s="44">
        <f t="shared" si="32"/>
        <v>0</v>
      </c>
    </row>
    <row r="176" spans="1:28" ht="12.75" customHeight="1" x14ac:dyDescent="0.2">
      <c r="A176" s="44" t="s">
        <v>200</v>
      </c>
      <c r="C176" s="44" t="s">
        <v>103</v>
      </c>
      <c r="E176" s="143">
        <f t="shared" si="29"/>
        <v>17170505</v>
      </c>
      <c r="G176" s="44">
        <f>12916677+24120645</f>
        <v>37037322</v>
      </c>
      <c r="I176" s="44">
        <v>33599</v>
      </c>
      <c r="K176" s="44">
        <v>54241426</v>
      </c>
      <c r="M176" s="44">
        <f t="shared" si="30"/>
        <v>2142595</v>
      </c>
      <c r="O176" s="44">
        <v>2211849</v>
      </c>
      <c r="Q176" s="44">
        <v>4354444</v>
      </c>
      <c r="S176" s="44">
        <v>34927264</v>
      </c>
      <c r="U176" s="44">
        <f>744234+1793023</f>
        <v>2537257</v>
      </c>
      <c r="W176" s="44">
        <v>12422461</v>
      </c>
      <c r="Y176" s="44">
        <f t="shared" si="31"/>
        <v>49886982</v>
      </c>
      <c r="AB176" s="44">
        <f t="shared" si="32"/>
        <v>0</v>
      </c>
    </row>
    <row r="177" spans="1:29" ht="12.75" customHeight="1" x14ac:dyDescent="0.2">
      <c r="Y177" s="48" t="s">
        <v>484</v>
      </c>
    </row>
    <row r="178" spans="1:29" ht="12.75" customHeight="1" x14ac:dyDescent="0.2">
      <c r="A178" s="44" t="s">
        <v>201</v>
      </c>
      <c r="C178" s="44" t="s">
        <v>92</v>
      </c>
      <c r="E178" s="154">
        <f t="shared" si="29"/>
        <v>16830499</v>
      </c>
      <c r="F178" s="46"/>
      <c r="G178" s="46">
        <f>11463014+24901266</f>
        <v>36364280</v>
      </c>
      <c r="H178" s="46"/>
      <c r="I178" s="46">
        <v>0</v>
      </c>
      <c r="J178" s="46"/>
      <c r="K178" s="46">
        <v>53194779</v>
      </c>
      <c r="L178" s="46"/>
      <c r="M178" s="46">
        <f t="shared" si="30"/>
        <v>5796009</v>
      </c>
      <c r="N178" s="46"/>
      <c r="O178" s="46">
        <v>5918045</v>
      </c>
      <c r="P178" s="46"/>
      <c r="Q178" s="46">
        <v>11714054</v>
      </c>
      <c r="R178" s="46"/>
      <c r="S178" s="46">
        <v>30467866</v>
      </c>
      <c r="T178" s="46"/>
      <c r="U178" s="46">
        <f>41480725-30467866-6952399</f>
        <v>4060460</v>
      </c>
      <c r="V178" s="46"/>
      <c r="W178" s="46">
        <v>6952399</v>
      </c>
      <c r="X178" s="46"/>
      <c r="Y178" s="46">
        <f t="shared" si="31"/>
        <v>41480725</v>
      </c>
      <c r="AB178" s="44">
        <f>+K178-Q178-Y178</f>
        <v>0</v>
      </c>
    </row>
    <row r="179" spans="1:29" ht="12.75" customHeight="1" x14ac:dyDescent="0.2">
      <c r="A179" s="44" t="s">
        <v>202</v>
      </c>
      <c r="C179" s="44" t="s">
        <v>27</v>
      </c>
      <c r="E179" s="143">
        <f t="shared" si="29"/>
        <v>38127164</v>
      </c>
      <c r="G179" s="44">
        <f>8211857+80423942</f>
        <v>88635799</v>
      </c>
      <c r="I179" s="44">
        <v>0</v>
      </c>
      <c r="K179" s="44">
        <v>126762963</v>
      </c>
      <c r="M179" s="44">
        <f t="shared" si="30"/>
        <v>15545414</v>
      </c>
      <c r="O179" s="44">
        <v>25938923</v>
      </c>
      <c r="Q179" s="44">
        <v>41484337</v>
      </c>
      <c r="S179" s="44">
        <v>63503252</v>
      </c>
      <c r="U179" s="44">
        <v>7937324</v>
      </c>
      <c r="W179" s="44">
        <v>13838050</v>
      </c>
      <c r="Y179" s="44">
        <f t="shared" si="31"/>
        <v>85278626</v>
      </c>
      <c r="AB179" s="44">
        <f>+K179-Q179-Y179</f>
        <v>0</v>
      </c>
    </row>
    <row r="180" spans="1:29" ht="12.75" customHeight="1" x14ac:dyDescent="0.2">
      <c r="A180" s="44" t="s">
        <v>203</v>
      </c>
      <c r="C180" s="44" t="s">
        <v>27</v>
      </c>
      <c r="E180" s="143">
        <f t="shared" si="29"/>
        <v>14355830</v>
      </c>
      <c r="G180" s="44">
        <f>3152016+28343663</f>
        <v>31495679</v>
      </c>
      <c r="I180" s="44">
        <v>0</v>
      </c>
      <c r="K180" s="44">
        <v>45851509</v>
      </c>
      <c r="M180" s="44">
        <f t="shared" si="30"/>
        <v>8723527</v>
      </c>
      <c r="O180" s="44">
        <v>5806129</v>
      </c>
      <c r="Q180" s="44">
        <v>14529656</v>
      </c>
      <c r="S180" s="44">
        <v>22225361</v>
      </c>
      <c r="U180" s="44">
        <f>31321853-22225361-4713563</f>
        <v>4382929</v>
      </c>
      <c r="W180" s="44">
        <v>4713563</v>
      </c>
      <c r="Y180" s="44">
        <f t="shared" si="31"/>
        <v>31321853</v>
      </c>
      <c r="AB180" s="44">
        <f t="shared" si="32"/>
        <v>0</v>
      </c>
    </row>
    <row r="181" spans="1:29" ht="12.75" customHeight="1" x14ac:dyDescent="0.2">
      <c r="A181" s="44" t="s">
        <v>204</v>
      </c>
      <c r="C181" s="44" t="s">
        <v>125</v>
      </c>
      <c r="E181" s="143">
        <f t="shared" si="29"/>
        <v>8345760</v>
      </c>
      <c r="G181" s="44">
        <v>12294300</v>
      </c>
      <c r="I181" s="44">
        <v>0</v>
      </c>
      <c r="K181" s="44">
        <v>20640060</v>
      </c>
      <c r="M181" s="44">
        <f t="shared" si="30"/>
        <v>1229725</v>
      </c>
      <c r="O181" s="44">
        <v>1029565</v>
      </c>
      <c r="Q181" s="44">
        <v>2259290</v>
      </c>
      <c r="S181" s="44">
        <v>11192505</v>
      </c>
      <c r="U181" s="44">
        <f>18380770-11192505-2153086</f>
        <v>5035179</v>
      </c>
      <c r="W181" s="44">
        <v>2153086</v>
      </c>
      <c r="Y181" s="44">
        <f t="shared" si="31"/>
        <v>18380770</v>
      </c>
      <c r="AB181" s="44">
        <f t="shared" si="32"/>
        <v>0</v>
      </c>
    </row>
    <row r="182" spans="1:29" ht="12.75" customHeight="1" x14ac:dyDescent="0.2">
      <c r="A182" s="44" t="s">
        <v>205</v>
      </c>
      <c r="C182" s="44" t="s">
        <v>27</v>
      </c>
      <c r="E182" s="143">
        <f t="shared" si="29"/>
        <v>10078953</v>
      </c>
      <c r="G182" s="44">
        <f>1068526+17548147</f>
        <v>18616673</v>
      </c>
      <c r="I182" s="44">
        <v>4648</v>
      </c>
      <c r="K182" s="44">
        <v>28700274</v>
      </c>
      <c r="M182" s="44">
        <f t="shared" si="30"/>
        <v>4769900</v>
      </c>
      <c r="O182" s="44">
        <v>8404901</v>
      </c>
      <c r="Q182" s="44">
        <v>13174801</v>
      </c>
      <c r="S182" s="44">
        <v>10363724</v>
      </c>
      <c r="U182" s="44">
        <f>778932+136810+833392</f>
        <v>1749134</v>
      </c>
      <c r="W182" s="44">
        <v>3412615</v>
      </c>
      <c r="Y182" s="44">
        <f t="shared" si="31"/>
        <v>15525473</v>
      </c>
      <c r="AB182" s="44">
        <f>+K182-Q182-Y182</f>
        <v>0</v>
      </c>
    </row>
    <row r="183" spans="1:29" ht="12.75" customHeight="1" x14ac:dyDescent="0.2">
      <c r="A183" s="44" t="s">
        <v>206</v>
      </c>
      <c r="C183" s="44" t="s">
        <v>47</v>
      </c>
      <c r="E183" s="143">
        <f t="shared" si="29"/>
        <v>16640952</v>
      </c>
      <c r="G183" s="44">
        <f>13154001+71602059</f>
        <v>84756060</v>
      </c>
      <c r="I183" s="44">
        <v>0</v>
      </c>
      <c r="K183" s="44">
        <v>101397012</v>
      </c>
      <c r="M183" s="44">
        <f t="shared" si="30"/>
        <v>6309406</v>
      </c>
      <c r="O183" s="44">
        <v>825104</v>
      </c>
      <c r="Q183" s="44">
        <v>7134510</v>
      </c>
      <c r="S183" s="44">
        <v>83356060</v>
      </c>
      <c r="U183" s="44">
        <f>16310+3619047</f>
        <v>3635357</v>
      </c>
      <c r="W183" s="44">
        <v>7271085</v>
      </c>
      <c r="Y183" s="44">
        <f t="shared" si="31"/>
        <v>94262502</v>
      </c>
      <c r="AB183" s="44">
        <f t="shared" si="32"/>
        <v>0</v>
      </c>
    </row>
    <row r="184" spans="1:29" ht="12.75" customHeight="1" x14ac:dyDescent="0.2">
      <c r="A184" s="44" t="s">
        <v>207</v>
      </c>
      <c r="C184" s="44" t="s">
        <v>102</v>
      </c>
      <c r="E184" s="143">
        <f t="shared" si="29"/>
        <v>11564164</v>
      </c>
      <c r="G184" s="44">
        <f>6406367+50451424</f>
        <v>56857791</v>
      </c>
      <c r="I184" s="44">
        <v>16903</v>
      </c>
      <c r="K184" s="44">
        <v>68438858</v>
      </c>
      <c r="M184" s="44">
        <f t="shared" si="30"/>
        <v>6349175</v>
      </c>
      <c r="O184" s="44">
        <v>11280464</v>
      </c>
      <c r="Q184" s="44">
        <v>17629639</v>
      </c>
      <c r="S184" s="44">
        <v>42835157</v>
      </c>
      <c r="U184" s="44">
        <f>50809219-42835157-4103182</f>
        <v>3870880</v>
      </c>
      <c r="W184" s="44">
        <v>4103182</v>
      </c>
      <c r="Y184" s="44">
        <f t="shared" si="31"/>
        <v>50809219</v>
      </c>
      <c r="AB184" s="44">
        <f t="shared" si="32"/>
        <v>0</v>
      </c>
    </row>
    <row r="185" spans="1:29" ht="12.75" customHeight="1" x14ac:dyDescent="0.2">
      <c r="A185" s="44" t="s">
        <v>208</v>
      </c>
      <c r="C185" s="44" t="s">
        <v>209</v>
      </c>
      <c r="E185" s="143">
        <f t="shared" si="29"/>
        <v>32670644</v>
      </c>
      <c r="G185" s="44">
        <f>7213175+35732878</f>
        <v>42946053</v>
      </c>
      <c r="I185" s="44">
        <v>0</v>
      </c>
      <c r="K185" s="44">
        <v>75616697</v>
      </c>
      <c r="M185" s="44">
        <f t="shared" si="30"/>
        <v>3086505</v>
      </c>
      <c r="O185" s="44">
        <v>2788812</v>
      </c>
      <c r="Q185" s="44">
        <v>5875317</v>
      </c>
      <c r="S185" s="44">
        <v>41507824</v>
      </c>
      <c r="U185" s="44">
        <f>12457+369253</f>
        <v>381710</v>
      </c>
      <c r="W185" s="44">
        <v>27851846</v>
      </c>
      <c r="Y185" s="44">
        <f t="shared" si="31"/>
        <v>69741380</v>
      </c>
      <c r="AB185" s="44">
        <f t="shared" si="32"/>
        <v>0</v>
      </c>
    </row>
    <row r="186" spans="1:29" ht="12.75" customHeight="1" x14ac:dyDescent="0.2">
      <c r="A186" s="44" t="s">
        <v>210</v>
      </c>
      <c r="C186" s="44" t="s">
        <v>211</v>
      </c>
      <c r="E186" s="143">
        <f t="shared" si="29"/>
        <v>5058476</v>
      </c>
      <c r="G186" s="44">
        <f>2414869+6400279</f>
        <v>8815148</v>
      </c>
      <c r="I186" s="44">
        <v>0</v>
      </c>
      <c r="K186" s="44">
        <v>13873624</v>
      </c>
      <c r="M186" s="44">
        <f t="shared" si="30"/>
        <v>1187428</v>
      </c>
      <c r="O186" s="44">
        <v>295554</v>
      </c>
      <c r="Q186" s="44">
        <v>1482982</v>
      </c>
      <c r="S186" s="44">
        <v>8546353</v>
      </c>
      <c r="U186" s="44">
        <f>126276+226548+412777+861474+443257</f>
        <v>2070332</v>
      </c>
      <c r="W186" s="44">
        <v>1773957</v>
      </c>
      <c r="Y186" s="44">
        <f t="shared" si="31"/>
        <v>12390642</v>
      </c>
      <c r="AB186" s="44">
        <f>+K186-Q186-Y186</f>
        <v>0</v>
      </c>
    </row>
    <row r="187" spans="1:29" ht="12.75" customHeight="1" x14ac:dyDescent="0.2">
      <c r="A187" s="44" t="s">
        <v>212</v>
      </c>
      <c r="C187" s="44" t="s">
        <v>213</v>
      </c>
      <c r="E187" s="143">
        <f t="shared" si="29"/>
        <v>9415005</v>
      </c>
      <c r="G187" s="44">
        <f>1826884+14718655</f>
        <v>16545539</v>
      </c>
      <c r="I187" s="44">
        <v>0</v>
      </c>
      <c r="K187" s="44">
        <v>25960544</v>
      </c>
      <c r="M187" s="44">
        <f t="shared" si="30"/>
        <v>2927880</v>
      </c>
      <c r="O187" s="44">
        <v>2535062</v>
      </c>
      <c r="Q187" s="44">
        <v>5462942</v>
      </c>
      <c r="S187" s="44">
        <v>16236319</v>
      </c>
      <c r="U187" s="44">
        <f>20497602-16236319+2428533</f>
        <v>6689816</v>
      </c>
      <c r="W187" s="44">
        <v>-2428533</v>
      </c>
      <c r="Y187" s="44">
        <f t="shared" si="31"/>
        <v>20497602</v>
      </c>
      <c r="AB187" s="44">
        <f t="shared" si="32"/>
        <v>0</v>
      </c>
    </row>
    <row r="188" spans="1:29" ht="12.75" hidden="1" customHeight="1" x14ac:dyDescent="0.2">
      <c r="A188" s="44" t="s">
        <v>214</v>
      </c>
      <c r="C188" s="44" t="s">
        <v>86</v>
      </c>
      <c r="E188" s="143">
        <f t="shared" si="29"/>
        <v>12375896</v>
      </c>
      <c r="G188" s="44">
        <f>4023159+197698+36447772</f>
        <v>40668629</v>
      </c>
      <c r="I188" s="44">
        <v>287154</v>
      </c>
      <c r="K188" s="44">
        <v>53331679</v>
      </c>
      <c r="M188" s="44">
        <f t="shared" si="30"/>
        <v>3929177</v>
      </c>
      <c r="O188" s="44">
        <f>192426+19699912</f>
        <v>19892338</v>
      </c>
      <c r="Q188" s="44">
        <v>23821515</v>
      </c>
      <c r="S188" s="44">
        <v>25969322</v>
      </c>
      <c r="U188" s="44">
        <f>1073737+915220+173816+99756</f>
        <v>2262529</v>
      </c>
      <c r="W188" s="44">
        <v>1278313</v>
      </c>
      <c r="Y188" s="44">
        <f t="shared" si="31"/>
        <v>29510164</v>
      </c>
      <c r="AB188" s="44">
        <f t="shared" si="32"/>
        <v>0</v>
      </c>
      <c r="AC188" s="44" t="s">
        <v>517</v>
      </c>
    </row>
    <row r="189" spans="1:29" ht="12.75" customHeight="1" x14ac:dyDescent="0.2">
      <c r="A189" s="44" t="s">
        <v>215</v>
      </c>
      <c r="C189" s="44" t="s">
        <v>22</v>
      </c>
      <c r="E189" s="143">
        <f t="shared" si="29"/>
        <v>16423609</v>
      </c>
      <c r="G189" s="44">
        <f>1507466+37216267</f>
        <v>38723733</v>
      </c>
      <c r="I189" s="44">
        <v>0</v>
      </c>
      <c r="K189" s="44">
        <v>55147342</v>
      </c>
      <c r="M189" s="44">
        <f t="shared" si="30"/>
        <v>1941553</v>
      </c>
      <c r="O189" s="44">
        <v>6082028</v>
      </c>
      <c r="Q189" s="44">
        <v>8023581</v>
      </c>
      <c r="S189" s="44">
        <v>37315186</v>
      </c>
      <c r="U189" s="44">
        <f>111453+8656360</f>
        <v>8767813</v>
      </c>
      <c r="W189" s="44">
        <v>1040762</v>
      </c>
      <c r="Y189" s="44">
        <f t="shared" si="31"/>
        <v>47123761</v>
      </c>
      <c r="AB189" s="44">
        <f t="shared" si="32"/>
        <v>0</v>
      </c>
    </row>
    <row r="190" spans="1:29" ht="12.75" customHeight="1" x14ac:dyDescent="0.2">
      <c r="A190" s="44" t="s">
        <v>216</v>
      </c>
      <c r="C190" s="44" t="s">
        <v>45</v>
      </c>
      <c r="E190" s="143">
        <f t="shared" si="29"/>
        <v>6389191</v>
      </c>
      <c r="G190" s="44">
        <f>1426409+4952405</f>
        <v>6378814</v>
      </c>
      <c r="I190" s="44">
        <v>0</v>
      </c>
      <c r="K190" s="44">
        <v>12768005</v>
      </c>
      <c r="M190" s="44">
        <f t="shared" si="30"/>
        <v>2676770</v>
      </c>
      <c r="O190" s="44">
        <v>2913527</v>
      </c>
      <c r="Q190" s="44">
        <v>5590297</v>
      </c>
      <c r="S190" s="44">
        <v>3291355</v>
      </c>
      <c r="U190" s="44">
        <f>7177708-3291355-1075266</f>
        <v>2811087</v>
      </c>
      <c r="W190" s="44">
        <v>1075266</v>
      </c>
      <c r="Y190" s="44">
        <f t="shared" si="31"/>
        <v>7177708</v>
      </c>
      <c r="AB190" s="44">
        <f t="shared" si="32"/>
        <v>0</v>
      </c>
    </row>
    <row r="191" spans="1:29" ht="12.75" customHeight="1" x14ac:dyDescent="0.2">
      <c r="A191" s="44" t="s">
        <v>217</v>
      </c>
      <c r="C191" s="44" t="s">
        <v>43</v>
      </c>
      <c r="E191" s="143">
        <f t="shared" si="29"/>
        <v>21880041</v>
      </c>
      <c r="G191" s="44">
        <f>19582612+37926023</f>
        <v>57508635</v>
      </c>
      <c r="I191" s="44">
        <v>239877</v>
      </c>
      <c r="K191" s="44">
        <v>79628553</v>
      </c>
      <c r="M191" s="44">
        <f t="shared" si="30"/>
        <v>5619656</v>
      </c>
      <c r="O191" s="44">
        <v>22278454</v>
      </c>
      <c r="Q191" s="44">
        <v>27898110</v>
      </c>
      <c r="S191" s="44">
        <v>33932566</v>
      </c>
      <c r="U191" s="44">
        <f>51730443-33932566-10907844</f>
        <v>6890033</v>
      </c>
      <c r="W191" s="44">
        <v>10907844</v>
      </c>
      <c r="Y191" s="44">
        <f t="shared" si="31"/>
        <v>51730443</v>
      </c>
      <c r="AB191" s="44">
        <f>+K191-Q191-Y191</f>
        <v>0</v>
      </c>
    </row>
    <row r="192" spans="1:29" ht="12.75" customHeight="1" x14ac:dyDescent="0.2">
      <c r="A192" s="44" t="s">
        <v>218</v>
      </c>
      <c r="C192" s="44" t="s">
        <v>27</v>
      </c>
      <c r="E192" s="143">
        <f t="shared" si="29"/>
        <v>12088633</v>
      </c>
      <c r="G192" s="44">
        <f>1635588+22152148</f>
        <v>23787736</v>
      </c>
      <c r="I192" s="44">
        <v>123273</v>
      </c>
      <c r="K192" s="44">
        <v>35999642</v>
      </c>
      <c r="M192" s="44">
        <f t="shared" si="30"/>
        <v>6699537</v>
      </c>
      <c r="O192" s="44">
        <v>16777759</v>
      </c>
      <c r="Q192" s="44">
        <v>23477296</v>
      </c>
      <c r="S192" s="44">
        <v>6447541</v>
      </c>
      <c r="U192" s="44">
        <f>500729+5644981+968545</f>
        <v>7114255</v>
      </c>
      <c r="W192" s="44">
        <v>-1039450</v>
      </c>
      <c r="Y192" s="44">
        <f t="shared" si="31"/>
        <v>12522346</v>
      </c>
      <c r="AB192" s="44">
        <f>+K192-Q192-Y192</f>
        <v>0</v>
      </c>
    </row>
    <row r="193" spans="1:29" ht="12.75" customHeight="1" x14ac:dyDescent="0.2">
      <c r="A193" s="44" t="s">
        <v>219</v>
      </c>
      <c r="C193" s="44" t="s">
        <v>199</v>
      </c>
      <c r="E193" s="143">
        <f t="shared" si="29"/>
        <v>3644665</v>
      </c>
      <c r="G193" s="44">
        <f>176486+5430270</f>
        <v>5606756</v>
      </c>
      <c r="I193" s="44">
        <v>13449</v>
      </c>
      <c r="K193" s="44">
        <v>9264870</v>
      </c>
      <c r="M193" s="44">
        <f t="shared" si="30"/>
        <v>1046162</v>
      </c>
      <c r="O193" s="44">
        <v>944685</v>
      </c>
      <c r="Q193" s="44">
        <v>1990847</v>
      </c>
      <c r="S193" s="44">
        <v>4631034</v>
      </c>
      <c r="U193" s="44">
        <f>71554+558872+302452+736734</f>
        <v>1669612</v>
      </c>
      <c r="W193" s="44">
        <v>973377</v>
      </c>
      <c r="Y193" s="44">
        <f t="shared" si="31"/>
        <v>7274023</v>
      </c>
      <c r="AB193" s="44">
        <f t="shared" si="32"/>
        <v>0</v>
      </c>
    </row>
    <row r="194" spans="1:29" ht="12.75" customHeight="1" x14ac:dyDescent="0.2">
      <c r="A194" s="44" t="s">
        <v>220</v>
      </c>
      <c r="C194" s="44" t="s">
        <v>66</v>
      </c>
      <c r="E194" s="143">
        <f t="shared" si="29"/>
        <v>15370408</v>
      </c>
      <c r="G194" s="44">
        <f>2769404+7014756</f>
        <v>9784160</v>
      </c>
      <c r="I194" s="44">
        <v>0</v>
      </c>
      <c r="K194" s="44">
        <v>25154568</v>
      </c>
      <c r="M194" s="44">
        <f t="shared" si="30"/>
        <v>3274687</v>
      </c>
      <c r="O194" s="44">
        <v>1760298</v>
      </c>
      <c r="Q194" s="44">
        <v>5034985</v>
      </c>
      <c r="S194" s="44">
        <v>7672944</v>
      </c>
      <c r="U194" s="44">
        <f>119944+1478331+1132969+224823</f>
        <v>2956067</v>
      </c>
      <c r="W194" s="44">
        <v>9490572</v>
      </c>
      <c r="Y194" s="44">
        <f t="shared" si="31"/>
        <v>20119583</v>
      </c>
      <c r="AB194" s="44">
        <f>+K194-Q194-Y194</f>
        <v>0</v>
      </c>
    </row>
    <row r="195" spans="1:29" ht="12.75" customHeight="1" x14ac:dyDescent="0.2">
      <c r="A195" s="44" t="s">
        <v>221</v>
      </c>
      <c r="C195" s="44" t="s">
        <v>27</v>
      </c>
      <c r="E195" s="143">
        <f t="shared" si="29"/>
        <v>47486233</v>
      </c>
      <c r="G195" s="44">
        <f>1943224+21042578</f>
        <v>22985802</v>
      </c>
      <c r="I195" s="44">
        <v>101113</v>
      </c>
      <c r="K195" s="44">
        <v>70573148</v>
      </c>
      <c r="M195" s="44">
        <f t="shared" si="30"/>
        <v>10474981</v>
      </c>
      <c r="O195" s="44">
        <v>21042578</v>
      </c>
      <c r="Q195" s="44">
        <v>31517559</v>
      </c>
      <c r="S195" s="44">
        <v>30680267</v>
      </c>
      <c r="U195" s="44">
        <f>5136504+735700+353444+71622+413966+556500</f>
        <v>7267736</v>
      </c>
      <c r="W195" s="44">
        <v>1107586</v>
      </c>
      <c r="Y195" s="44">
        <f t="shared" si="31"/>
        <v>39055589</v>
      </c>
      <c r="AB195" s="44">
        <f>+K195-Q195-Y195</f>
        <v>0</v>
      </c>
    </row>
    <row r="196" spans="1:29" ht="12.75" customHeight="1" x14ac:dyDescent="0.2">
      <c r="A196" s="44" t="s">
        <v>222</v>
      </c>
      <c r="C196" s="44" t="s">
        <v>47</v>
      </c>
      <c r="E196" s="143">
        <f t="shared" si="29"/>
        <v>12065659</v>
      </c>
      <c r="G196" s="44">
        <f>451937+4358478</f>
        <v>4810415</v>
      </c>
      <c r="I196" s="44">
        <v>0</v>
      </c>
      <c r="K196" s="44">
        <v>16876074</v>
      </c>
      <c r="M196" s="44">
        <f t="shared" si="30"/>
        <v>3598704</v>
      </c>
      <c r="O196" s="44">
        <v>3131189</v>
      </c>
      <c r="Q196" s="44">
        <v>6729893</v>
      </c>
      <c r="S196" s="44">
        <v>1105415</v>
      </c>
      <c r="U196" s="44">
        <f>10146181-1105415-4642103</f>
        <v>4398663</v>
      </c>
      <c r="W196" s="44">
        <v>4642103</v>
      </c>
      <c r="Y196" s="44">
        <f t="shared" si="31"/>
        <v>10146181</v>
      </c>
      <c r="AB196" s="44">
        <f t="shared" si="32"/>
        <v>0</v>
      </c>
    </row>
    <row r="197" spans="1:29" ht="12.75" customHeight="1" x14ac:dyDescent="0.2">
      <c r="A197" s="44" t="s">
        <v>223</v>
      </c>
      <c r="C197" s="44" t="s">
        <v>94</v>
      </c>
      <c r="E197" s="143">
        <f t="shared" si="29"/>
        <v>5799665</v>
      </c>
      <c r="G197" s="44">
        <f>4586123+12978414</f>
        <v>17564537</v>
      </c>
      <c r="I197" s="44">
        <v>0</v>
      </c>
      <c r="K197" s="44">
        <v>23364202</v>
      </c>
      <c r="M197" s="44">
        <f t="shared" si="30"/>
        <v>2928727</v>
      </c>
      <c r="O197" s="44">
        <v>3384970</v>
      </c>
      <c r="Q197" s="44">
        <v>6313697</v>
      </c>
      <c r="S197" s="44">
        <v>13213209</v>
      </c>
      <c r="U197" s="44">
        <f>17050505-13213209-1891524</f>
        <v>1945772</v>
      </c>
      <c r="W197" s="44">
        <v>1891524</v>
      </c>
      <c r="Y197" s="44">
        <f t="shared" si="31"/>
        <v>17050505</v>
      </c>
      <c r="AB197" s="44">
        <f t="shared" si="32"/>
        <v>0</v>
      </c>
    </row>
    <row r="198" spans="1:29" ht="12.75" customHeight="1" x14ac:dyDescent="0.2">
      <c r="A198" s="44" t="s">
        <v>76</v>
      </c>
      <c r="B198" s="44"/>
      <c r="C198" s="44" t="s">
        <v>132</v>
      </c>
      <c r="D198" s="44"/>
      <c r="E198" s="143">
        <f t="shared" si="29"/>
        <v>26019410</v>
      </c>
      <c r="G198" s="44">
        <f>11035628+40136937</f>
        <v>51172565</v>
      </c>
      <c r="I198" s="44">
        <v>379191</v>
      </c>
      <c r="K198" s="44">
        <v>77571166</v>
      </c>
      <c r="M198" s="44">
        <f t="shared" si="30"/>
        <v>12750911</v>
      </c>
      <c r="O198" s="44">
        <v>19281003</v>
      </c>
      <c r="Q198" s="44">
        <v>32031914</v>
      </c>
      <c r="S198" s="44">
        <v>35639758</v>
      </c>
      <c r="U198" s="44">
        <f>45539252-35639758+1573210</f>
        <v>11472704</v>
      </c>
      <c r="W198" s="44">
        <v>-1573210</v>
      </c>
      <c r="Y198" s="44">
        <f t="shared" si="31"/>
        <v>45539252</v>
      </c>
      <c r="AB198" s="44">
        <f t="shared" si="32"/>
        <v>0</v>
      </c>
    </row>
    <row r="199" spans="1:29" ht="12.75" customHeight="1" x14ac:dyDescent="0.2">
      <c r="A199" s="44" t="s">
        <v>224</v>
      </c>
      <c r="C199" s="44" t="s">
        <v>27</v>
      </c>
      <c r="E199" s="143">
        <f t="shared" ref="E199" si="33">+K199-G199-I199</f>
        <v>13125433</v>
      </c>
      <c r="G199" s="44">
        <f>2541935+19172919</f>
        <v>21714854</v>
      </c>
      <c r="I199" s="44">
        <v>358384</v>
      </c>
      <c r="K199" s="44">
        <v>35198671</v>
      </c>
      <c r="M199" s="44">
        <f t="shared" ref="M199" si="34">+Q199-O199</f>
        <v>6440511</v>
      </c>
      <c r="O199" s="44">
        <v>15548045</v>
      </c>
      <c r="Q199" s="44">
        <v>21988556</v>
      </c>
      <c r="S199" s="44">
        <v>5091008</v>
      </c>
      <c r="U199" s="44">
        <f>715012+3042096+1650777</f>
        <v>5407885</v>
      </c>
      <c r="W199" s="44">
        <v>2711222</v>
      </c>
      <c r="Y199" s="44">
        <f t="shared" ref="Y199" si="35">S199+U199+W199</f>
        <v>13210115</v>
      </c>
      <c r="AB199" s="44">
        <f t="shared" si="32"/>
        <v>0</v>
      </c>
    </row>
    <row r="200" spans="1:29" ht="12.75" customHeight="1" x14ac:dyDescent="0.2">
      <c r="A200" s="44" t="s">
        <v>225</v>
      </c>
      <c r="B200" s="44"/>
      <c r="C200" s="44" t="s">
        <v>27</v>
      </c>
      <c r="D200" s="44"/>
      <c r="E200" s="143">
        <f>+K200-G200-I200</f>
        <v>61285565</v>
      </c>
      <c r="G200" s="44">
        <f>21756497+64265968</f>
        <v>86022465</v>
      </c>
      <c r="I200" s="44">
        <v>98050</v>
      </c>
      <c r="K200" s="44">
        <v>147406080</v>
      </c>
      <c r="M200" s="44">
        <f t="shared" ref="M200" si="36">+Q200-O200</f>
        <v>12624669</v>
      </c>
      <c r="O200" s="44">
        <v>29536229</v>
      </c>
      <c r="Q200" s="44">
        <v>42160898</v>
      </c>
      <c r="S200" s="44">
        <v>63654963</v>
      </c>
      <c r="U200" s="44">
        <f>105245182-63654963-24708622</f>
        <v>16881597</v>
      </c>
      <c r="W200" s="44">
        <v>24708622</v>
      </c>
      <c r="Y200" s="44">
        <f>S200+U200+W200</f>
        <v>105245182</v>
      </c>
      <c r="AB200" s="44">
        <f>+K200-Q200-Y200</f>
        <v>0</v>
      </c>
    </row>
    <row r="201" spans="1:29" ht="12.75" customHeight="1" x14ac:dyDescent="0.2">
      <c r="A201" s="44" t="s">
        <v>226</v>
      </c>
      <c r="C201" s="44" t="s">
        <v>45</v>
      </c>
      <c r="E201" s="143">
        <f t="shared" ref="E201:E262" si="37">+K201-G201-I201</f>
        <v>21490986</v>
      </c>
      <c r="G201" s="44">
        <f>9745672+25847586</f>
        <v>35593258</v>
      </c>
      <c r="I201" s="44">
        <v>147002</v>
      </c>
      <c r="K201" s="44">
        <v>57231246</v>
      </c>
      <c r="M201" s="44">
        <f t="shared" ref="M201:M262" si="38">+Q201-O201</f>
        <v>7719624</v>
      </c>
      <c r="O201" s="44">
        <v>12019110</v>
      </c>
      <c r="Q201" s="44">
        <v>19738734</v>
      </c>
      <c r="S201" s="44">
        <v>20570792</v>
      </c>
      <c r="U201" s="44">
        <f>37492512-20570792-6124529</f>
        <v>10797191</v>
      </c>
      <c r="W201" s="44">
        <v>6124529</v>
      </c>
      <c r="Y201" s="44">
        <f t="shared" ref="Y201:Y262" si="39">S201+U201+W201</f>
        <v>37492512</v>
      </c>
      <c r="AB201" s="44">
        <f t="shared" si="32"/>
        <v>0</v>
      </c>
    </row>
    <row r="202" spans="1:29" s="46" customFormat="1" ht="12.75" customHeight="1" x14ac:dyDescent="0.2">
      <c r="A202" s="46" t="s">
        <v>227</v>
      </c>
      <c r="C202" s="46" t="s">
        <v>17</v>
      </c>
      <c r="E202" s="143">
        <f t="shared" si="37"/>
        <v>8535492</v>
      </c>
      <c r="F202" s="44"/>
      <c r="G202" s="44">
        <f>484539+13802068</f>
        <v>14286607</v>
      </c>
      <c r="H202" s="44"/>
      <c r="I202" s="44">
        <v>0</v>
      </c>
      <c r="J202" s="44"/>
      <c r="K202" s="44">
        <v>22822099</v>
      </c>
      <c r="L202" s="44"/>
      <c r="M202" s="44">
        <f t="shared" si="38"/>
        <v>5550037</v>
      </c>
      <c r="N202" s="44"/>
      <c r="O202" s="44">
        <v>2419866</v>
      </c>
      <c r="P202" s="44"/>
      <c r="Q202" s="44">
        <v>7969903</v>
      </c>
      <c r="R202" s="44"/>
      <c r="S202" s="44">
        <v>11768986</v>
      </c>
      <c r="T202" s="44"/>
      <c r="U202" s="44">
        <f>14852196-11768986-1055993</f>
        <v>2027217</v>
      </c>
      <c r="V202" s="44"/>
      <c r="W202" s="44">
        <v>1055993</v>
      </c>
      <c r="X202" s="44"/>
      <c r="Y202" s="44">
        <f t="shared" si="39"/>
        <v>14852196</v>
      </c>
      <c r="Z202" s="44"/>
      <c r="AA202" s="44"/>
      <c r="AB202" s="44">
        <f t="shared" si="32"/>
        <v>0</v>
      </c>
    </row>
    <row r="203" spans="1:29" ht="12.75" customHeight="1" x14ac:dyDescent="0.2">
      <c r="A203" s="44" t="s">
        <v>228</v>
      </c>
      <c r="C203" s="44" t="s">
        <v>153</v>
      </c>
      <c r="E203" s="143">
        <f t="shared" si="37"/>
        <v>13189995</v>
      </c>
      <c r="G203" s="44">
        <f>476212+16421961</f>
        <v>16898173</v>
      </c>
      <c r="I203" s="44">
        <v>227933</v>
      </c>
      <c r="K203" s="44">
        <v>30316101</v>
      </c>
      <c r="M203" s="44">
        <f t="shared" si="38"/>
        <v>1681104</v>
      </c>
      <c r="O203" s="44">
        <v>7141914</v>
      </c>
      <c r="Q203" s="44">
        <v>8823018</v>
      </c>
      <c r="S203" s="44">
        <v>15865840</v>
      </c>
      <c r="U203" s="44">
        <f>21493083-15865840-1640637</f>
        <v>3986606</v>
      </c>
      <c r="W203" s="44">
        <v>1640637</v>
      </c>
      <c r="Y203" s="44">
        <f t="shared" si="39"/>
        <v>21493083</v>
      </c>
      <c r="AB203" s="44">
        <f t="shared" si="32"/>
        <v>0</v>
      </c>
    </row>
    <row r="204" spans="1:29" ht="12.75" customHeight="1" x14ac:dyDescent="0.2">
      <c r="A204" s="44" t="s">
        <v>229</v>
      </c>
      <c r="C204" s="44" t="s">
        <v>228</v>
      </c>
      <c r="E204" s="143">
        <f t="shared" si="37"/>
        <v>16687340</v>
      </c>
      <c r="G204" s="44">
        <f>7632261+2562418+44279962</f>
        <v>54474641</v>
      </c>
      <c r="I204" s="44">
        <v>94417</v>
      </c>
      <c r="K204" s="44">
        <v>71256398</v>
      </c>
      <c r="M204" s="44">
        <f t="shared" si="38"/>
        <v>4803934</v>
      </c>
      <c r="O204" s="44">
        <v>8763336</v>
      </c>
      <c r="Q204" s="44">
        <v>13567270</v>
      </c>
      <c r="S204" s="44">
        <v>46467761</v>
      </c>
      <c r="U204" s="44">
        <f>57689128-46467761-8261653</f>
        <v>2959714</v>
      </c>
      <c r="W204" s="44">
        <v>8261653</v>
      </c>
      <c r="Y204" s="44">
        <f t="shared" si="39"/>
        <v>57689128</v>
      </c>
      <c r="AB204" s="44">
        <f t="shared" si="32"/>
        <v>0</v>
      </c>
    </row>
    <row r="205" spans="1:29" s="121" customFormat="1" ht="12.75" hidden="1" customHeight="1" x14ac:dyDescent="0.2">
      <c r="A205" s="121" t="s">
        <v>230</v>
      </c>
      <c r="B205" s="122"/>
      <c r="C205" s="121" t="s">
        <v>45</v>
      </c>
      <c r="D205" s="122"/>
      <c r="E205" s="149">
        <f t="shared" si="37"/>
        <v>0</v>
      </c>
      <c r="M205" s="121">
        <f t="shared" si="38"/>
        <v>0</v>
      </c>
      <c r="Y205" s="121">
        <f t="shared" si="39"/>
        <v>0</v>
      </c>
      <c r="AB205" s="121">
        <f t="shared" si="32"/>
        <v>0</v>
      </c>
      <c r="AC205" s="121" t="s">
        <v>509</v>
      </c>
    </row>
    <row r="206" spans="1:29" ht="12.75" customHeight="1" x14ac:dyDescent="0.2">
      <c r="A206" s="44" t="s">
        <v>231</v>
      </c>
      <c r="C206" s="44" t="s">
        <v>27</v>
      </c>
      <c r="E206" s="143">
        <f t="shared" si="37"/>
        <v>51328128</v>
      </c>
      <c r="G206" s="44">
        <f>15201305+106470957</f>
        <v>121672262</v>
      </c>
      <c r="I206" s="44">
        <v>0</v>
      </c>
      <c r="K206" s="44">
        <v>173000390</v>
      </c>
      <c r="M206" s="44">
        <f t="shared" si="38"/>
        <v>11292712</v>
      </c>
      <c r="O206" s="44">
        <v>15355462</v>
      </c>
      <c r="Q206" s="44">
        <v>26648174</v>
      </c>
      <c r="S206" s="44">
        <v>116112789</v>
      </c>
      <c r="U206" s="44">
        <f>146352216-116112789-13281133</f>
        <v>16958294</v>
      </c>
      <c r="W206" s="44">
        <v>13281133</v>
      </c>
      <c r="Y206" s="44">
        <f t="shared" si="39"/>
        <v>146352216</v>
      </c>
      <c r="AB206" s="44">
        <f t="shared" si="32"/>
        <v>0</v>
      </c>
    </row>
    <row r="207" spans="1:29" ht="12.75" customHeight="1" x14ac:dyDescent="0.2">
      <c r="A207" s="44" t="s">
        <v>232</v>
      </c>
      <c r="C207" s="44" t="s">
        <v>27</v>
      </c>
      <c r="E207" s="143">
        <f t="shared" si="37"/>
        <v>28761602</v>
      </c>
      <c r="G207" s="44">
        <f>919007+46340127</f>
        <v>47259134</v>
      </c>
      <c r="I207" s="44">
        <v>190127</v>
      </c>
      <c r="K207" s="44">
        <v>76210863</v>
      </c>
      <c r="M207" s="44">
        <f t="shared" si="38"/>
        <v>26281907</v>
      </c>
      <c r="O207" s="44">
        <v>10437036</v>
      </c>
      <c r="Q207" s="44">
        <v>36718943</v>
      </c>
      <c r="S207" s="44">
        <v>36879246</v>
      </c>
      <c r="U207" s="44">
        <f>39491920+8367742-36879246</f>
        <v>10980416</v>
      </c>
      <c r="W207" s="44">
        <v>-8367742</v>
      </c>
      <c r="Y207" s="44">
        <f t="shared" si="39"/>
        <v>39491920</v>
      </c>
      <c r="AB207" s="44">
        <f t="shared" si="32"/>
        <v>0</v>
      </c>
    </row>
    <row r="208" spans="1:29" ht="12.75" customHeight="1" x14ac:dyDescent="0.2">
      <c r="A208" s="44" t="s">
        <v>233</v>
      </c>
      <c r="C208" s="44" t="s">
        <v>111</v>
      </c>
      <c r="E208" s="143">
        <f t="shared" si="37"/>
        <v>25106032</v>
      </c>
      <c r="G208" s="44">
        <f>17008104+31485729</f>
        <v>48493833</v>
      </c>
      <c r="I208" s="44">
        <v>153333</v>
      </c>
      <c r="K208" s="44">
        <v>73753198</v>
      </c>
      <c r="M208" s="44">
        <f t="shared" si="38"/>
        <v>6034982</v>
      </c>
      <c r="O208" s="44">
        <v>13312200</v>
      </c>
      <c r="Q208" s="44">
        <v>19347182</v>
      </c>
      <c r="S208" s="44">
        <v>36427139</v>
      </c>
      <c r="U208" s="44">
        <f>54406016-36427139-7770677</f>
        <v>10208200</v>
      </c>
      <c r="W208" s="44">
        <v>7770677</v>
      </c>
      <c r="Y208" s="44">
        <f t="shared" si="39"/>
        <v>54406016</v>
      </c>
      <c r="AB208" s="44">
        <f t="shared" si="32"/>
        <v>0</v>
      </c>
    </row>
    <row r="209" spans="1:29" ht="12.75" customHeight="1" x14ac:dyDescent="0.2">
      <c r="A209" s="44" t="s">
        <v>234</v>
      </c>
      <c r="C209" s="44" t="s">
        <v>45</v>
      </c>
      <c r="E209" s="143">
        <f t="shared" si="37"/>
        <v>13233288</v>
      </c>
      <c r="G209" s="44">
        <f>3236380+40727620</f>
        <v>43964000</v>
      </c>
      <c r="I209" s="44">
        <v>105802</v>
      </c>
      <c r="K209" s="44">
        <v>57303090</v>
      </c>
      <c r="M209" s="44">
        <f t="shared" si="38"/>
        <v>3836637</v>
      </c>
      <c r="O209" s="44">
        <v>4930961</v>
      </c>
      <c r="Q209" s="44">
        <v>8767598</v>
      </c>
      <c r="S209" s="44">
        <v>39179124</v>
      </c>
      <c r="U209" s="44">
        <f>957961+577658+173051</f>
        <v>1708670</v>
      </c>
      <c r="W209" s="44">
        <v>7647698</v>
      </c>
      <c r="Y209" s="44">
        <f t="shared" si="39"/>
        <v>48535492</v>
      </c>
      <c r="AB209" s="44">
        <f t="shared" si="32"/>
        <v>0</v>
      </c>
    </row>
    <row r="210" spans="1:29" ht="12.75" customHeight="1" x14ac:dyDescent="0.2">
      <c r="A210" s="44" t="s">
        <v>235</v>
      </c>
      <c r="C210" s="44" t="s">
        <v>183</v>
      </c>
      <c r="E210" s="143">
        <f t="shared" si="37"/>
        <v>54222720</v>
      </c>
      <c r="G210" s="44">
        <f>10663421+4572618+60723159</f>
        <v>75959198</v>
      </c>
      <c r="I210" s="44">
        <v>0</v>
      </c>
      <c r="K210" s="44">
        <v>130181918</v>
      </c>
      <c r="M210" s="44">
        <f t="shared" si="38"/>
        <v>10735597</v>
      </c>
      <c r="O210" s="44">
        <v>17658757</v>
      </c>
      <c r="Q210" s="44">
        <v>28394354</v>
      </c>
      <c r="S210" s="44">
        <v>67181507</v>
      </c>
      <c r="U210" s="44">
        <f>16121344+4594381+4725302+386953</f>
        <v>25827980</v>
      </c>
      <c r="W210" s="44">
        <v>8778077</v>
      </c>
      <c r="Y210" s="44">
        <f t="shared" si="39"/>
        <v>101787564</v>
      </c>
      <c r="AB210" s="44">
        <f t="shared" si="32"/>
        <v>0</v>
      </c>
    </row>
    <row r="211" spans="1:29" ht="12.75" customHeight="1" x14ac:dyDescent="0.2">
      <c r="A211" s="44" t="s">
        <v>236</v>
      </c>
      <c r="C211" s="44" t="s">
        <v>45</v>
      </c>
      <c r="E211" s="143">
        <f t="shared" si="37"/>
        <v>8531148</v>
      </c>
      <c r="G211" s="44">
        <f>6983866+16999526</f>
        <v>23983392</v>
      </c>
      <c r="I211" s="44">
        <v>0</v>
      </c>
      <c r="K211" s="44">
        <v>32514540</v>
      </c>
      <c r="M211" s="44">
        <f t="shared" si="38"/>
        <v>3159587</v>
      </c>
      <c r="O211" s="44">
        <v>6120949</v>
      </c>
      <c r="Q211" s="44">
        <v>9280536</v>
      </c>
      <c r="S211" s="44">
        <v>19391994</v>
      </c>
      <c r="U211" s="44">
        <f>1169022+1149861</f>
        <v>2318883</v>
      </c>
      <c r="W211" s="44">
        <v>1523127</v>
      </c>
      <c r="Y211" s="44">
        <f t="shared" si="39"/>
        <v>23234004</v>
      </c>
      <c r="AB211" s="44">
        <f t="shared" si="32"/>
        <v>0</v>
      </c>
    </row>
    <row r="212" spans="1:29" ht="12.75" customHeight="1" x14ac:dyDescent="0.2">
      <c r="A212" s="44" t="s">
        <v>237</v>
      </c>
      <c r="C212" s="44" t="s">
        <v>33</v>
      </c>
      <c r="E212" s="143">
        <f t="shared" si="37"/>
        <v>3176160</v>
      </c>
      <c r="G212" s="44">
        <f>1271438+6529307</f>
        <v>7800745</v>
      </c>
      <c r="I212" s="44">
        <v>0</v>
      </c>
      <c r="K212" s="44">
        <v>10976905</v>
      </c>
      <c r="M212" s="44">
        <f t="shared" si="38"/>
        <v>1062627</v>
      </c>
      <c r="O212" s="44">
        <v>1184630</v>
      </c>
      <c r="Q212" s="44">
        <v>2247257</v>
      </c>
      <c r="S212" s="44">
        <v>6560890</v>
      </c>
      <c r="U212" s="44">
        <f>163523+1442204</f>
        <v>1605727</v>
      </c>
      <c r="W212" s="44">
        <v>563031</v>
      </c>
      <c r="Y212" s="44">
        <f t="shared" si="39"/>
        <v>8729648</v>
      </c>
      <c r="AB212" s="44">
        <f t="shared" si="32"/>
        <v>0</v>
      </c>
    </row>
    <row r="213" spans="1:29" ht="12.75" customHeight="1" x14ac:dyDescent="0.2">
      <c r="A213" s="44" t="s">
        <v>238</v>
      </c>
      <c r="C213" s="44" t="s">
        <v>239</v>
      </c>
      <c r="E213" s="143">
        <f t="shared" si="37"/>
        <v>14675500</v>
      </c>
      <c r="G213" s="44">
        <v>19353439</v>
      </c>
      <c r="I213" s="44">
        <v>0</v>
      </c>
      <c r="K213" s="44">
        <v>34028939</v>
      </c>
      <c r="M213" s="44">
        <f t="shared" si="38"/>
        <v>854830</v>
      </c>
      <c r="O213" s="44">
        <v>329715</v>
      </c>
      <c r="Q213" s="44">
        <v>1184545</v>
      </c>
      <c r="S213" s="44">
        <v>19258439</v>
      </c>
      <c r="U213" s="44">
        <f>3349989+84777+1415650+2053401+20073</f>
        <v>6923890</v>
      </c>
      <c r="W213" s="44">
        <v>6662065</v>
      </c>
      <c r="Y213" s="44">
        <f t="shared" si="39"/>
        <v>32844394</v>
      </c>
      <c r="AB213" s="44">
        <f t="shared" si="32"/>
        <v>0</v>
      </c>
    </row>
    <row r="214" spans="1:29" ht="12.75" customHeight="1" x14ac:dyDescent="0.2">
      <c r="A214" s="44" t="s">
        <v>486</v>
      </c>
      <c r="C214" s="44" t="s">
        <v>249</v>
      </c>
      <c r="E214" s="143">
        <f t="shared" si="37"/>
        <v>13789821</v>
      </c>
      <c r="G214" s="44">
        <v>35124062</v>
      </c>
      <c r="I214" s="44">
        <v>120739</v>
      </c>
      <c r="K214" s="44">
        <v>49034622</v>
      </c>
      <c r="M214" s="44">
        <f t="shared" si="38"/>
        <v>4052552</v>
      </c>
      <c r="O214" s="44">
        <v>7545106</v>
      </c>
      <c r="Q214" s="44">
        <v>11597658</v>
      </c>
      <c r="S214" s="44">
        <v>30738893</v>
      </c>
      <c r="U214" s="44">
        <f>37436964-30738893-2503609</f>
        <v>4194462</v>
      </c>
      <c r="W214" s="44">
        <v>2503609</v>
      </c>
      <c r="Y214" s="44">
        <f t="shared" si="39"/>
        <v>37436964</v>
      </c>
      <c r="AB214" s="44">
        <f>+K214-Q214-Y214</f>
        <v>0</v>
      </c>
    </row>
    <row r="215" spans="1:29" ht="12.75" customHeight="1" x14ac:dyDescent="0.2">
      <c r="A215" s="44" t="s">
        <v>240</v>
      </c>
      <c r="C215" s="44" t="s">
        <v>13</v>
      </c>
      <c r="E215" s="143">
        <f t="shared" si="37"/>
        <v>25703723</v>
      </c>
      <c r="G215" s="44">
        <v>64285393</v>
      </c>
      <c r="I215" s="44">
        <v>266498</v>
      </c>
      <c r="K215" s="44">
        <v>90255614</v>
      </c>
      <c r="M215" s="44">
        <f t="shared" si="38"/>
        <v>11987598</v>
      </c>
      <c r="O215" s="44">
        <v>25552465</v>
      </c>
      <c r="Q215" s="44">
        <v>37540063</v>
      </c>
      <c r="S215" s="44">
        <v>40948452</v>
      </c>
      <c r="U215" s="44">
        <f>52715551-40948452-4801243</f>
        <v>6965856</v>
      </c>
      <c r="W215" s="44">
        <v>4801243</v>
      </c>
      <c r="Y215" s="44">
        <f t="shared" si="39"/>
        <v>52715551</v>
      </c>
      <c r="AB215" s="44">
        <f t="shared" si="32"/>
        <v>0</v>
      </c>
    </row>
    <row r="216" spans="1:29" ht="12.75" customHeight="1" x14ac:dyDescent="0.2">
      <c r="A216" s="44" t="s">
        <v>241</v>
      </c>
      <c r="C216" s="44" t="s">
        <v>22</v>
      </c>
      <c r="E216" s="143">
        <f t="shared" si="37"/>
        <v>10600973</v>
      </c>
      <c r="G216" s="44">
        <v>13736744</v>
      </c>
      <c r="I216" s="44">
        <v>87855</v>
      </c>
      <c r="K216" s="44">
        <v>24425572</v>
      </c>
      <c r="M216" s="44">
        <f t="shared" si="38"/>
        <v>6988047</v>
      </c>
      <c r="O216" s="44">
        <v>4527048</v>
      </c>
      <c r="Q216" s="44">
        <v>11515095</v>
      </c>
      <c r="S216" s="44">
        <v>10208014</v>
      </c>
      <c r="U216" s="44">
        <f>12910477+1698277-10208014</f>
        <v>4400740</v>
      </c>
      <c r="W216" s="44">
        <v>-1698277</v>
      </c>
      <c r="Y216" s="44">
        <f t="shared" si="39"/>
        <v>12910477</v>
      </c>
      <c r="AB216" s="44">
        <f t="shared" si="32"/>
        <v>0</v>
      </c>
    </row>
    <row r="217" spans="1:29" ht="12.75" customHeight="1" x14ac:dyDescent="0.2">
      <c r="A217" s="44" t="s">
        <v>242</v>
      </c>
      <c r="C217" s="44" t="s">
        <v>27</v>
      </c>
      <c r="E217" s="143">
        <f t="shared" si="37"/>
        <v>45999015</v>
      </c>
      <c r="G217" s="44">
        <f>23263199+165695995</f>
        <v>188959194</v>
      </c>
      <c r="I217" s="44">
        <v>738897</v>
      </c>
      <c r="K217" s="44">
        <v>235697106</v>
      </c>
      <c r="M217" s="44">
        <f t="shared" si="38"/>
        <v>24152116</v>
      </c>
      <c r="O217" s="44">
        <v>51448893</v>
      </c>
      <c r="Q217" s="44">
        <v>75601009</v>
      </c>
      <c r="S217" s="44">
        <v>135950267</v>
      </c>
      <c r="U217" s="44">
        <f>160096097-135950267-9614650</f>
        <v>14531180</v>
      </c>
      <c r="W217" s="44">
        <v>9614650</v>
      </c>
      <c r="Y217" s="44">
        <f t="shared" si="39"/>
        <v>160096097</v>
      </c>
      <c r="AB217" s="44">
        <f t="shared" si="32"/>
        <v>0</v>
      </c>
    </row>
    <row r="218" spans="1:29" ht="12.75" customHeight="1" x14ac:dyDescent="0.2">
      <c r="A218" s="44" t="s">
        <v>243</v>
      </c>
      <c r="C218" s="44" t="s">
        <v>163</v>
      </c>
      <c r="E218" s="143">
        <f t="shared" si="37"/>
        <v>27029497</v>
      </c>
      <c r="G218" s="44">
        <f>10708272+26798434</f>
        <v>37506706</v>
      </c>
      <c r="I218" s="44">
        <v>0</v>
      </c>
      <c r="K218" s="44">
        <v>64536203</v>
      </c>
      <c r="M218" s="44">
        <f t="shared" si="38"/>
        <v>4432263</v>
      </c>
      <c r="O218" s="44">
        <v>23209443</v>
      </c>
      <c r="Q218" s="44">
        <v>27641706</v>
      </c>
      <c r="S218" s="44">
        <v>14211124</v>
      </c>
      <c r="U218" s="44">
        <f>14498109+637+1977673</f>
        <v>16476419</v>
      </c>
      <c r="W218" s="44">
        <v>6206954</v>
      </c>
      <c r="Y218" s="44">
        <f t="shared" si="39"/>
        <v>36894497</v>
      </c>
      <c r="AB218" s="44">
        <f t="shared" ref="AB218" si="40">+K218-Q218-Y218</f>
        <v>0</v>
      </c>
    </row>
    <row r="219" spans="1:29" ht="12.75" customHeight="1" x14ac:dyDescent="0.2">
      <c r="A219" s="44" t="s">
        <v>244</v>
      </c>
      <c r="C219" s="44" t="s">
        <v>13</v>
      </c>
      <c r="E219" s="143">
        <f t="shared" si="37"/>
        <v>-28186371</v>
      </c>
      <c r="G219" s="44">
        <v>28186371</v>
      </c>
      <c r="I219" s="44">
        <v>40811292</v>
      </c>
      <c r="K219" s="44">
        <v>40811292</v>
      </c>
      <c r="M219" s="44">
        <f t="shared" si="38"/>
        <v>4119919</v>
      </c>
      <c r="O219" s="44">
        <v>10612005</v>
      </c>
      <c r="Q219" s="44">
        <v>14731924</v>
      </c>
      <c r="S219" s="44">
        <v>18529391</v>
      </c>
      <c r="U219" s="44">
        <f>248897+218670+945681+57679+7027+36321</f>
        <v>1514275</v>
      </c>
      <c r="W219" s="44">
        <v>6035702</v>
      </c>
      <c r="Y219" s="44">
        <f t="shared" si="39"/>
        <v>26079368</v>
      </c>
      <c r="AB219" s="44">
        <f t="shared" ref="AB219:AB262" si="41">+K219-Q219-Y219</f>
        <v>0</v>
      </c>
    </row>
    <row r="220" spans="1:29" ht="12.75" customHeight="1" x14ac:dyDescent="0.2">
      <c r="A220" s="44" t="s">
        <v>245</v>
      </c>
      <c r="C220" s="44" t="s">
        <v>110</v>
      </c>
      <c r="E220" s="143">
        <f t="shared" si="37"/>
        <v>10122449</v>
      </c>
      <c r="G220" s="44">
        <f>3226266+20252565</f>
        <v>23478831</v>
      </c>
      <c r="I220" s="44">
        <v>65037</v>
      </c>
      <c r="K220" s="44">
        <v>33666317</v>
      </c>
      <c r="M220" s="44">
        <f t="shared" si="38"/>
        <v>1979256</v>
      </c>
      <c r="O220" s="44">
        <v>3129248</v>
      </c>
      <c r="Q220" s="44">
        <v>5108504</v>
      </c>
      <c r="S220" s="44">
        <v>20852991</v>
      </c>
      <c r="U220" s="44">
        <f>28557813-20852991-4845668</f>
        <v>2859154</v>
      </c>
      <c r="W220" s="44">
        <v>4845668</v>
      </c>
      <c r="Y220" s="44">
        <f t="shared" si="39"/>
        <v>28557813</v>
      </c>
      <c r="AB220" s="44">
        <f t="shared" si="41"/>
        <v>0</v>
      </c>
    </row>
    <row r="221" spans="1:29" ht="12.75" customHeight="1" x14ac:dyDescent="0.2">
      <c r="A221" s="44" t="s">
        <v>246</v>
      </c>
      <c r="C221" s="44" t="s">
        <v>209</v>
      </c>
      <c r="E221" s="143">
        <f t="shared" si="37"/>
        <v>9435889</v>
      </c>
      <c r="G221" s="44">
        <f>14438804+23559499</f>
        <v>37998303</v>
      </c>
      <c r="I221" s="44">
        <v>0</v>
      </c>
      <c r="K221" s="44">
        <v>47434192</v>
      </c>
      <c r="M221" s="44">
        <f t="shared" si="38"/>
        <v>2922413</v>
      </c>
      <c r="O221" s="44">
        <v>2437463</v>
      </c>
      <c r="Q221" s="44">
        <v>5359876</v>
      </c>
      <c r="S221" s="44">
        <v>34228303</v>
      </c>
      <c r="U221" s="44">
        <f>456272+993428+817634+100342</f>
        <v>2367676</v>
      </c>
      <c r="W221" s="44">
        <v>5478337</v>
      </c>
      <c r="Y221" s="44">
        <f t="shared" si="39"/>
        <v>42074316</v>
      </c>
      <c r="AB221" s="44">
        <f t="shared" si="41"/>
        <v>0</v>
      </c>
    </row>
    <row r="222" spans="1:29" s="121" customFormat="1" ht="12.75" hidden="1" customHeight="1" x14ac:dyDescent="0.2">
      <c r="A222" s="121" t="s">
        <v>247</v>
      </c>
      <c r="B222" s="122"/>
      <c r="C222" s="121" t="s">
        <v>163</v>
      </c>
      <c r="D222" s="122"/>
      <c r="E222" s="149">
        <f t="shared" si="37"/>
        <v>228672000</v>
      </c>
      <c r="G222" s="121">
        <f>79714000+453754000</f>
        <v>533468000</v>
      </c>
      <c r="I222" s="121">
        <v>0</v>
      </c>
      <c r="K222" s="121">
        <v>762140000</v>
      </c>
      <c r="M222" s="121">
        <f t="shared" si="38"/>
        <v>124431000</v>
      </c>
      <c r="O222" s="121">
        <f>30092000+163089000</f>
        <v>193181000</v>
      </c>
      <c r="Q222" s="121">
        <v>317612000</v>
      </c>
      <c r="S222" s="121">
        <v>330332000</v>
      </c>
      <c r="U222" s="121">
        <v>107111000</v>
      </c>
      <c r="W222" s="121">
        <v>7085000</v>
      </c>
      <c r="Y222" s="121">
        <f t="shared" si="39"/>
        <v>444528000</v>
      </c>
      <c r="AB222" s="121">
        <f>+K222-Q222-Y222</f>
        <v>0</v>
      </c>
      <c r="AC222" s="122" t="s">
        <v>513</v>
      </c>
    </row>
    <row r="223" spans="1:29" ht="12.75" customHeight="1" x14ac:dyDescent="0.2">
      <c r="A223" s="44" t="s">
        <v>248</v>
      </c>
      <c r="C223" s="44" t="s">
        <v>249</v>
      </c>
      <c r="E223" s="143">
        <f t="shared" si="37"/>
        <v>2886174</v>
      </c>
      <c r="G223" s="44">
        <f>157500+3928091</f>
        <v>4085591</v>
      </c>
      <c r="I223" s="44">
        <v>0</v>
      </c>
      <c r="K223" s="44">
        <v>6971765</v>
      </c>
      <c r="M223" s="44">
        <f t="shared" si="38"/>
        <v>347975</v>
      </c>
      <c r="O223" s="44">
        <v>1104845</v>
      </c>
      <c r="Q223" s="44">
        <v>1452820</v>
      </c>
      <c r="S223" s="44">
        <v>3293405</v>
      </c>
      <c r="U223" s="44">
        <f>205249+780191</f>
        <v>985440</v>
      </c>
      <c r="W223" s="44">
        <v>1240100</v>
      </c>
      <c r="Y223" s="44">
        <f t="shared" si="39"/>
        <v>5518945</v>
      </c>
      <c r="AB223" s="44">
        <f t="shared" si="41"/>
        <v>0</v>
      </c>
    </row>
    <row r="224" spans="1:29" ht="12.75" customHeight="1" x14ac:dyDescent="0.2">
      <c r="A224" s="44" t="s">
        <v>250</v>
      </c>
      <c r="C224" s="44" t="s">
        <v>103</v>
      </c>
      <c r="E224" s="143">
        <f t="shared" si="37"/>
        <v>4478830</v>
      </c>
      <c r="G224" s="44">
        <f>369473+149225+1687444+690477+2882718-2759827</f>
        <v>3019510</v>
      </c>
      <c r="I224" s="44">
        <v>0</v>
      </c>
      <c r="K224" s="44">
        <v>7498340</v>
      </c>
      <c r="M224" s="44">
        <f t="shared" si="38"/>
        <v>984815</v>
      </c>
      <c r="O224" s="44">
        <v>204996</v>
      </c>
      <c r="Q224" s="44">
        <v>1189811</v>
      </c>
      <c r="S224" s="44">
        <v>2691966</v>
      </c>
      <c r="U224" s="44">
        <f>6308529-2691966-2288758</f>
        <v>1327805</v>
      </c>
      <c r="W224" s="44">
        <v>2288758</v>
      </c>
      <c r="Y224" s="44">
        <f t="shared" si="39"/>
        <v>6308529</v>
      </c>
      <c r="AB224" s="44">
        <f t="shared" si="41"/>
        <v>0</v>
      </c>
    </row>
    <row r="225" spans="1:31" ht="12.75" customHeight="1" x14ac:dyDescent="0.2">
      <c r="A225" s="44" t="s">
        <v>251</v>
      </c>
      <c r="C225" s="44" t="s">
        <v>66</v>
      </c>
      <c r="E225" s="143">
        <f t="shared" si="37"/>
        <v>12700520</v>
      </c>
      <c r="G225" s="44">
        <f>26360322+33079328</f>
        <v>59439650</v>
      </c>
      <c r="I225" s="44">
        <v>228618</v>
      </c>
      <c r="K225" s="44">
        <v>72368788</v>
      </c>
      <c r="M225" s="44">
        <f t="shared" si="38"/>
        <v>9252233</v>
      </c>
      <c r="O225" s="44">
        <v>15381015</v>
      </c>
      <c r="Q225" s="44">
        <v>24633248</v>
      </c>
      <c r="S225" s="44">
        <v>41557908</v>
      </c>
      <c r="U225" s="44">
        <f>47735540-41557908-3304999</f>
        <v>2872633</v>
      </c>
      <c r="W225" s="44">
        <v>3304999</v>
      </c>
      <c r="Y225" s="44">
        <f t="shared" si="39"/>
        <v>47735540</v>
      </c>
      <c r="AB225" s="44">
        <f t="shared" si="41"/>
        <v>0</v>
      </c>
    </row>
    <row r="226" spans="1:31" ht="12.75" customHeight="1" x14ac:dyDescent="0.2">
      <c r="A226" s="44" t="s">
        <v>252</v>
      </c>
      <c r="C226" s="44" t="s">
        <v>209</v>
      </c>
      <c r="E226" s="143">
        <f t="shared" si="37"/>
        <v>60528663</v>
      </c>
      <c r="G226" s="44">
        <f>12265282+29412088</f>
        <v>41677370</v>
      </c>
      <c r="I226" s="44">
        <v>38355</v>
      </c>
      <c r="K226" s="44">
        <v>102244388</v>
      </c>
      <c r="M226" s="44">
        <f t="shared" si="38"/>
        <v>3810868</v>
      </c>
      <c r="O226" s="44">
        <v>10010173</v>
      </c>
      <c r="Q226" s="44">
        <v>13821041</v>
      </c>
      <c r="S226" s="44">
        <v>34639518</v>
      </c>
      <c r="U226" s="44">
        <f>88423347-34639518-45244719</f>
        <v>8539110</v>
      </c>
      <c r="W226" s="44">
        <v>45244719</v>
      </c>
      <c r="Y226" s="44">
        <f t="shared" si="39"/>
        <v>88423347</v>
      </c>
      <c r="AB226" s="44">
        <f t="shared" si="41"/>
        <v>0</v>
      </c>
    </row>
    <row r="227" spans="1:31" ht="12.75" customHeight="1" x14ac:dyDescent="0.2">
      <c r="A227" s="44" t="s">
        <v>253</v>
      </c>
      <c r="C227" s="44" t="s">
        <v>13</v>
      </c>
      <c r="E227" s="143">
        <f t="shared" si="37"/>
        <v>30851334</v>
      </c>
      <c r="G227" s="44">
        <f>27168390+94692607</f>
        <v>121860997</v>
      </c>
      <c r="I227" s="44">
        <v>122196</v>
      </c>
      <c r="K227" s="44">
        <v>152834527</v>
      </c>
      <c r="M227" s="44">
        <f t="shared" si="38"/>
        <v>4897486</v>
      </c>
      <c r="O227" s="44">
        <v>14512514</v>
      </c>
      <c r="Q227" s="44">
        <v>19410000</v>
      </c>
      <c r="S227" s="44">
        <v>106963648</v>
      </c>
      <c r="U227" s="44">
        <f>11516+4747551+4204747</f>
        <v>8963814</v>
      </c>
      <c r="W227" s="44">
        <v>17497065</v>
      </c>
      <c r="Y227" s="44">
        <f t="shared" si="39"/>
        <v>133424527</v>
      </c>
      <c r="AB227" s="44">
        <f t="shared" si="41"/>
        <v>0</v>
      </c>
    </row>
    <row r="228" spans="1:31" ht="12.75" customHeight="1" x14ac:dyDescent="0.2">
      <c r="A228" s="44" t="s">
        <v>254</v>
      </c>
      <c r="C228" s="44" t="s">
        <v>89</v>
      </c>
      <c r="E228" s="143">
        <f t="shared" si="37"/>
        <v>3089377</v>
      </c>
      <c r="G228" s="44">
        <f>1143850+6905091</f>
        <v>8048941</v>
      </c>
      <c r="I228" s="44">
        <v>0</v>
      </c>
      <c r="K228" s="44">
        <v>11138318</v>
      </c>
      <c r="M228" s="44">
        <f t="shared" si="38"/>
        <v>942566</v>
      </c>
      <c r="O228" s="44">
        <v>2448309</v>
      </c>
      <c r="Q228" s="44">
        <v>3390875</v>
      </c>
      <c r="S228" s="44">
        <v>5800152</v>
      </c>
      <c r="U228" s="44">
        <f>793565+821980</f>
        <v>1615545</v>
      </c>
      <c r="W228" s="44">
        <v>331746</v>
      </c>
      <c r="Y228" s="44">
        <f t="shared" si="39"/>
        <v>7747443</v>
      </c>
      <c r="AB228" s="44">
        <f t="shared" si="41"/>
        <v>0</v>
      </c>
      <c r="AE228" s="44" t="s">
        <v>449</v>
      </c>
    </row>
    <row r="229" spans="1:31" ht="12.75" customHeight="1" x14ac:dyDescent="0.2">
      <c r="A229" s="44" t="s">
        <v>159</v>
      </c>
      <c r="C229" s="47" t="s">
        <v>66</v>
      </c>
      <c r="E229" s="143">
        <f t="shared" si="37"/>
        <v>4718725</v>
      </c>
      <c r="G229" s="44">
        <f>1279452+49483+4936981</f>
        <v>6265916</v>
      </c>
      <c r="I229" s="44">
        <v>0</v>
      </c>
      <c r="K229" s="44">
        <v>10984641</v>
      </c>
      <c r="M229" s="44">
        <f t="shared" si="38"/>
        <v>2083984</v>
      </c>
      <c r="O229" s="44">
        <v>1338714</v>
      </c>
      <c r="Q229" s="44">
        <v>3422698</v>
      </c>
      <c r="S229" s="44">
        <v>4486731</v>
      </c>
      <c r="U229" s="44">
        <f>276309+515955+104411+919653</f>
        <v>1816328</v>
      </c>
      <c r="W229" s="44">
        <v>1258884</v>
      </c>
      <c r="Y229" s="44">
        <f t="shared" si="39"/>
        <v>7561943</v>
      </c>
      <c r="AB229" s="44">
        <f>+K229-Q229-Y229</f>
        <v>0</v>
      </c>
    </row>
    <row r="230" spans="1:31" ht="12.75" customHeight="1" x14ac:dyDescent="0.2">
      <c r="A230" s="44" t="s">
        <v>255</v>
      </c>
      <c r="C230" s="44" t="s">
        <v>27</v>
      </c>
      <c r="E230" s="143">
        <f t="shared" si="37"/>
        <v>12315234</v>
      </c>
      <c r="G230" s="44">
        <f>212260+5477252</f>
        <v>5689512</v>
      </c>
      <c r="I230" s="44">
        <v>0</v>
      </c>
      <c r="K230" s="44">
        <v>18004746</v>
      </c>
      <c r="M230" s="44">
        <f t="shared" si="38"/>
        <v>7403484</v>
      </c>
      <c r="O230" s="44">
        <v>1672544</v>
      </c>
      <c r="Q230" s="44">
        <v>9076028</v>
      </c>
      <c r="S230" s="44">
        <v>2002172</v>
      </c>
      <c r="U230" s="44">
        <f>8928718-2002172-4874122</f>
        <v>2052424</v>
      </c>
      <c r="W230" s="44">
        <v>4874122</v>
      </c>
      <c r="Y230" s="44">
        <f t="shared" si="39"/>
        <v>8928718</v>
      </c>
      <c r="AB230" s="44">
        <f t="shared" si="41"/>
        <v>0</v>
      </c>
    </row>
    <row r="231" spans="1:31" ht="12.75" customHeight="1" x14ac:dyDescent="0.2">
      <c r="A231" s="44" t="s">
        <v>256</v>
      </c>
      <c r="B231" s="44"/>
      <c r="C231" s="44" t="s">
        <v>43</v>
      </c>
      <c r="D231" s="44"/>
      <c r="E231" s="143">
        <f t="shared" si="37"/>
        <v>69179236</v>
      </c>
      <c r="G231" s="44">
        <f>9264600+7540117+62600982</f>
        <v>79405699</v>
      </c>
      <c r="I231" s="44">
        <v>598840</v>
      </c>
      <c r="K231" s="44">
        <v>149183775</v>
      </c>
      <c r="M231" s="44">
        <f t="shared" si="38"/>
        <v>22553642</v>
      </c>
      <c r="O231" s="44">
        <f>1157068+39198533</f>
        <v>40355601</v>
      </c>
      <c r="Q231" s="44">
        <v>62909243</v>
      </c>
      <c r="S231" s="44">
        <v>38478089</v>
      </c>
      <c r="U231" s="44">
        <f>86274532-38478089-38920174</f>
        <v>8876269</v>
      </c>
      <c r="W231" s="44">
        <v>38920174</v>
      </c>
      <c r="Y231" s="44">
        <f t="shared" si="39"/>
        <v>86274532</v>
      </c>
      <c r="AB231" s="44">
        <f>+K231-Q231-Y231</f>
        <v>0</v>
      </c>
    </row>
    <row r="232" spans="1:31" ht="12.75" customHeight="1" x14ac:dyDescent="0.2">
      <c r="Y232" s="48" t="s">
        <v>484</v>
      </c>
    </row>
    <row r="233" spans="1:31" ht="12.75" customHeight="1" x14ac:dyDescent="0.2">
      <c r="A233" s="44" t="s">
        <v>257</v>
      </c>
      <c r="C233" s="44" t="s">
        <v>258</v>
      </c>
      <c r="E233" s="154">
        <f t="shared" si="37"/>
        <v>3753853</v>
      </c>
      <c r="F233" s="46"/>
      <c r="G233" s="46">
        <f>914409+6968630</f>
        <v>7883039</v>
      </c>
      <c r="H233" s="46"/>
      <c r="I233" s="46">
        <v>0</v>
      </c>
      <c r="J233" s="46"/>
      <c r="K233" s="46">
        <v>11636892</v>
      </c>
      <c r="L233" s="46"/>
      <c r="M233" s="46">
        <f t="shared" si="38"/>
        <v>1300367</v>
      </c>
      <c r="N233" s="46"/>
      <c r="O233" s="46">
        <v>5315313</v>
      </c>
      <c r="P233" s="46"/>
      <c r="Q233" s="46">
        <v>6615680</v>
      </c>
      <c r="R233" s="46"/>
      <c r="S233" s="46">
        <v>7838773</v>
      </c>
      <c r="T233" s="46"/>
      <c r="U233" s="46">
        <f>21154+734132</f>
        <v>755286</v>
      </c>
      <c r="V233" s="46"/>
      <c r="W233" s="46">
        <v>-3572847</v>
      </c>
      <c r="X233" s="46"/>
      <c r="Y233" s="46">
        <f t="shared" si="39"/>
        <v>5021212</v>
      </c>
      <c r="AB233" s="44">
        <f>+K233-Q233-Y233</f>
        <v>0</v>
      </c>
    </row>
    <row r="234" spans="1:31" ht="12.75" customHeight="1" x14ac:dyDescent="0.2">
      <c r="A234" s="44" t="s">
        <v>259</v>
      </c>
      <c r="C234" s="44" t="s">
        <v>260</v>
      </c>
      <c r="E234" s="143">
        <f t="shared" si="37"/>
        <v>8155535</v>
      </c>
      <c r="G234" s="44">
        <f>7078866+18035046</f>
        <v>25113912</v>
      </c>
      <c r="I234" s="44">
        <v>49583</v>
      </c>
      <c r="K234" s="44">
        <v>33319030</v>
      </c>
      <c r="M234" s="44">
        <f t="shared" si="38"/>
        <v>2782047</v>
      </c>
      <c r="O234" s="44">
        <v>4106524</v>
      </c>
      <c r="Q234" s="44">
        <v>6888571</v>
      </c>
      <c r="S234" s="44">
        <v>22374471</v>
      </c>
      <c r="U234" s="44">
        <f>26430459-22374471-2770667</f>
        <v>1285321</v>
      </c>
      <c r="W234" s="44">
        <v>2770667</v>
      </c>
      <c r="Y234" s="44">
        <f t="shared" si="39"/>
        <v>26430459</v>
      </c>
      <c r="AB234" s="44">
        <f t="shared" si="41"/>
        <v>0</v>
      </c>
    </row>
    <row r="235" spans="1:31" ht="12.75" customHeight="1" x14ac:dyDescent="0.2">
      <c r="A235" s="44" t="s">
        <v>261</v>
      </c>
      <c r="C235" s="44" t="s">
        <v>66</v>
      </c>
      <c r="E235" s="143">
        <f t="shared" si="37"/>
        <v>29116920</v>
      </c>
      <c r="G235" s="44">
        <f>6171148+47608166</f>
        <v>53779314</v>
      </c>
      <c r="I235" s="44">
        <v>130667</v>
      </c>
      <c r="K235" s="44">
        <v>83026901</v>
      </c>
      <c r="M235" s="44">
        <f t="shared" si="38"/>
        <v>11032230</v>
      </c>
      <c r="O235" s="44">
        <v>11598394</v>
      </c>
      <c r="Q235" s="44">
        <v>22630624</v>
      </c>
      <c r="S235" s="44">
        <v>42619594</v>
      </c>
      <c r="U235" s="44">
        <f>32195+198605+1802028</f>
        <v>2032828</v>
      </c>
      <c r="W235" s="44">
        <v>15743855</v>
      </c>
      <c r="Y235" s="44">
        <f t="shared" si="39"/>
        <v>60396277</v>
      </c>
      <c r="AB235" s="44">
        <f t="shared" si="41"/>
        <v>0</v>
      </c>
    </row>
    <row r="236" spans="1:31" ht="12.75" customHeight="1" x14ac:dyDescent="0.2">
      <c r="A236" s="44" t="s">
        <v>262</v>
      </c>
      <c r="C236" s="44" t="s">
        <v>132</v>
      </c>
      <c r="E236" s="143">
        <f t="shared" si="37"/>
        <v>9847693</v>
      </c>
      <c r="G236" s="44">
        <f>3680167+10142437</f>
        <v>13822604</v>
      </c>
      <c r="I236" s="44">
        <v>9823</v>
      </c>
      <c r="K236" s="44">
        <v>23680120</v>
      </c>
      <c r="M236" s="44">
        <f t="shared" si="38"/>
        <v>6462620</v>
      </c>
      <c r="O236" s="44">
        <v>2130972</v>
      </c>
      <c r="Q236" s="44">
        <v>8593592</v>
      </c>
      <c r="S236" s="44">
        <v>9809310</v>
      </c>
      <c r="U236" s="44">
        <f>15086528+124087-9809310</f>
        <v>5401305</v>
      </c>
      <c r="W236" s="44">
        <v>-124087</v>
      </c>
      <c r="Y236" s="44">
        <f t="shared" si="39"/>
        <v>15086528</v>
      </c>
      <c r="AB236" s="44">
        <f t="shared" si="41"/>
        <v>0</v>
      </c>
    </row>
    <row r="237" spans="1:31" ht="12.75" customHeight="1" x14ac:dyDescent="0.2">
      <c r="A237" s="44" t="s">
        <v>512</v>
      </c>
      <c r="C237" s="44" t="s">
        <v>45</v>
      </c>
      <c r="E237" s="143">
        <f t="shared" si="37"/>
        <v>24088140</v>
      </c>
      <c r="G237" s="44">
        <f>81204376+18383277</f>
        <v>99587653</v>
      </c>
      <c r="I237" s="44">
        <v>0</v>
      </c>
      <c r="K237" s="44">
        <v>123675793</v>
      </c>
      <c r="M237" s="44">
        <f t="shared" si="38"/>
        <v>2694610</v>
      </c>
      <c r="O237" s="44">
        <v>3405935</v>
      </c>
      <c r="Q237" s="44">
        <v>6100545</v>
      </c>
      <c r="S237" s="44">
        <v>96787478</v>
      </c>
      <c r="U237" s="44">
        <f>2004433+2529132+3387+1067224</f>
        <v>5604176</v>
      </c>
      <c r="W237" s="44">
        <v>15183594</v>
      </c>
      <c r="Y237" s="44">
        <f t="shared" si="39"/>
        <v>117575248</v>
      </c>
      <c r="AB237" s="44">
        <f t="shared" si="41"/>
        <v>0</v>
      </c>
    </row>
    <row r="238" spans="1:31" ht="12.75" customHeight="1" x14ac:dyDescent="0.2">
      <c r="A238" s="44" t="s">
        <v>263</v>
      </c>
      <c r="C238" s="44" t="s">
        <v>53</v>
      </c>
      <c r="E238" s="143">
        <f t="shared" si="37"/>
        <v>28171170</v>
      </c>
      <c r="G238" s="44">
        <f>21504094+21064724</f>
        <v>42568818</v>
      </c>
      <c r="I238" s="44">
        <v>379688</v>
      </c>
      <c r="K238" s="44">
        <v>71119676</v>
      </c>
      <c r="M238" s="44">
        <f t="shared" si="38"/>
        <v>4306775</v>
      </c>
      <c r="O238" s="44">
        <v>20872883</v>
      </c>
      <c r="Q238" s="44">
        <v>25179658</v>
      </c>
      <c r="S238" s="44">
        <v>24968078</v>
      </c>
      <c r="U238" s="44">
        <f>45940018-24968078-5904151</f>
        <v>15067789</v>
      </c>
      <c r="W238" s="44">
        <v>5904151</v>
      </c>
      <c r="Y238" s="44">
        <f t="shared" si="39"/>
        <v>45940018</v>
      </c>
      <c r="AB238" s="44">
        <f t="shared" si="41"/>
        <v>0</v>
      </c>
    </row>
    <row r="239" spans="1:31" ht="12.75" customHeight="1" x14ac:dyDescent="0.2">
      <c r="A239" s="44" t="s">
        <v>264</v>
      </c>
      <c r="C239" s="44" t="s">
        <v>239</v>
      </c>
      <c r="E239" s="143">
        <f t="shared" si="37"/>
        <v>8332914</v>
      </c>
      <c r="G239" s="44">
        <f>1378286+19905548</f>
        <v>21283834</v>
      </c>
      <c r="I239" s="44">
        <v>0</v>
      </c>
      <c r="K239" s="44">
        <v>29616748</v>
      </c>
      <c r="M239" s="44">
        <f t="shared" si="38"/>
        <v>1174368</v>
      </c>
      <c r="O239" s="44">
        <v>865893</v>
      </c>
      <c r="Q239" s="44">
        <v>2040261</v>
      </c>
      <c r="S239" s="44">
        <v>20767868</v>
      </c>
      <c r="U239" s="44">
        <f>2166097+1375679</f>
        <v>3541776</v>
      </c>
      <c r="W239" s="44">
        <v>3266843</v>
      </c>
      <c r="Y239" s="44">
        <f t="shared" si="39"/>
        <v>27576487</v>
      </c>
      <c r="AB239" s="44">
        <f>+K239-Q239-Y239</f>
        <v>0</v>
      </c>
    </row>
    <row r="240" spans="1:31" ht="12.75" customHeight="1" x14ac:dyDescent="0.2">
      <c r="A240" s="44" t="s">
        <v>111</v>
      </c>
      <c r="C240" s="44" t="s">
        <v>80</v>
      </c>
      <c r="E240" s="143">
        <f t="shared" si="37"/>
        <v>30600543</v>
      </c>
      <c r="G240" s="44">
        <v>43488262</v>
      </c>
      <c r="I240" s="44">
        <v>27443</v>
      </c>
      <c r="K240" s="44">
        <v>74116248</v>
      </c>
      <c r="M240" s="44">
        <f t="shared" si="38"/>
        <v>6774318</v>
      </c>
      <c r="O240" s="44">
        <v>10940629</v>
      </c>
      <c r="Q240" s="44">
        <v>17714947</v>
      </c>
      <c r="S240" s="44">
        <v>41716498</v>
      </c>
      <c r="U240" s="44">
        <f>56401301-41716498+1555360</f>
        <v>16240163</v>
      </c>
      <c r="W240" s="44">
        <v>-1555360</v>
      </c>
      <c r="Y240" s="44">
        <f t="shared" si="39"/>
        <v>56401301</v>
      </c>
      <c r="AB240" s="44">
        <f t="shared" si="41"/>
        <v>0</v>
      </c>
    </row>
    <row r="241" spans="1:28" ht="12.75" customHeight="1" x14ac:dyDescent="0.2">
      <c r="A241" s="44" t="s">
        <v>265</v>
      </c>
      <c r="C241" s="44" t="s">
        <v>27</v>
      </c>
      <c r="E241" s="143">
        <f t="shared" si="37"/>
        <v>15245048</v>
      </c>
      <c r="G241" s="44">
        <f>11265445+10832281</f>
        <v>22097726</v>
      </c>
      <c r="I241" s="44">
        <v>25733</v>
      </c>
      <c r="K241" s="44">
        <v>37368507</v>
      </c>
      <c r="M241" s="44">
        <f t="shared" si="38"/>
        <v>23177943</v>
      </c>
      <c r="O241" s="44">
        <v>11411235</v>
      </c>
      <c r="Q241" s="44">
        <v>34589178</v>
      </c>
      <c r="S241" s="44">
        <v>-1396664</v>
      </c>
      <c r="U241" s="44">
        <f>1553049+133539+477528+130420+147844+183607+430731</f>
        <v>3056718</v>
      </c>
      <c r="W241" s="44">
        <v>1119275</v>
      </c>
      <c r="Y241" s="44">
        <f t="shared" si="39"/>
        <v>2779329</v>
      </c>
      <c r="AB241" s="44">
        <f t="shared" si="41"/>
        <v>0</v>
      </c>
    </row>
    <row r="242" spans="1:28" ht="12.75" customHeight="1" x14ac:dyDescent="0.2">
      <c r="A242" s="44" t="s">
        <v>514</v>
      </c>
      <c r="C242" s="44" t="s">
        <v>451</v>
      </c>
      <c r="E242" s="143">
        <f t="shared" si="37"/>
        <v>8359051</v>
      </c>
      <c r="G242" s="44">
        <f>1078475+22003191</f>
        <v>23081666</v>
      </c>
      <c r="I242" s="44">
        <v>256086</v>
      </c>
      <c r="K242" s="44">
        <v>31696803</v>
      </c>
      <c r="M242" s="44">
        <f t="shared" si="38"/>
        <v>4049259</v>
      </c>
      <c r="O242" s="44">
        <v>14226389</v>
      </c>
      <c r="Q242" s="44">
        <v>18275648</v>
      </c>
      <c r="S242" s="44">
        <v>8881583</v>
      </c>
      <c r="U242" s="44">
        <f>1085419+1029623+1275369</f>
        <v>3390411</v>
      </c>
      <c r="W242" s="44">
        <v>1149161</v>
      </c>
      <c r="Y242" s="44">
        <f t="shared" si="39"/>
        <v>13421155</v>
      </c>
      <c r="AB242" s="44">
        <f t="shared" si="41"/>
        <v>0</v>
      </c>
    </row>
    <row r="243" spans="1:28" ht="12.75" customHeight="1" x14ac:dyDescent="0.2">
      <c r="A243" s="44" t="s">
        <v>515</v>
      </c>
      <c r="C243" s="44" t="s">
        <v>163</v>
      </c>
      <c r="E243" s="143">
        <f t="shared" si="37"/>
        <v>3287268</v>
      </c>
      <c r="G243" s="44">
        <f>2649982+12889111</f>
        <v>15539093</v>
      </c>
      <c r="I243" s="44">
        <v>0</v>
      </c>
      <c r="K243" s="44">
        <v>18826361</v>
      </c>
      <c r="M243" s="44">
        <f t="shared" si="38"/>
        <v>3287735</v>
      </c>
      <c r="O243" s="44">
        <v>1796955</v>
      </c>
      <c r="Q243" s="44">
        <v>5084690</v>
      </c>
      <c r="S243" s="44">
        <v>11388564</v>
      </c>
      <c r="U243" s="44">
        <f>568032+109919+183678</f>
        <v>861629</v>
      </c>
      <c r="W243" s="44">
        <v>1491478</v>
      </c>
      <c r="Y243" s="44">
        <f t="shared" si="39"/>
        <v>13741671</v>
      </c>
      <c r="AB243" s="44">
        <f t="shared" si="41"/>
        <v>0</v>
      </c>
    </row>
    <row r="244" spans="1:28" ht="12.75" customHeight="1" x14ac:dyDescent="0.2">
      <c r="A244" s="44" t="s">
        <v>266</v>
      </c>
      <c r="C244" s="44" t="s">
        <v>267</v>
      </c>
      <c r="E244" s="143">
        <f t="shared" si="37"/>
        <v>5062998</v>
      </c>
      <c r="G244" s="44">
        <f>897120+12127291</f>
        <v>13024411</v>
      </c>
      <c r="I244" s="44">
        <v>0</v>
      </c>
      <c r="K244" s="44">
        <v>18087409</v>
      </c>
      <c r="M244" s="44">
        <f t="shared" si="38"/>
        <v>773501</v>
      </c>
      <c r="O244" s="44">
        <v>2921228</v>
      </c>
      <c r="Q244" s="44">
        <v>3694729</v>
      </c>
      <c r="S244" s="44">
        <v>10144411</v>
      </c>
      <c r="U244" s="44">
        <v>1640912</v>
      </c>
      <c r="W244" s="44">
        <v>2607357</v>
      </c>
      <c r="Y244" s="44">
        <f t="shared" si="39"/>
        <v>14392680</v>
      </c>
      <c r="AB244" s="44">
        <f t="shared" si="41"/>
        <v>0</v>
      </c>
    </row>
    <row r="245" spans="1:28" ht="12.75" customHeight="1" x14ac:dyDescent="0.2">
      <c r="A245" s="44" t="s">
        <v>268</v>
      </c>
      <c r="C245" s="44" t="s">
        <v>269</v>
      </c>
      <c r="E245" s="143">
        <f t="shared" si="37"/>
        <v>2518781</v>
      </c>
      <c r="G245" s="44">
        <f>239268+3454258</f>
        <v>3693526</v>
      </c>
      <c r="I245" s="44">
        <v>0</v>
      </c>
      <c r="K245" s="44">
        <v>6212307</v>
      </c>
      <c r="M245" s="44">
        <f t="shared" si="38"/>
        <v>1525440</v>
      </c>
      <c r="O245" s="44">
        <v>167958</v>
      </c>
      <c r="Q245" s="44">
        <v>1693398</v>
      </c>
      <c r="S245" s="44">
        <v>2936623</v>
      </c>
      <c r="U245" s="44">
        <f>246078+164190+164182+264466</f>
        <v>838916</v>
      </c>
      <c r="W245" s="44">
        <v>743370</v>
      </c>
      <c r="Y245" s="44">
        <f t="shared" si="39"/>
        <v>4518909</v>
      </c>
      <c r="AB245" s="44">
        <f t="shared" si="41"/>
        <v>0</v>
      </c>
    </row>
    <row r="246" spans="1:28" ht="12.75" customHeight="1" x14ac:dyDescent="0.2">
      <c r="A246" s="44" t="s">
        <v>270</v>
      </c>
      <c r="C246" s="44" t="s">
        <v>136</v>
      </c>
      <c r="E246" s="143">
        <f t="shared" si="37"/>
        <v>5280561</v>
      </c>
      <c r="G246" s="44">
        <f>184691+1458650</f>
        <v>1643341</v>
      </c>
      <c r="I246" s="44">
        <v>0</v>
      </c>
      <c r="K246" s="44">
        <v>6923902</v>
      </c>
      <c r="M246" s="44">
        <f t="shared" si="38"/>
        <v>492043</v>
      </c>
      <c r="O246" s="44">
        <v>169565</v>
      </c>
      <c r="Q246" s="44">
        <v>661608</v>
      </c>
      <c r="S246" s="44">
        <v>1510690</v>
      </c>
      <c r="U246" s="44">
        <f>649696+59650+29016+767249+2859347+880+250238+121862</f>
        <v>4737938</v>
      </c>
      <c r="W246" s="44">
        <v>13666</v>
      </c>
      <c r="Y246" s="44">
        <f t="shared" si="39"/>
        <v>6262294</v>
      </c>
      <c r="AB246" s="44">
        <f>+K246-Q246-Y246</f>
        <v>0</v>
      </c>
    </row>
    <row r="247" spans="1:28" ht="12.75" customHeight="1" x14ac:dyDescent="0.2">
      <c r="A247" s="44" t="s">
        <v>271</v>
      </c>
      <c r="C247" s="44" t="s">
        <v>66</v>
      </c>
      <c r="E247" s="143">
        <f t="shared" si="37"/>
        <v>7077926</v>
      </c>
      <c r="G247" s="44">
        <f>4537269+15177136</f>
        <v>19714405</v>
      </c>
      <c r="I247" s="44">
        <v>0</v>
      </c>
      <c r="K247" s="44">
        <v>26792331</v>
      </c>
      <c r="M247" s="44">
        <f t="shared" si="38"/>
        <v>3629141</v>
      </c>
      <c r="O247" s="44">
        <v>3367348</v>
      </c>
      <c r="Q247" s="44">
        <v>6996489</v>
      </c>
      <c r="S247" s="44">
        <v>15051533</v>
      </c>
      <c r="U247" s="44">
        <f>14410+331732+98724+231817+827737</f>
        <v>1504420</v>
      </c>
      <c r="W247" s="44">
        <v>3239889</v>
      </c>
      <c r="Y247" s="44">
        <f t="shared" si="39"/>
        <v>19795842</v>
      </c>
      <c r="AB247" s="44">
        <f t="shared" si="41"/>
        <v>0</v>
      </c>
    </row>
    <row r="248" spans="1:28" ht="12.75" customHeight="1" x14ac:dyDescent="0.2">
      <c r="A248" s="44" t="s">
        <v>272</v>
      </c>
      <c r="C248" s="44" t="s">
        <v>43</v>
      </c>
      <c r="E248" s="143">
        <f t="shared" si="37"/>
        <v>79072844</v>
      </c>
      <c r="G248" s="44">
        <f>145938187+76098300</f>
        <v>222036487</v>
      </c>
      <c r="I248" s="44">
        <v>780737</v>
      </c>
      <c r="K248" s="44">
        <v>301890068</v>
      </c>
      <c r="M248" s="44">
        <f t="shared" si="38"/>
        <v>22969937</v>
      </c>
      <c r="O248" s="44">
        <v>30022233</v>
      </c>
      <c r="Q248" s="44">
        <v>52992170</v>
      </c>
      <c r="S248" s="44">
        <v>189865503</v>
      </c>
      <c r="U248" s="44">
        <f>5431308+140895+4122599+2939053+1246614+537235</f>
        <v>14417704</v>
      </c>
      <c r="W248" s="44">
        <v>44614691</v>
      </c>
      <c r="Y248" s="44">
        <f t="shared" si="39"/>
        <v>248897898</v>
      </c>
      <c r="AB248" s="44">
        <f t="shared" si="41"/>
        <v>0</v>
      </c>
    </row>
    <row r="249" spans="1:28" ht="12.75" customHeight="1" x14ac:dyDescent="0.2">
      <c r="A249" s="44" t="s">
        <v>273</v>
      </c>
      <c r="C249" s="44" t="s">
        <v>27</v>
      </c>
      <c r="E249" s="143">
        <f t="shared" si="37"/>
        <v>92556235</v>
      </c>
      <c r="G249" s="44">
        <f>21966660+120564086</f>
        <v>142530746</v>
      </c>
      <c r="I249" s="44">
        <v>542239</v>
      </c>
      <c r="K249" s="44">
        <v>235629220</v>
      </c>
      <c r="M249" s="44">
        <f t="shared" si="38"/>
        <v>17921601</v>
      </c>
      <c r="O249" s="44">
        <v>24723674</v>
      </c>
      <c r="Q249" s="44">
        <v>42645275</v>
      </c>
      <c r="S249" s="44">
        <v>120680890</v>
      </c>
      <c r="U249" s="44">
        <f>24931537+5127841+1668894+1153818+518802+1093806+281008+4477999</f>
        <v>39253705</v>
      </c>
      <c r="W249" s="44">
        <v>33049350</v>
      </c>
      <c r="Y249" s="44">
        <f t="shared" si="39"/>
        <v>192983945</v>
      </c>
      <c r="AB249" s="44">
        <f t="shared" si="41"/>
        <v>0</v>
      </c>
    </row>
    <row r="250" spans="1:28" ht="12.75" customHeight="1" x14ac:dyDescent="0.2">
      <c r="A250" s="44" t="s">
        <v>274</v>
      </c>
      <c r="C250" s="44" t="s">
        <v>43</v>
      </c>
      <c r="E250" s="143">
        <f t="shared" si="37"/>
        <v>17453676</v>
      </c>
      <c r="G250" s="44">
        <f>1936482+21951100</f>
        <v>23887582</v>
      </c>
      <c r="I250" s="44">
        <v>30845</v>
      </c>
      <c r="K250" s="44">
        <v>41372103</v>
      </c>
      <c r="M250" s="44">
        <f t="shared" si="38"/>
        <v>3983598</v>
      </c>
      <c r="O250" s="44">
        <v>1887394</v>
      </c>
      <c r="Q250" s="44">
        <v>5870992</v>
      </c>
      <c r="S250" s="44">
        <v>22542878</v>
      </c>
      <c r="U250" s="44">
        <f>98510+1716659+304055+590135+1070003</f>
        <v>3779362</v>
      </c>
      <c r="W250" s="44">
        <v>9178871</v>
      </c>
      <c r="Y250" s="44">
        <f t="shared" si="39"/>
        <v>35501111</v>
      </c>
      <c r="AB250" s="44">
        <f t="shared" si="41"/>
        <v>0</v>
      </c>
    </row>
    <row r="251" spans="1:28" ht="12.75" customHeight="1" x14ac:dyDescent="0.2">
      <c r="A251" s="44" t="s">
        <v>275</v>
      </c>
      <c r="C251" s="44" t="s">
        <v>92</v>
      </c>
      <c r="E251" s="143">
        <f t="shared" si="37"/>
        <v>16672874</v>
      </c>
      <c r="G251" s="44">
        <f>19066338+70206973</f>
        <v>89273311</v>
      </c>
      <c r="K251" s="44">
        <v>105946185</v>
      </c>
      <c r="M251" s="44">
        <f t="shared" si="38"/>
        <v>3699785</v>
      </c>
      <c r="O251" s="44">
        <v>3302387</v>
      </c>
      <c r="Q251" s="44">
        <v>7002172</v>
      </c>
      <c r="S251" s="44">
        <v>87276214</v>
      </c>
      <c r="U251" s="44">
        <f>584973+136701+1015464</f>
        <v>1737138</v>
      </c>
      <c r="W251" s="44">
        <v>9930661</v>
      </c>
      <c r="Y251" s="44">
        <f t="shared" si="39"/>
        <v>98944013</v>
      </c>
      <c r="AB251" s="44">
        <f t="shared" si="41"/>
        <v>0</v>
      </c>
    </row>
    <row r="252" spans="1:28" ht="12.75" customHeight="1" x14ac:dyDescent="0.2">
      <c r="A252" s="44" t="s">
        <v>276</v>
      </c>
      <c r="C252" s="44" t="s">
        <v>38</v>
      </c>
      <c r="E252" s="143">
        <f t="shared" si="37"/>
        <v>8061353</v>
      </c>
      <c r="G252" s="44">
        <f>1458892+8297449</f>
        <v>9756341</v>
      </c>
      <c r="K252" s="44">
        <v>17817694</v>
      </c>
      <c r="M252" s="44">
        <f t="shared" si="38"/>
        <v>1401987</v>
      </c>
      <c r="O252" s="44">
        <v>1021621</v>
      </c>
      <c r="Q252" s="44">
        <v>2423608</v>
      </c>
      <c r="S252" s="44">
        <v>8290815</v>
      </c>
      <c r="U252" s="44">
        <f>1336409+595721+6325+1575000+468232+16607+79206</f>
        <v>4077500</v>
      </c>
      <c r="W252" s="44">
        <v>3025771</v>
      </c>
      <c r="Y252" s="44">
        <f t="shared" si="39"/>
        <v>15394086</v>
      </c>
      <c r="AB252" s="44">
        <f t="shared" si="41"/>
        <v>0</v>
      </c>
    </row>
    <row r="253" spans="1:28" ht="12.75" customHeight="1" x14ac:dyDescent="0.2">
      <c r="A253" s="44" t="s">
        <v>277</v>
      </c>
      <c r="C253" s="44" t="s">
        <v>92</v>
      </c>
      <c r="E253" s="143">
        <f t="shared" si="37"/>
        <v>32155124</v>
      </c>
      <c r="G253" s="44">
        <f>12440556+53057214</f>
        <v>65497770</v>
      </c>
      <c r="I253" s="44">
        <v>99016</v>
      </c>
      <c r="K253" s="44">
        <v>97751910</v>
      </c>
      <c r="M253" s="44">
        <f t="shared" si="38"/>
        <v>16748793</v>
      </c>
      <c r="O253" s="44">
        <v>13807366</v>
      </c>
      <c r="Q253" s="44">
        <v>30556159</v>
      </c>
      <c r="S253" s="44">
        <v>47342597</v>
      </c>
      <c r="U253" s="44">
        <f>3694234+4383732+1885412+1221784+671589+84501+249392</f>
        <v>12190644</v>
      </c>
      <c r="W253" s="44">
        <v>7662510</v>
      </c>
      <c r="Y253" s="44">
        <f t="shared" si="39"/>
        <v>67195751</v>
      </c>
      <c r="AB253" s="44">
        <f t="shared" si="41"/>
        <v>0</v>
      </c>
    </row>
    <row r="254" spans="1:28" ht="12.75" customHeight="1" x14ac:dyDescent="0.2">
      <c r="A254" s="44" t="s">
        <v>278</v>
      </c>
      <c r="C254" s="44" t="s">
        <v>92</v>
      </c>
      <c r="E254" s="143">
        <f t="shared" si="37"/>
        <v>6784632</v>
      </c>
      <c r="G254" s="44">
        <f>279700+12483045</f>
        <v>12762745</v>
      </c>
      <c r="I254" s="44">
        <v>7027</v>
      </c>
      <c r="K254" s="44">
        <v>19554404</v>
      </c>
      <c r="M254" s="44">
        <f t="shared" si="38"/>
        <v>3086053</v>
      </c>
      <c r="O254" s="44">
        <v>3595100</v>
      </c>
      <c r="Q254" s="44">
        <v>6681153</v>
      </c>
      <c r="S254" s="44">
        <v>9234868</v>
      </c>
      <c r="U254" s="44">
        <f>110150+45844+300666+300703+227080+1030164</f>
        <v>2014607</v>
      </c>
      <c r="W254" s="44">
        <v>1623776</v>
      </c>
      <c r="Y254" s="44">
        <f t="shared" si="39"/>
        <v>12873251</v>
      </c>
      <c r="AB254" s="44">
        <f t="shared" si="41"/>
        <v>0</v>
      </c>
    </row>
    <row r="255" spans="1:28" ht="12.75" customHeight="1" x14ac:dyDescent="0.2">
      <c r="A255" s="44" t="s">
        <v>279</v>
      </c>
      <c r="C255" s="44" t="s">
        <v>92</v>
      </c>
      <c r="E255" s="143">
        <f t="shared" si="37"/>
        <v>13612803</v>
      </c>
      <c r="G255" s="44">
        <f>1107022+31256470</f>
        <v>32363492</v>
      </c>
      <c r="I255" s="44">
        <v>0</v>
      </c>
      <c r="K255" s="44">
        <v>45976295</v>
      </c>
      <c r="M255" s="44">
        <f t="shared" si="38"/>
        <v>6045243</v>
      </c>
      <c r="O255" s="44">
        <v>2907314</v>
      </c>
      <c r="Q255" s="44">
        <v>8952557</v>
      </c>
      <c r="S255" s="44">
        <v>29593822</v>
      </c>
      <c r="U255" s="44">
        <f>1698820+212968+2124841</f>
        <v>4036629</v>
      </c>
      <c r="W255" s="44">
        <v>3393287</v>
      </c>
      <c r="Y255" s="44">
        <f t="shared" si="39"/>
        <v>37023738</v>
      </c>
      <c r="AB255" s="44">
        <f t="shared" si="41"/>
        <v>0</v>
      </c>
    </row>
    <row r="256" spans="1:28" ht="12.75" customHeight="1" x14ac:dyDescent="0.2">
      <c r="A256" s="44" t="s">
        <v>280</v>
      </c>
      <c r="C256" s="44" t="s">
        <v>281</v>
      </c>
      <c r="E256" s="143">
        <f t="shared" si="37"/>
        <v>9264383</v>
      </c>
      <c r="G256" s="44">
        <f>2569198+13309878</f>
        <v>15879076</v>
      </c>
      <c r="K256" s="44">
        <v>25143459</v>
      </c>
      <c r="M256" s="44">
        <f t="shared" si="38"/>
        <v>4305909</v>
      </c>
      <c r="O256" s="44">
        <v>6591899</v>
      </c>
      <c r="Q256" s="44">
        <v>10897808</v>
      </c>
      <c r="S256" s="44">
        <v>10149040</v>
      </c>
      <c r="U256" s="44">
        <f>160776+94651+682164+718763+10373+35000</f>
        <v>1701727</v>
      </c>
      <c r="W256" s="44">
        <v>2394884</v>
      </c>
      <c r="Y256" s="44">
        <f t="shared" si="39"/>
        <v>14245651</v>
      </c>
      <c r="AB256" s="44">
        <f t="shared" si="41"/>
        <v>0</v>
      </c>
    </row>
    <row r="257" spans="1:28" ht="12.75" customHeight="1" x14ac:dyDescent="0.2">
      <c r="A257" s="44" t="s">
        <v>282</v>
      </c>
      <c r="C257" s="44" t="s">
        <v>199</v>
      </c>
      <c r="E257" s="143">
        <f t="shared" si="37"/>
        <v>24862463</v>
      </c>
      <c r="G257" s="44">
        <v>47667836</v>
      </c>
      <c r="I257" s="44">
        <v>1988340</v>
      </c>
      <c r="K257" s="44">
        <v>74518639</v>
      </c>
      <c r="M257" s="44">
        <f t="shared" si="38"/>
        <v>5060031</v>
      </c>
      <c r="O257" s="44">
        <v>5431264</v>
      </c>
      <c r="Q257" s="44">
        <v>10491295</v>
      </c>
      <c r="S257" s="44">
        <v>43436450</v>
      </c>
      <c r="U257" s="44">
        <f>1245097+3064341+1496160+2868541</f>
        <v>8674139</v>
      </c>
      <c r="W257" s="44">
        <v>11916755</v>
      </c>
      <c r="Y257" s="44">
        <f t="shared" si="39"/>
        <v>64027344</v>
      </c>
      <c r="AB257" s="44">
        <f t="shared" si="41"/>
        <v>0</v>
      </c>
    </row>
    <row r="258" spans="1:28" ht="12.75" customHeight="1" x14ac:dyDescent="0.2">
      <c r="A258" s="44" t="s">
        <v>283</v>
      </c>
      <c r="C258" s="44" t="s">
        <v>43</v>
      </c>
      <c r="E258" s="143">
        <f t="shared" si="37"/>
        <v>21332689</v>
      </c>
      <c r="G258" s="44">
        <f>7390687+33051873</f>
        <v>40442560</v>
      </c>
      <c r="I258" s="44">
        <v>0</v>
      </c>
      <c r="K258" s="44">
        <v>61775249</v>
      </c>
      <c r="M258" s="44">
        <f t="shared" si="38"/>
        <v>7159538</v>
      </c>
      <c r="O258" s="44">
        <v>7176521</v>
      </c>
      <c r="Q258" s="44">
        <v>14336059</v>
      </c>
      <c r="S258" s="44">
        <v>31927560</v>
      </c>
      <c r="U258" s="44">
        <f>6505049+949522+1315647</f>
        <v>8770218</v>
      </c>
      <c r="W258" s="44">
        <v>6741412</v>
      </c>
      <c r="Y258" s="44">
        <f t="shared" si="39"/>
        <v>47439190</v>
      </c>
      <c r="AB258" s="44">
        <f t="shared" si="41"/>
        <v>0</v>
      </c>
    </row>
    <row r="259" spans="1:28" ht="12.75" customHeight="1" x14ac:dyDescent="0.2">
      <c r="A259" s="44" t="s">
        <v>284</v>
      </c>
      <c r="C259" s="44" t="s">
        <v>45</v>
      </c>
      <c r="E259" s="143">
        <f t="shared" si="37"/>
        <v>9998023</v>
      </c>
      <c r="G259" s="44">
        <f>9504496+20553949</f>
        <v>30058445</v>
      </c>
      <c r="K259" s="44">
        <v>40056468</v>
      </c>
      <c r="M259" s="44">
        <f t="shared" si="38"/>
        <v>3652146</v>
      </c>
      <c r="O259" s="44">
        <v>12018875</v>
      </c>
      <c r="Q259" s="44">
        <v>15671021</v>
      </c>
      <c r="S259" s="44">
        <v>18943615</v>
      </c>
      <c r="U259" s="44">
        <f>398510+90963+47957</f>
        <v>537430</v>
      </c>
      <c r="W259" s="44">
        <v>4904402</v>
      </c>
      <c r="Y259" s="44">
        <f t="shared" si="39"/>
        <v>24385447</v>
      </c>
      <c r="AB259" s="44">
        <f t="shared" si="41"/>
        <v>0</v>
      </c>
    </row>
    <row r="260" spans="1:28" ht="12.75" customHeight="1" x14ac:dyDescent="0.2">
      <c r="A260" s="44" t="s">
        <v>285</v>
      </c>
      <c r="C260" s="44" t="s">
        <v>30</v>
      </c>
      <c r="E260" s="143">
        <f t="shared" si="37"/>
        <v>15359589</v>
      </c>
      <c r="G260" s="44">
        <f>17836050+18937654</f>
        <v>36773704</v>
      </c>
      <c r="K260" s="44">
        <v>52133293</v>
      </c>
      <c r="M260" s="44">
        <f t="shared" si="38"/>
        <v>3681401</v>
      </c>
      <c r="O260" s="44">
        <v>3862440</v>
      </c>
      <c r="Q260" s="44">
        <v>7543841</v>
      </c>
      <c r="S260" s="44">
        <v>34113956</v>
      </c>
      <c r="U260" s="44">
        <f>3060601+58633+204977+3228424+1635430</f>
        <v>8188065</v>
      </c>
      <c r="W260" s="44">
        <v>2287431</v>
      </c>
      <c r="Y260" s="44">
        <f t="shared" si="39"/>
        <v>44589452</v>
      </c>
      <c r="AB260" s="44">
        <f t="shared" si="41"/>
        <v>0</v>
      </c>
    </row>
    <row r="261" spans="1:28" ht="12.75" customHeight="1" x14ac:dyDescent="0.2">
      <c r="A261" s="44" t="s">
        <v>286</v>
      </c>
      <c r="C261" s="44" t="s">
        <v>61</v>
      </c>
      <c r="E261" s="143">
        <f t="shared" si="37"/>
        <v>35010623</v>
      </c>
      <c r="G261" s="44">
        <f>14722784+96926412</f>
        <v>111649196</v>
      </c>
      <c r="I261" s="44">
        <v>418046</v>
      </c>
      <c r="K261" s="44">
        <v>147077865</v>
      </c>
      <c r="M261" s="44">
        <f t="shared" si="38"/>
        <v>22602752</v>
      </c>
      <c r="O261" s="44">
        <v>26912707</v>
      </c>
      <c r="Q261" s="44">
        <v>49515459</v>
      </c>
      <c r="S261" s="44">
        <v>90833483</v>
      </c>
      <c r="U261" s="44">
        <f>3000841+4954161+4439537+1507552+90889+197715+751688</f>
        <v>14942383</v>
      </c>
      <c r="W261" s="44">
        <v>-8213460</v>
      </c>
      <c r="Y261" s="44">
        <f t="shared" si="39"/>
        <v>97562406</v>
      </c>
      <c r="AB261" s="44">
        <f t="shared" si="41"/>
        <v>0</v>
      </c>
    </row>
    <row r="262" spans="1:28" ht="12.75" customHeight="1" x14ac:dyDescent="0.2">
      <c r="A262" s="44" t="s">
        <v>287</v>
      </c>
      <c r="C262" s="44" t="s">
        <v>288</v>
      </c>
      <c r="E262" s="143">
        <f t="shared" si="37"/>
        <v>15121077</v>
      </c>
      <c r="G262" s="44">
        <f>5080497+15258432</f>
        <v>20338929</v>
      </c>
      <c r="I262" s="44">
        <v>63871</v>
      </c>
      <c r="K262" s="44">
        <v>35523877</v>
      </c>
      <c r="M262" s="44">
        <f t="shared" si="38"/>
        <v>5075574</v>
      </c>
      <c r="O262" s="44">
        <v>6016977</v>
      </c>
      <c r="Q262" s="44">
        <v>11092551</v>
      </c>
      <c r="S262" s="44">
        <v>14263877</v>
      </c>
      <c r="U262" s="44">
        <f>712282+78994+1065910+519952+752518+386025+79334+308439+663769+146979</f>
        <v>4714202</v>
      </c>
      <c r="W262" s="44">
        <v>5453247</v>
      </c>
      <c r="Y262" s="44">
        <f t="shared" si="39"/>
        <v>24431326</v>
      </c>
      <c r="AB262" s="44">
        <f t="shared" si="41"/>
        <v>0</v>
      </c>
    </row>
  </sheetData>
  <mergeCells count="3">
    <mergeCell ref="S6:W6"/>
    <mergeCell ref="M6:O6"/>
    <mergeCell ref="E6:I6"/>
  </mergeCells>
  <phoneticPr fontId="4" type="noConversion"/>
  <printOptions horizontalCentered="1"/>
  <pageMargins left="0.75" right="0.75" top="0.5" bottom="0.5" header="0" footer="0.25"/>
  <pageSetup scale="86" firstPageNumber="4" pageOrder="overThenDown" orientation="portrait" useFirstPageNumber="1" r:id="rId1"/>
  <headerFooter alignWithMargins="0">
    <oddFooter>&amp;C&amp;"Times New Roman,Regular"&amp;11&amp;P</oddFooter>
  </headerFooter>
  <rowBreaks count="4" manualBreakCount="4">
    <brk id="65" max="24" man="1"/>
    <brk id="123" max="24" man="1"/>
    <brk id="177" max="24" man="1"/>
    <brk id="232" max="24" man="1"/>
  </rowBreaks>
  <colBreaks count="1" manualBreakCount="1">
    <brk id="12" min="9" max="25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U350"/>
  <sheetViews>
    <sheetView view="pageBreakPreview" zoomScale="80" zoomScaleNormal="100" zoomScaleSheetLayoutView="80" workbookViewId="0">
      <pane xSplit="3" ySplit="10" topLeftCell="AZ11" activePane="bottomRight" state="frozen"/>
      <selection pane="topRight" activeCell="D1" sqref="D1"/>
      <selection pane="bottomLeft" activeCell="A11" sqref="A11"/>
      <selection pane="bottomRight" activeCell="BB9" sqref="BB9"/>
    </sheetView>
  </sheetViews>
  <sheetFormatPr defaultColWidth="0" defaultRowHeight="12.75" customHeight="1" x14ac:dyDescent="0.2"/>
  <cols>
    <col min="1" max="1" width="19.140625" style="5" customWidth="1"/>
    <col min="2" max="2" width="2.140625" customWidth="1"/>
    <col min="3" max="3" width="11.42578125" style="5" customWidth="1"/>
    <col min="4" max="4" width="1.85546875" style="2" customWidth="1"/>
    <col min="5" max="5" width="12.7109375" style="5" bestFit="1" customWidth="1"/>
    <col min="6" max="6" width="2" style="5" customWidth="1"/>
    <col min="7" max="7" width="13.7109375" style="5" bestFit="1" customWidth="1"/>
    <col min="8" max="8" width="2" style="5" customWidth="1"/>
    <col min="9" max="9" width="13.42578125" style="5" bestFit="1" customWidth="1"/>
    <col min="10" max="10" width="2" style="5" customWidth="1"/>
    <col min="11" max="11" width="11.7109375" style="5" customWidth="1"/>
    <col min="12" max="12" width="2" style="5" customWidth="1"/>
    <col min="13" max="13" width="12.42578125" style="5" bestFit="1" customWidth="1"/>
    <col min="14" max="14" width="2.140625" style="5" customWidth="1"/>
    <col min="15" max="15" width="12.42578125" style="5" bestFit="1" customWidth="1"/>
    <col min="16" max="16" width="2.7109375" style="5" customWidth="1"/>
    <col min="17" max="17" width="12.42578125" style="5" bestFit="1" customWidth="1"/>
    <col min="18" max="18" width="1.7109375" style="5" customWidth="1"/>
    <col min="19" max="19" width="11.7109375" style="5" customWidth="1"/>
    <col min="20" max="20" width="1.7109375" style="5" customWidth="1"/>
    <col min="21" max="21" width="11.7109375" style="5" customWidth="1"/>
    <col min="22" max="22" width="1.7109375" style="5" customWidth="1"/>
    <col min="23" max="23" width="13.7109375" style="5" bestFit="1" customWidth="1"/>
    <col min="24" max="24" width="1.7109375" customWidth="1"/>
    <col min="25" max="25" width="25" customWidth="1"/>
    <col min="26" max="26" width="19.140625" style="5" customWidth="1"/>
    <col min="27" max="27" width="1.7109375" style="10" customWidth="1"/>
    <col min="28" max="28" width="11.140625" style="5" customWidth="1"/>
    <col min="29" max="29" width="1.7109375" customWidth="1"/>
    <col min="30" max="30" width="12.42578125" style="5" bestFit="1" customWidth="1"/>
    <col min="31" max="31" width="1.7109375" style="5" customWidth="1"/>
    <col min="32" max="32" width="11.7109375" style="5" customWidth="1"/>
    <col min="33" max="33" width="1.7109375" style="5" customWidth="1"/>
    <col min="34" max="34" width="11.7109375" style="5" customWidth="1"/>
    <col min="35" max="35" width="1.7109375" style="5" customWidth="1"/>
    <col min="36" max="36" width="11.7109375" style="5" customWidth="1"/>
    <col min="37" max="37" width="1.7109375" style="5" customWidth="1"/>
    <col min="38" max="38" width="11.7109375" style="5" customWidth="1"/>
    <col min="39" max="39" width="2.7109375" style="5" customWidth="1"/>
    <col min="40" max="40" width="11.42578125" customWidth="1"/>
    <col min="41" max="41" width="1.7109375" customWidth="1"/>
    <col min="42" max="42" width="11.28515625" customWidth="1"/>
    <col min="43" max="43" width="1.7109375" customWidth="1"/>
    <col min="44" max="44" width="10.140625" customWidth="1"/>
    <col min="45" max="45" width="1.7109375" customWidth="1"/>
    <col min="46" max="46" width="11.42578125" bestFit="1" customWidth="1"/>
    <col min="47" max="47" width="1.7109375" customWidth="1"/>
    <col min="48" max="48" width="10.28515625" hidden="1" customWidth="1"/>
    <col min="49" max="49" width="1.7109375" hidden="1" customWidth="1"/>
    <col min="50" max="50" width="9.7109375" hidden="1" customWidth="1"/>
    <col min="51" max="51" width="1.7109375" hidden="1" customWidth="1"/>
    <col min="52" max="52" width="11.7109375" style="57" customWidth="1"/>
    <col min="53" max="53" width="18.28515625" customWidth="1"/>
    <col min="54" max="54" width="19.28515625" style="55" customWidth="1"/>
    <col min="55" max="55" width="1.42578125" style="55" customWidth="1"/>
    <col min="56" max="56" width="11" style="55" customWidth="1"/>
    <col min="57" max="57" width="1.42578125" style="55" customWidth="1"/>
    <col min="58" max="58" width="12.42578125" style="55" bestFit="1" customWidth="1"/>
    <col min="59" max="59" width="1.42578125" style="55" customWidth="1"/>
    <col min="60" max="60" width="12.7109375" style="55" bestFit="1" customWidth="1"/>
    <col min="61" max="61" width="1.42578125" style="55" customWidth="1"/>
    <col min="62" max="62" width="12.140625" style="55" bestFit="1" customWidth="1"/>
    <col min="63" max="63" width="1.42578125" style="55" customWidth="1"/>
    <col min="64" max="64" width="11.7109375" style="55" bestFit="1" customWidth="1"/>
    <col min="65" max="65" width="1.42578125" style="55" customWidth="1"/>
    <col min="66" max="66" width="12.42578125" style="55" bestFit="1" customWidth="1"/>
    <col min="67" max="67" width="1.7109375" style="36" customWidth="1"/>
    <col min="68" max="68" width="11.7109375" style="36" customWidth="1"/>
    <col min="69" max="69" width="1.7109375" style="36" customWidth="1"/>
    <col min="70" max="72" width="8.42578125" style="36" customWidth="1"/>
    <col min="73" max="73" width="8.42578125" style="83" customWidth="1"/>
    <col min="74" max="95" width="8.42578125" style="36" customWidth="1"/>
    <col min="96" max="228" width="8.42578125" style="5" hidden="1" customWidth="1"/>
    <col min="229" max="16384" width="8.42578125" style="61" hidden="1"/>
  </cols>
  <sheetData>
    <row r="1" spans="1:229" s="22" customFormat="1" ht="12.75" customHeight="1" x14ac:dyDescent="0.2">
      <c r="A1" s="29" t="s">
        <v>391</v>
      </c>
      <c r="D1" s="2"/>
      <c r="Z1" s="29" t="s">
        <v>391</v>
      </c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/>
      <c r="BB1" s="74" t="s">
        <v>494</v>
      </c>
      <c r="BC1" s="75"/>
      <c r="BD1" s="75"/>
      <c r="BE1" s="35"/>
      <c r="BF1" s="35"/>
      <c r="BG1" s="35"/>
      <c r="BH1" s="35"/>
      <c r="BI1" s="35"/>
      <c r="BJ1" s="35"/>
      <c r="BK1" s="35"/>
      <c r="BL1" s="35"/>
      <c r="BM1" s="35"/>
      <c r="BN1" s="75"/>
      <c r="BO1" s="33"/>
      <c r="BS1" s="39"/>
      <c r="BT1" s="39"/>
      <c r="BU1" s="82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HU1" s="62"/>
    </row>
    <row r="2" spans="1:229" s="22" customFormat="1" ht="12.75" customHeight="1" x14ac:dyDescent="0.2">
      <c r="A2" s="23" t="s">
        <v>472</v>
      </c>
      <c r="D2" s="2"/>
      <c r="Z2" s="23" t="s">
        <v>473</v>
      </c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/>
      <c r="BB2" s="76" t="s">
        <v>348</v>
      </c>
      <c r="BC2" s="75"/>
      <c r="BD2" s="75"/>
      <c r="BE2" s="35"/>
      <c r="BF2" s="35"/>
      <c r="BG2" s="35"/>
      <c r="BH2" s="35"/>
      <c r="BI2" s="35"/>
      <c r="BJ2" s="35"/>
      <c r="BK2" s="35"/>
      <c r="BL2" s="35"/>
      <c r="BM2" s="35"/>
      <c r="BN2" s="75"/>
      <c r="BO2" s="33"/>
      <c r="BS2" s="39"/>
      <c r="BT2" s="39"/>
      <c r="BU2" s="82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HU2" s="62"/>
    </row>
    <row r="3" spans="1:229" s="22" customFormat="1" ht="12.75" customHeight="1" x14ac:dyDescent="0.2">
      <c r="A3" s="29" t="s">
        <v>500</v>
      </c>
      <c r="D3" s="2"/>
      <c r="Z3" s="29" t="s">
        <v>501</v>
      </c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/>
      <c r="BB3" s="74" t="s">
        <v>500</v>
      </c>
      <c r="BC3" s="75"/>
      <c r="BD3" s="75"/>
      <c r="BE3" s="35"/>
      <c r="BF3" s="35"/>
      <c r="BG3" s="35"/>
      <c r="BH3" s="35"/>
      <c r="BI3" s="35"/>
      <c r="BJ3" s="35"/>
      <c r="BK3" s="35"/>
      <c r="BL3" s="35"/>
      <c r="BM3" s="35"/>
      <c r="BN3" s="75"/>
      <c r="BO3" s="33"/>
      <c r="BS3" s="36"/>
      <c r="BT3" s="36"/>
      <c r="BU3" s="83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HU3" s="62"/>
    </row>
    <row r="4" spans="1:229" ht="12.75" customHeight="1" x14ac:dyDescent="0.2">
      <c r="A4" s="22" t="s">
        <v>289</v>
      </c>
      <c r="Z4" s="22" t="s">
        <v>289</v>
      </c>
      <c r="AA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B4" s="75" t="s">
        <v>289</v>
      </c>
      <c r="BC4" s="47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3"/>
      <c r="BP4" s="5"/>
      <c r="BQ4" s="5"/>
      <c r="BR4" s="5"/>
    </row>
    <row r="5" spans="1:229" ht="12.75" hidden="1" customHeight="1" x14ac:dyDescent="0.2"/>
    <row r="6" spans="1:229" ht="12.75" hidden="1" customHeight="1" x14ac:dyDescent="0.2">
      <c r="A6" s="22"/>
      <c r="V6" s="67"/>
      <c r="W6" s="67"/>
      <c r="Z6" s="22"/>
      <c r="AA6" s="5"/>
      <c r="AN6" s="5"/>
      <c r="AO6" s="5"/>
      <c r="AP6" s="5"/>
      <c r="AQ6" s="5"/>
      <c r="AR6" s="5"/>
      <c r="AS6" s="5"/>
      <c r="AT6" s="5"/>
      <c r="AU6" s="5"/>
      <c r="AV6" s="61"/>
      <c r="AW6" s="61"/>
      <c r="AX6" s="61"/>
      <c r="AY6" s="5"/>
      <c r="AZ6" s="5"/>
      <c r="BB6" s="75"/>
      <c r="BC6" s="47"/>
      <c r="BD6" s="35"/>
      <c r="BE6" s="35"/>
      <c r="BF6" s="77"/>
      <c r="BG6" s="77"/>
      <c r="BH6" s="77"/>
      <c r="BI6" s="77"/>
      <c r="BJ6" s="77"/>
      <c r="BK6" s="77"/>
      <c r="BL6" s="77"/>
      <c r="BM6" s="77"/>
      <c r="BN6" s="35"/>
      <c r="BO6" s="33"/>
      <c r="BP6" s="5"/>
      <c r="BQ6" s="5"/>
      <c r="BR6" s="5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</row>
    <row r="7" spans="1:229" ht="12.75" customHeight="1" x14ac:dyDescent="0.2">
      <c r="A7" s="22" t="s">
        <v>484</v>
      </c>
      <c r="Q7" s="159" t="s">
        <v>2</v>
      </c>
      <c r="R7" s="159"/>
      <c r="S7" s="159"/>
      <c r="T7" s="159"/>
      <c r="U7" s="159"/>
      <c r="Z7" s="22" t="s">
        <v>484</v>
      </c>
      <c r="AT7" s="146"/>
      <c r="AV7" s="6" t="s">
        <v>411</v>
      </c>
      <c r="AW7" s="5"/>
      <c r="AX7" s="6" t="s">
        <v>412</v>
      </c>
      <c r="BB7" s="22" t="s">
        <v>484</v>
      </c>
    </row>
    <row r="8" spans="1:229" s="6" customFormat="1" ht="12.75" customHeight="1" x14ac:dyDescent="0.2">
      <c r="D8" s="3"/>
      <c r="Q8" s="6" t="s">
        <v>7</v>
      </c>
      <c r="AV8" s="6" t="s">
        <v>349</v>
      </c>
      <c r="AX8" s="6" t="s">
        <v>349</v>
      </c>
      <c r="BA8"/>
      <c r="BB8" s="8"/>
      <c r="BC8" s="8"/>
      <c r="BD8" s="8"/>
      <c r="BE8" s="8"/>
      <c r="BF8" s="8" t="s">
        <v>296</v>
      </c>
      <c r="BG8" s="8"/>
      <c r="BH8" s="8" t="s">
        <v>350</v>
      </c>
      <c r="BI8" s="8"/>
      <c r="BJ8" s="8"/>
      <c r="BK8" s="8"/>
      <c r="BL8" s="8" t="s">
        <v>294</v>
      </c>
      <c r="BM8" s="8"/>
      <c r="BN8" s="8" t="s">
        <v>6</v>
      </c>
      <c r="BO8" s="33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HU8" s="63"/>
    </row>
    <row r="9" spans="1:229" s="6" customFormat="1" ht="12.75" customHeight="1" x14ac:dyDescent="0.2">
      <c r="E9" s="6" t="s">
        <v>3</v>
      </c>
      <c r="G9" s="6" t="s">
        <v>351</v>
      </c>
      <c r="I9" s="6" t="s">
        <v>6</v>
      </c>
      <c r="K9" s="6" t="s">
        <v>3</v>
      </c>
      <c r="M9" s="6" t="s">
        <v>351</v>
      </c>
      <c r="O9" s="6" t="s">
        <v>6</v>
      </c>
      <c r="Q9" s="6" t="s">
        <v>4</v>
      </c>
      <c r="W9" s="8" t="s">
        <v>6</v>
      </c>
      <c r="AD9" s="6" t="s">
        <v>345</v>
      </c>
      <c r="AF9" s="6" t="s">
        <v>353</v>
      </c>
      <c r="AJ9" s="6" t="s">
        <v>345</v>
      </c>
      <c r="AL9" s="6" t="s">
        <v>354</v>
      </c>
      <c r="AR9" s="6" t="s">
        <v>4</v>
      </c>
      <c r="AT9" s="6" t="s">
        <v>368</v>
      </c>
      <c r="AV9" s="6" t="s">
        <v>413</v>
      </c>
      <c r="AX9" s="6" t="s">
        <v>413</v>
      </c>
      <c r="AZ9" s="6" t="s">
        <v>355</v>
      </c>
      <c r="BA9"/>
      <c r="BB9" s="8"/>
      <c r="BC9" s="8"/>
      <c r="BD9" s="8"/>
      <c r="BE9" s="8"/>
      <c r="BF9" s="8" t="s">
        <v>356</v>
      </c>
      <c r="BG9" s="8"/>
      <c r="BH9" s="8" t="s">
        <v>302</v>
      </c>
      <c r="BI9" s="8"/>
      <c r="BJ9" s="8"/>
      <c r="BK9" s="8"/>
      <c r="BL9" s="8" t="s">
        <v>352</v>
      </c>
      <c r="BM9" s="8"/>
      <c r="BN9" s="8" t="s">
        <v>352</v>
      </c>
      <c r="BO9" s="33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HU9" s="63"/>
    </row>
    <row r="10" spans="1:229" s="8" customFormat="1" ht="12.75" customHeight="1" x14ac:dyDescent="0.2">
      <c r="A10" s="7" t="s">
        <v>8</v>
      </c>
      <c r="C10" s="7" t="s">
        <v>9</v>
      </c>
      <c r="E10" s="7" t="s">
        <v>0</v>
      </c>
      <c r="G10" s="7" t="s">
        <v>0</v>
      </c>
      <c r="I10" s="7" t="s">
        <v>0</v>
      </c>
      <c r="K10" s="7" t="s">
        <v>1</v>
      </c>
      <c r="M10" s="7" t="s">
        <v>1</v>
      </c>
      <c r="O10" s="7" t="s">
        <v>1</v>
      </c>
      <c r="Q10" s="7" t="s">
        <v>0</v>
      </c>
      <c r="S10" s="7" t="s">
        <v>10</v>
      </c>
      <c r="U10" s="7" t="s">
        <v>11</v>
      </c>
      <c r="W10" s="7" t="s">
        <v>2</v>
      </c>
      <c r="Z10" s="7" t="s">
        <v>8</v>
      </c>
      <c r="AB10" s="7" t="s">
        <v>9</v>
      </c>
      <c r="AD10" s="78" t="s">
        <v>302</v>
      </c>
      <c r="AE10" s="78"/>
      <c r="AF10" s="78" t="s">
        <v>357</v>
      </c>
      <c r="AH10" s="78" t="s">
        <v>357</v>
      </c>
      <c r="AJ10" s="78" t="s">
        <v>358</v>
      </c>
      <c r="AL10" s="78" t="s">
        <v>414</v>
      </c>
      <c r="AN10" s="78" t="s">
        <v>359</v>
      </c>
      <c r="AP10" s="78" t="s">
        <v>360</v>
      </c>
      <c r="AR10" s="78" t="s">
        <v>361</v>
      </c>
      <c r="AT10" s="78" t="s">
        <v>2</v>
      </c>
      <c r="AV10" s="7" t="s">
        <v>415</v>
      </c>
      <c r="AX10" s="7" t="s">
        <v>415</v>
      </c>
      <c r="AZ10" s="78" t="s">
        <v>4</v>
      </c>
      <c r="BA10" s="51"/>
      <c r="BB10" s="7" t="s">
        <v>8</v>
      </c>
      <c r="BD10" s="7" t="s">
        <v>9</v>
      </c>
      <c r="BF10" s="78" t="s">
        <v>362</v>
      </c>
      <c r="BH10" s="78" t="s">
        <v>362</v>
      </c>
      <c r="BJ10" s="78" t="s">
        <v>363</v>
      </c>
      <c r="BL10" s="78" t="s">
        <v>364</v>
      </c>
      <c r="BN10" s="7" t="s">
        <v>364</v>
      </c>
      <c r="BO10" s="54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</row>
    <row r="11" spans="1:229" s="8" customFormat="1" ht="12.75" customHeight="1" x14ac:dyDescent="0.2">
      <c r="BA11" s="51"/>
      <c r="BO11" s="54"/>
      <c r="BS11" s="55"/>
      <c r="BT11" s="55"/>
      <c r="BU11" s="84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</row>
    <row r="12" spans="1:229" s="64" customFormat="1" ht="12.75" hidden="1" customHeight="1" x14ac:dyDescent="0.2">
      <c r="A12" s="35" t="s">
        <v>12</v>
      </c>
      <c r="B12" s="51"/>
      <c r="C12" s="35" t="s">
        <v>13</v>
      </c>
      <c r="D12" s="44"/>
      <c r="E12" s="79">
        <f t="shared" ref="E12:E13" si="0">I12-G12</f>
        <v>14369399</v>
      </c>
      <c r="F12" s="79"/>
      <c r="G12" s="79">
        <v>143558938</v>
      </c>
      <c r="H12" s="79"/>
      <c r="I12" s="79">
        <v>157928337</v>
      </c>
      <c r="J12" s="79"/>
      <c r="K12" s="79">
        <f t="shared" ref="K12:K13" si="1">O12-M12</f>
        <v>9500627</v>
      </c>
      <c r="L12" s="79"/>
      <c r="M12" s="79">
        <v>50307791</v>
      </c>
      <c r="N12" s="79"/>
      <c r="O12" s="79">
        <v>59808418</v>
      </c>
      <c r="P12" s="79"/>
      <c r="Q12" s="79">
        <v>93761116</v>
      </c>
      <c r="R12" s="79"/>
      <c r="S12" s="79">
        <v>2987801</v>
      </c>
      <c r="T12" s="79"/>
      <c r="U12" s="79">
        <v>1371002</v>
      </c>
      <c r="V12" s="79"/>
      <c r="W12" s="79">
        <f t="shared" ref="W12:W80" si="2">SUM(Q12:U12)</f>
        <v>98119919</v>
      </c>
      <c r="Z12" s="35" t="s">
        <v>12</v>
      </c>
      <c r="AA12" s="53"/>
      <c r="AB12" s="35" t="s">
        <v>13</v>
      </c>
      <c r="AC12" s="51"/>
      <c r="AD12" s="79">
        <v>35249224</v>
      </c>
      <c r="AE12" s="79"/>
      <c r="AF12" s="79">
        <f>33126449-5193331</f>
        <v>27933118</v>
      </c>
      <c r="AG12" s="79"/>
      <c r="AH12" s="79">
        <v>5193331</v>
      </c>
      <c r="AI12" s="79"/>
      <c r="AJ12" s="94">
        <f t="shared" ref="AJ12:AJ13" si="3">+AD12-AF12-AH12</f>
        <v>2122775</v>
      </c>
      <c r="AK12" s="94"/>
      <c r="AL12" s="94">
        <v>-2171571</v>
      </c>
      <c r="AM12" s="94"/>
      <c r="AN12" s="79">
        <v>0</v>
      </c>
      <c r="AO12" s="79"/>
      <c r="AP12" s="79">
        <v>0</v>
      </c>
      <c r="AQ12" s="79"/>
      <c r="AR12" s="79">
        <v>339936</v>
      </c>
      <c r="AS12" s="79"/>
      <c r="AT12" s="94">
        <f t="shared" ref="AT12:AT13" si="4">+AJ12+AL12+AN12-AP12+AR12</f>
        <v>291140</v>
      </c>
      <c r="AU12" s="94"/>
      <c r="AV12" s="79">
        <v>0</v>
      </c>
      <c r="AW12" s="79"/>
      <c r="AX12" s="79">
        <v>0</v>
      </c>
      <c r="AY12" s="79"/>
      <c r="AZ12" s="79">
        <f>E12-K12</f>
        <v>4868772</v>
      </c>
      <c r="BA12" s="66"/>
      <c r="BB12" s="35" t="s">
        <v>12</v>
      </c>
      <c r="BC12" s="35"/>
      <c r="BD12" s="35" t="s">
        <v>13</v>
      </c>
      <c r="BE12" s="53"/>
      <c r="BF12" s="79">
        <v>0</v>
      </c>
      <c r="BG12" s="79"/>
      <c r="BH12" s="79">
        <v>3190000</v>
      </c>
      <c r="BI12" s="79"/>
      <c r="BJ12" s="79">
        <f>897757+95958</f>
        <v>993715</v>
      </c>
      <c r="BK12" s="79"/>
      <c r="BL12" s="79">
        <f>50307791+761304+52973</f>
        <v>51122068</v>
      </c>
      <c r="BM12" s="79"/>
      <c r="BN12" s="79">
        <f t="shared" ref="BN12:BN80" si="5">SUM(BF12:BL12)</f>
        <v>55305783</v>
      </c>
      <c r="BO12" s="91"/>
      <c r="BS12" s="90"/>
      <c r="BT12" s="90"/>
      <c r="BU12" s="95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</row>
    <row r="13" spans="1:229" s="64" customFormat="1" ht="12.75" customHeight="1" x14ac:dyDescent="0.2">
      <c r="A13" s="35" t="s">
        <v>14</v>
      </c>
      <c r="B13" s="51"/>
      <c r="C13" s="35" t="s">
        <v>15</v>
      </c>
      <c r="D13" s="44"/>
      <c r="E13" s="79">
        <f t="shared" si="0"/>
        <v>4380796</v>
      </c>
      <c r="F13" s="79"/>
      <c r="G13" s="79">
        <v>13877099</v>
      </c>
      <c r="H13" s="79"/>
      <c r="I13" s="79">
        <v>18257895</v>
      </c>
      <c r="J13" s="79"/>
      <c r="K13" s="79">
        <f t="shared" si="1"/>
        <v>1482125</v>
      </c>
      <c r="L13" s="79"/>
      <c r="M13" s="79">
        <v>9521544</v>
      </c>
      <c r="N13" s="79"/>
      <c r="O13" s="79">
        <v>11003669</v>
      </c>
      <c r="P13" s="79"/>
      <c r="Q13" s="79">
        <v>2377041</v>
      </c>
      <c r="R13" s="79"/>
      <c r="S13" s="79">
        <f>618439+616385</f>
        <v>1234824</v>
      </c>
      <c r="T13" s="79"/>
      <c r="U13" s="79">
        <v>3642361</v>
      </c>
      <c r="V13" s="79"/>
      <c r="W13" s="79">
        <f t="shared" si="2"/>
        <v>7254226</v>
      </c>
      <c r="Z13" s="35" t="s">
        <v>14</v>
      </c>
      <c r="AA13" s="53"/>
      <c r="AB13" s="35" t="s">
        <v>15</v>
      </c>
      <c r="AC13" s="51"/>
      <c r="AD13" s="79">
        <v>4380453</v>
      </c>
      <c r="AE13" s="79"/>
      <c r="AF13" s="79">
        <f>4216997-584362</f>
        <v>3632635</v>
      </c>
      <c r="AG13" s="79"/>
      <c r="AH13" s="79">
        <v>584362</v>
      </c>
      <c r="AI13" s="79"/>
      <c r="AJ13" s="94">
        <f t="shared" si="3"/>
        <v>163456</v>
      </c>
      <c r="AK13" s="94"/>
      <c r="AL13" s="94">
        <v>-193470</v>
      </c>
      <c r="AM13" s="94"/>
      <c r="AN13" s="79">
        <v>200000</v>
      </c>
      <c r="AO13" s="79"/>
      <c r="AP13" s="79">
        <v>0</v>
      </c>
      <c r="AQ13" s="79"/>
      <c r="AR13" s="79">
        <v>0</v>
      </c>
      <c r="AS13" s="79"/>
      <c r="AT13" s="94">
        <f t="shared" si="4"/>
        <v>169986</v>
      </c>
      <c r="AU13" s="94"/>
      <c r="AV13" s="79">
        <v>0</v>
      </c>
      <c r="AW13" s="79"/>
      <c r="AX13" s="79">
        <v>0</v>
      </c>
      <c r="AY13" s="79"/>
      <c r="AZ13" s="79">
        <f t="shared" ref="AZ13:AZ56" si="6">E13-K13</f>
        <v>2898671</v>
      </c>
      <c r="BA13" s="66"/>
      <c r="BB13" s="35" t="s">
        <v>14</v>
      </c>
      <c r="BC13" s="35"/>
      <c r="BD13" s="35" t="s">
        <v>15</v>
      </c>
      <c r="BE13" s="53"/>
      <c r="BF13" s="79">
        <v>0</v>
      </c>
      <c r="BG13" s="79"/>
      <c r="BH13" s="79">
        <f>983477+9281757</f>
        <v>10265234</v>
      </c>
      <c r="BI13" s="79"/>
      <c r="BJ13" s="79">
        <v>0</v>
      </c>
      <c r="BK13" s="79"/>
      <c r="BL13" s="79">
        <f>239787+146955</f>
        <v>386742</v>
      </c>
      <c r="BM13" s="79"/>
      <c r="BN13" s="79">
        <f t="shared" si="5"/>
        <v>10651976</v>
      </c>
      <c r="BO13" s="91"/>
      <c r="BS13" s="90"/>
      <c r="BT13" s="90"/>
      <c r="BU13" s="95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</row>
    <row r="14" spans="1:229" s="35" customFormat="1" ht="12.75" customHeight="1" x14ac:dyDescent="0.2">
      <c r="A14" s="35" t="s">
        <v>16</v>
      </c>
      <c r="B14" s="51"/>
      <c r="C14" s="35" t="s">
        <v>17</v>
      </c>
      <c r="D14" s="44"/>
      <c r="E14" s="53">
        <f t="shared" ref="E14:E78" si="7">I14-G14</f>
        <v>1772166</v>
      </c>
      <c r="F14" s="53"/>
      <c r="G14" s="53">
        <v>4070863</v>
      </c>
      <c r="H14" s="53"/>
      <c r="I14" s="53">
        <v>5843029</v>
      </c>
      <c r="J14" s="53"/>
      <c r="K14" s="53">
        <f t="shared" ref="K14:K78" si="8">O14-M14</f>
        <v>340341</v>
      </c>
      <c r="L14" s="53"/>
      <c r="M14" s="53">
        <v>1067593</v>
      </c>
      <c r="N14" s="53"/>
      <c r="O14" s="53">
        <v>1407934</v>
      </c>
      <c r="P14" s="53"/>
      <c r="Q14" s="53">
        <v>2910863</v>
      </c>
      <c r="R14" s="53"/>
      <c r="S14" s="53">
        <v>0</v>
      </c>
      <c r="T14" s="53"/>
      <c r="U14" s="53">
        <v>1524232</v>
      </c>
      <c r="V14" s="53"/>
      <c r="W14" s="53">
        <f t="shared" si="2"/>
        <v>4435095</v>
      </c>
      <c r="X14" s="51"/>
      <c r="Y14" s="51"/>
      <c r="Z14" s="35" t="s">
        <v>16</v>
      </c>
      <c r="AA14" s="53"/>
      <c r="AB14" s="35" t="s">
        <v>17</v>
      </c>
      <c r="AC14" s="51"/>
      <c r="AD14" s="53">
        <v>2328245</v>
      </c>
      <c r="AE14" s="53"/>
      <c r="AF14" s="53">
        <f>2402743-170160</f>
        <v>2232583</v>
      </c>
      <c r="AG14" s="53"/>
      <c r="AH14" s="53">
        <v>170160</v>
      </c>
      <c r="AI14" s="53"/>
      <c r="AJ14" s="45">
        <f t="shared" ref="AJ14:AJ78" si="9">+AD14-AF14-AH14</f>
        <v>-74498</v>
      </c>
      <c r="AK14" s="45"/>
      <c r="AL14" s="53">
        <v>-52976</v>
      </c>
      <c r="AM14" s="45"/>
      <c r="AN14" s="53">
        <v>0</v>
      </c>
      <c r="AO14" s="53"/>
      <c r="AP14" s="53">
        <v>0</v>
      </c>
      <c r="AQ14" s="53"/>
      <c r="AR14" s="53">
        <v>0</v>
      </c>
      <c r="AS14" s="53"/>
      <c r="AT14" s="45">
        <f t="shared" ref="AT14:AT78" si="10">+AJ14+AL14+AN14-AP14+AR14</f>
        <v>-127474</v>
      </c>
      <c r="AU14" s="45"/>
      <c r="AV14" s="53">
        <v>0</v>
      </c>
      <c r="AW14" s="53"/>
      <c r="AX14" s="53">
        <v>0</v>
      </c>
      <c r="AY14" s="53"/>
      <c r="AZ14" s="53">
        <f t="shared" si="6"/>
        <v>1431825</v>
      </c>
      <c r="BA14" s="51"/>
      <c r="BB14" s="35" t="s">
        <v>16</v>
      </c>
      <c r="BD14" s="35" t="s">
        <v>17</v>
      </c>
      <c r="BE14" s="53"/>
      <c r="BF14" s="53">
        <f>1060000+100000</f>
        <v>1160000</v>
      </c>
      <c r="BG14" s="53"/>
      <c r="BH14" s="53">
        <v>0</v>
      </c>
      <c r="BI14" s="53"/>
      <c r="BJ14" s="53">
        <v>0</v>
      </c>
      <c r="BK14" s="53"/>
      <c r="BL14" s="53">
        <f>1427+7593</f>
        <v>9020</v>
      </c>
      <c r="BM14" s="53"/>
      <c r="BN14" s="53">
        <f t="shared" si="5"/>
        <v>1169020</v>
      </c>
      <c r="BO14" s="54"/>
      <c r="BS14" s="55"/>
      <c r="BT14" s="55"/>
      <c r="BU14" s="84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</row>
    <row r="15" spans="1:229" s="35" customFormat="1" ht="12.75" customHeight="1" x14ac:dyDescent="0.2">
      <c r="A15" s="35" t="s">
        <v>18</v>
      </c>
      <c r="B15" s="51"/>
      <c r="C15" s="35" t="s">
        <v>18</v>
      </c>
      <c r="D15" s="44"/>
      <c r="E15" s="53">
        <f t="shared" si="7"/>
        <v>1610195</v>
      </c>
      <c r="F15" s="53"/>
      <c r="G15" s="53">
        <v>14701326</v>
      </c>
      <c r="H15" s="53"/>
      <c r="I15" s="53">
        <v>16311521</v>
      </c>
      <c r="J15" s="53"/>
      <c r="K15" s="53">
        <f t="shared" si="8"/>
        <v>503072</v>
      </c>
      <c r="L15" s="53"/>
      <c r="M15" s="53">
        <v>4897947</v>
      </c>
      <c r="N15" s="53"/>
      <c r="O15" s="53">
        <v>5401019</v>
      </c>
      <c r="P15" s="53"/>
      <c r="Q15" s="53">
        <v>9494556</v>
      </c>
      <c r="R15" s="53"/>
      <c r="S15" s="53">
        <v>0</v>
      </c>
      <c r="T15" s="53"/>
      <c r="U15" s="53">
        <v>1415946</v>
      </c>
      <c r="V15" s="53"/>
      <c r="W15" s="53">
        <f t="shared" si="2"/>
        <v>10910502</v>
      </c>
      <c r="X15" s="51"/>
      <c r="Y15" s="51"/>
      <c r="Z15" s="35" t="s">
        <v>18</v>
      </c>
      <c r="AA15" s="53"/>
      <c r="AB15" s="35" t="s">
        <v>18</v>
      </c>
      <c r="AC15" s="51"/>
      <c r="AD15" s="53">
        <v>3571678</v>
      </c>
      <c r="AE15" s="53"/>
      <c r="AF15" s="53">
        <f>3208956-524263</f>
        <v>2684693</v>
      </c>
      <c r="AG15" s="53"/>
      <c r="AH15" s="53">
        <v>524263</v>
      </c>
      <c r="AI15" s="53"/>
      <c r="AJ15" s="45">
        <f t="shared" si="9"/>
        <v>362722</v>
      </c>
      <c r="AK15" s="45"/>
      <c r="AL15" s="53">
        <v>-89512</v>
      </c>
      <c r="AM15" s="45"/>
      <c r="AN15" s="53">
        <v>0</v>
      </c>
      <c r="AO15" s="53"/>
      <c r="AP15" s="53">
        <v>61271</v>
      </c>
      <c r="AQ15" s="53"/>
      <c r="AR15" s="53">
        <v>0</v>
      </c>
      <c r="AS15" s="53"/>
      <c r="AT15" s="45">
        <f t="shared" si="10"/>
        <v>211939</v>
      </c>
      <c r="AU15" s="45"/>
      <c r="AV15" s="53">
        <v>0</v>
      </c>
      <c r="AW15" s="53"/>
      <c r="AX15" s="53">
        <v>0</v>
      </c>
      <c r="AY15" s="53"/>
      <c r="AZ15" s="53">
        <f t="shared" si="6"/>
        <v>1107123</v>
      </c>
      <c r="BA15" s="51"/>
      <c r="BB15" s="35" t="s">
        <v>18</v>
      </c>
      <c r="BD15" s="35" t="s">
        <v>18</v>
      </c>
      <c r="BE15" s="53"/>
      <c r="BF15" s="53">
        <f>4843771+363000</f>
        <v>5206771</v>
      </c>
      <c r="BG15" s="53"/>
      <c r="BH15" s="53">
        <v>0</v>
      </c>
      <c r="BI15" s="53"/>
      <c r="BJ15" s="53">
        <v>0</v>
      </c>
      <c r="BK15" s="53"/>
      <c r="BL15" s="53">
        <f>567+54176</f>
        <v>54743</v>
      </c>
      <c r="BM15" s="53"/>
      <c r="BN15" s="53">
        <f t="shared" si="5"/>
        <v>5261514</v>
      </c>
      <c r="BO15" s="54"/>
      <c r="BS15" s="55"/>
      <c r="BT15" s="55"/>
      <c r="BU15" s="84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</row>
    <row r="16" spans="1:229" s="126" customFormat="1" ht="12.75" hidden="1" customHeight="1" x14ac:dyDescent="0.2">
      <c r="A16" s="126" t="s">
        <v>19</v>
      </c>
      <c r="B16" s="124"/>
      <c r="C16" s="126" t="s">
        <v>19</v>
      </c>
      <c r="D16" s="121"/>
      <c r="E16" s="53">
        <f t="shared" si="7"/>
        <v>0</v>
      </c>
      <c r="F16" s="53"/>
      <c r="G16" s="53"/>
      <c r="H16" s="53"/>
      <c r="I16" s="53"/>
      <c r="J16" s="53"/>
      <c r="K16" s="53">
        <f t="shared" si="8"/>
        <v>0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137">
        <f t="shared" si="2"/>
        <v>0</v>
      </c>
      <c r="X16" s="124"/>
      <c r="Y16" s="124"/>
      <c r="Z16" s="126" t="s">
        <v>19</v>
      </c>
      <c r="AA16" s="137"/>
      <c r="AB16" s="126" t="s">
        <v>19</v>
      </c>
      <c r="AC16" s="124"/>
      <c r="AD16" s="53"/>
      <c r="AE16" s="53"/>
      <c r="AF16" s="53"/>
      <c r="AG16" s="53"/>
      <c r="AH16" s="53"/>
      <c r="AI16" s="53"/>
      <c r="AJ16" s="45">
        <f t="shared" si="9"/>
        <v>0</v>
      </c>
      <c r="AK16" s="45"/>
      <c r="AL16" s="53"/>
      <c r="AM16" s="45"/>
      <c r="AN16" s="53"/>
      <c r="AO16" s="53"/>
      <c r="AP16" s="53"/>
      <c r="AQ16" s="53"/>
      <c r="AR16" s="53"/>
      <c r="AS16" s="53"/>
      <c r="AT16" s="45">
        <f t="shared" si="10"/>
        <v>0</v>
      </c>
      <c r="AU16" s="127"/>
      <c r="AV16" s="137">
        <v>0</v>
      </c>
      <c r="AW16" s="137"/>
      <c r="AX16" s="137">
        <v>0</v>
      </c>
      <c r="AY16" s="137"/>
      <c r="AZ16" s="137">
        <f t="shared" si="6"/>
        <v>0</v>
      </c>
      <c r="BA16" s="124"/>
      <c r="BB16" s="126" t="s">
        <v>19</v>
      </c>
      <c r="BD16" s="126" t="s">
        <v>19</v>
      </c>
      <c r="BE16" s="137"/>
      <c r="BF16" s="53"/>
      <c r="BG16" s="53"/>
      <c r="BH16" s="53"/>
      <c r="BI16" s="53"/>
      <c r="BJ16" s="53"/>
      <c r="BK16" s="53"/>
      <c r="BL16" s="53"/>
      <c r="BM16" s="137"/>
      <c r="BN16" s="137">
        <f t="shared" si="5"/>
        <v>0</v>
      </c>
      <c r="BO16" s="139"/>
      <c r="BS16" s="140"/>
      <c r="BT16" s="140"/>
      <c r="BU16" s="141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</row>
    <row r="17" spans="1:95" s="35" customFormat="1" ht="12.75" customHeight="1" x14ac:dyDescent="0.2">
      <c r="A17" s="35" t="s">
        <v>20</v>
      </c>
      <c r="B17" s="51"/>
      <c r="C17" s="35" t="s">
        <v>20</v>
      </c>
      <c r="D17" s="44"/>
      <c r="E17" s="53">
        <f t="shared" si="7"/>
        <v>1298761</v>
      </c>
      <c r="F17" s="53"/>
      <c r="G17" s="53">
        <f>218502+6448196</f>
        <v>6666698</v>
      </c>
      <c r="H17" s="53"/>
      <c r="I17" s="53">
        <v>7965459</v>
      </c>
      <c r="J17" s="53"/>
      <c r="K17" s="53">
        <f t="shared" si="8"/>
        <v>288496</v>
      </c>
      <c r="L17" s="53"/>
      <c r="M17" s="53">
        <f>50320+432000</f>
        <v>482320</v>
      </c>
      <c r="N17" s="53"/>
      <c r="O17" s="53">
        <v>770816</v>
      </c>
      <c r="P17" s="53"/>
      <c r="Q17" s="53">
        <v>6210698</v>
      </c>
      <c r="R17" s="53"/>
      <c r="S17" s="53">
        <v>0</v>
      </c>
      <c r="T17" s="53"/>
      <c r="U17" s="53">
        <v>983945</v>
      </c>
      <c r="V17" s="53"/>
      <c r="W17" s="53">
        <f t="shared" si="2"/>
        <v>7194643</v>
      </c>
      <c r="Z17" s="35" t="s">
        <v>20</v>
      </c>
      <c r="AA17" s="53"/>
      <c r="AB17" s="35" t="s">
        <v>20</v>
      </c>
      <c r="AC17" s="51"/>
      <c r="AD17" s="53">
        <v>2959985</v>
      </c>
      <c r="AE17" s="53"/>
      <c r="AF17" s="53">
        <f>2896729-317612</f>
        <v>2579117</v>
      </c>
      <c r="AG17" s="53"/>
      <c r="AH17" s="53">
        <v>317612</v>
      </c>
      <c r="AI17" s="53"/>
      <c r="AJ17" s="45">
        <f t="shared" si="9"/>
        <v>63256</v>
      </c>
      <c r="AK17" s="45"/>
      <c r="AL17" s="53">
        <v>-125183</v>
      </c>
      <c r="AM17" s="45"/>
      <c r="AN17" s="53">
        <v>0</v>
      </c>
      <c r="AO17" s="53"/>
      <c r="AP17" s="53">
        <v>0</v>
      </c>
      <c r="AQ17" s="53"/>
      <c r="AR17" s="53">
        <v>0</v>
      </c>
      <c r="AS17" s="53"/>
      <c r="AT17" s="45">
        <f t="shared" si="10"/>
        <v>-61927</v>
      </c>
      <c r="AU17" s="45"/>
      <c r="AV17" s="53">
        <v>0</v>
      </c>
      <c r="AW17" s="53"/>
      <c r="AX17" s="53">
        <v>0</v>
      </c>
      <c r="AY17" s="53"/>
      <c r="AZ17" s="53">
        <f t="shared" si="6"/>
        <v>1010265</v>
      </c>
      <c r="BA17" s="51"/>
      <c r="BB17" s="35" t="s">
        <v>20</v>
      </c>
      <c r="BD17" s="35" t="s">
        <v>20</v>
      </c>
      <c r="BE17" s="53"/>
      <c r="BF17" s="53">
        <v>0</v>
      </c>
      <c r="BG17" s="53"/>
      <c r="BH17" s="53">
        <v>0</v>
      </c>
      <c r="BI17" s="53"/>
      <c r="BJ17" s="53">
        <f>24000+432000</f>
        <v>456000</v>
      </c>
      <c r="BK17" s="53"/>
      <c r="BL17" s="53">
        <f>104463+50320</f>
        <v>154783</v>
      </c>
      <c r="BM17" s="53"/>
      <c r="BN17" s="53">
        <f t="shared" si="5"/>
        <v>610783</v>
      </c>
      <c r="BO17" s="54"/>
      <c r="BS17" s="55"/>
      <c r="BT17" s="55"/>
      <c r="BU17" s="84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</row>
    <row r="18" spans="1:95" s="35" customFormat="1" ht="12.75" customHeight="1" x14ac:dyDescent="0.2">
      <c r="A18" s="35" t="s">
        <v>21</v>
      </c>
      <c r="B18" s="51"/>
      <c r="C18" s="35" t="s">
        <v>22</v>
      </c>
      <c r="D18" s="44"/>
      <c r="E18" s="53">
        <f t="shared" si="7"/>
        <v>2188145</v>
      </c>
      <c r="F18" s="53"/>
      <c r="G18" s="53">
        <v>12074139</v>
      </c>
      <c r="H18" s="53"/>
      <c r="I18" s="53">
        <v>14262284</v>
      </c>
      <c r="J18" s="53"/>
      <c r="K18" s="53">
        <f t="shared" si="8"/>
        <v>549104</v>
      </c>
      <c r="L18" s="53"/>
      <c r="M18" s="53">
        <v>131038</v>
      </c>
      <c r="N18" s="53"/>
      <c r="O18" s="53">
        <v>680142</v>
      </c>
      <c r="P18" s="53"/>
      <c r="Q18" s="53">
        <v>11954139</v>
      </c>
      <c r="R18" s="53"/>
      <c r="S18" s="53">
        <v>0</v>
      </c>
      <c r="T18" s="53"/>
      <c r="U18" s="53">
        <v>1628003</v>
      </c>
      <c r="V18" s="53"/>
      <c r="W18" s="53">
        <f t="shared" si="2"/>
        <v>13582142</v>
      </c>
      <c r="X18" s="51"/>
      <c r="Y18" s="51"/>
      <c r="Z18" s="35" t="s">
        <v>21</v>
      </c>
      <c r="AA18" s="53"/>
      <c r="AB18" s="35" t="s">
        <v>22</v>
      </c>
      <c r="AC18" s="51"/>
      <c r="AD18" s="53">
        <v>2690748</v>
      </c>
      <c r="AE18" s="53"/>
      <c r="AF18" s="53">
        <f>2212964-309209</f>
        <v>1903755</v>
      </c>
      <c r="AG18" s="53"/>
      <c r="AH18" s="53">
        <v>309209</v>
      </c>
      <c r="AI18" s="53"/>
      <c r="AJ18" s="45">
        <f t="shared" si="9"/>
        <v>477784</v>
      </c>
      <c r="AK18" s="45"/>
      <c r="AL18" s="53">
        <v>-31158</v>
      </c>
      <c r="AM18" s="45"/>
      <c r="AN18" s="53">
        <v>4258</v>
      </c>
      <c r="AO18" s="53"/>
      <c r="AP18" s="53">
        <v>1100</v>
      </c>
      <c r="AQ18" s="53"/>
      <c r="AR18" s="53">
        <v>716037</v>
      </c>
      <c r="AS18" s="53"/>
      <c r="AT18" s="45">
        <f t="shared" si="10"/>
        <v>1165821</v>
      </c>
      <c r="AU18" s="45"/>
      <c r="AV18" s="53">
        <v>0</v>
      </c>
      <c r="AW18" s="53"/>
      <c r="AX18" s="53">
        <v>0</v>
      </c>
      <c r="AY18" s="53"/>
      <c r="AZ18" s="53">
        <f t="shared" si="6"/>
        <v>1639041</v>
      </c>
      <c r="BA18" s="51"/>
      <c r="BB18" s="35" t="s">
        <v>21</v>
      </c>
      <c r="BD18" s="35" t="s">
        <v>22</v>
      </c>
      <c r="BE18" s="53"/>
      <c r="BF18" s="53">
        <v>0</v>
      </c>
      <c r="BG18" s="53"/>
      <c r="BH18" s="53">
        <v>0</v>
      </c>
      <c r="BI18" s="53"/>
      <c r="BJ18" s="53">
        <f>110000+10000</f>
        <v>120000</v>
      </c>
      <c r="BK18" s="53"/>
      <c r="BL18" s="53">
        <v>21038</v>
      </c>
      <c r="BM18" s="53"/>
      <c r="BN18" s="53">
        <f t="shared" si="5"/>
        <v>141038</v>
      </c>
      <c r="BO18" s="54"/>
      <c r="BS18" s="55"/>
      <c r="BT18" s="55"/>
      <c r="BU18" s="84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</row>
    <row r="19" spans="1:95" s="35" customFormat="1" ht="12.75" customHeight="1" x14ac:dyDescent="0.2">
      <c r="A19" s="35" t="s">
        <v>23</v>
      </c>
      <c r="B19" s="51"/>
      <c r="C19" s="35" t="s">
        <v>17</v>
      </c>
      <c r="D19" s="44"/>
      <c r="E19" s="53">
        <f t="shared" si="7"/>
        <v>4790489</v>
      </c>
      <c r="F19" s="53"/>
      <c r="G19" s="53">
        <v>12245374</v>
      </c>
      <c r="H19" s="53"/>
      <c r="I19" s="53">
        <v>17035863</v>
      </c>
      <c r="J19" s="53"/>
      <c r="K19" s="53">
        <f t="shared" si="8"/>
        <v>3974442</v>
      </c>
      <c r="L19" s="53"/>
      <c r="M19" s="53">
        <v>746345</v>
      </c>
      <c r="N19" s="53"/>
      <c r="O19" s="53">
        <v>4720787</v>
      </c>
      <c r="P19" s="53"/>
      <c r="Q19" s="53">
        <v>11254054</v>
      </c>
      <c r="R19" s="53"/>
      <c r="S19" s="53">
        <v>0</v>
      </c>
      <c r="T19" s="53"/>
      <c r="U19" s="53">
        <v>1061022</v>
      </c>
      <c r="V19" s="53"/>
      <c r="W19" s="53">
        <f t="shared" si="2"/>
        <v>12315076</v>
      </c>
      <c r="X19" s="51"/>
      <c r="Y19" s="51"/>
      <c r="Z19" s="35" t="s">
        <v>23</v>
      </c>
      <c r="AA19" s="53"/>
      <c r="AB19" s="35" t="s">
        <v>17</v>
      </c>
      <c r="AC19" s="51"/>
      <c r="AD19" s="53">
        <v>2107965</v>
      </c>
      <c r="AE19" s="53"/>
      <c r="AF19" s="53">
        <f>2719517-63982</f>
        <v>2655535</v>
      </c>
      <c r="AG19" s="53"/>
      <c r="AH19" s="53">
        <v>63982</v>
      </c>
      <c r="AI19" s="53"/>
      <c r="AJ19" s="45">
        <f t="shared" si="9"/>
        <v>-611552</v>
      </c>
      <c r="AK19" s="45"/>
      <c r="AL19" s="53">
        <v>-71982</v>
      </c>
      <c r="AM19" s="45"/>
      <c r="AN19" s="53">
        <v>0</v>
      </c>
      <c r="AO19" s="53"/>
      <c r="AP19" s="53">
        <v>1</v>
      </c>
      <c r="AQ19" s="53"/>
      <c r="AR19" s="53">
        <v>77010</v>
      </c>
      <c r="AS19" s="53"/>
      <c r="AT19" s="45">
        <f t="shared" si="10"/>
        <v>-606525</v>
      </c>
      <c r="AU19" s="45"/>
      <c r="AV19" s="53">
        <v>0</v>
      </c>
      <c r="AW19" s="53"/>
      <c r="AX19" s="53">
        <v>0</v>
      </c>
      <c r="AY19" s="53"/>
      <c r="AZ19" s="53">
        <f t="shared" si="6"/>
        <v>816047</v>
      </c>
      <c r="BA19" s="51"/>
      <c r="BB19" s="35" t="s">
        <v>23</v>
      </c>
      <c r="BD19" s="35" t="s">
        <v>17</v>
      </c>
      <c r="BE19" s="53"/>
      <c r="BF19" s="53">
        <v>31658</v>
      </c>
      <c r="BG19" s="53"/>
      <c r="BH19" s="53">
        <v>0</v>
      </c>
      <c r="BI19" s="53"/>
      <c r="BJ19" s="53">
        <v>0</v>
      </c>
      <c r="BK19" s="53"/>
      <c r="BL19" s="53">
        <f>2785000+9182+136787+684911+61434</f>
        <v>3677314</v>
      </c>
      <c r="BM19" s="53"/>
      <c r="BN19" s="53">
        <f t="shared" si="5"/>
        <v>3708972</v>
      </c>
      <c r="BO19" s="54"/>
      <c r="BS19" s="55"/>
      <c r="BT19" s="55"/>
      <c r="BU19" s="84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</row>
    <row r="20" spans="1:95" s="35" customFormat="1" ht="12.75" customHeight="1" x14ac:dyDescent="0.2">
      <c r="A20" s="35" t="s">
        <v>24</v>
      </c>
      <c r="B20" s="51"/>
      <c r="C20" s="35" t="s">
        <v>17</v>
      </c>
      <c r="D20" s="44"/>
      <c r="E20" s="53">
        <f t="shared" ref="E20" si="11">I20-G20</f>
        <v>9193879</v>
      </c>
      <c r="F20" s="53"/>
      <c r="G20" s="53">
        <v>40113128</v>
      </c>
      <c r="H20" s="53"/>
      <c r="I20" s="53">
        <v>49307007</v>
      </c>
      <c r="J20" s="53"/>
      <c r="K20" s="53">
        <f t="shared" ref="K20" si="12">O20-M20</f>
        <v>4214665</v>
      </c>
      <c r="L20" s="53"/>
      <c r="M20" s="53">
        <v>15134533</v>
      </c>
      <c r="N20" s="53"/>
      <c r="O20" s="53">
        <v>19349198</v>
      </c>
      <c r="P20" s="53"/>
      <c r="Q20" s="53">
        <v>18530127</v>
      </c>
      <c r="R20" s="53"/>
      <c r="S20" s="53">
        <v>1304490</v>
      </c>
      <c r="T20" s="53"/>
      <c r="U20" s="53">
        <v>10123192</v>
      </c>
      <c r="V20" s="53"/>
      <c r="W20" s="53">
        <f t="shared" ref="W20" si="13">SUM(Q20:U20)</f>
        <v>29957809</v>
      </c>
      <c r="X20" s="51"/>
      <c r="Y20" s="51"/>
      <c r="Z20" s="35" t="s">
        <v>23</v>
      </c>
      <c r="AA20" s="53"/>
      <c r="AB20" s="35" t="s">
        <v>17</v>
      </c>
      <c r="AC20" s="51"/>
      <c r="AD20" s="53">
        <v>9868516</v>
      </c>
      <c r="AE20" s="53"/>
      <c r="AF20" s="53">
        <f>8722344-1119010</f>
        <v>7603334</v>
      </c>
      <c r="AG20" s="53"/>
      <c r="AH20" s="53">
        <v>1119010</v>
      </c>
      <c r="AI20" s="53"/>
      <c r="AJ20" s="45">
        <f t="shared" ref="AJ20" si="14">+AD20-AF20-AH20</f>
        <v>1146172</v>
      </c>
      <c r="AK20" s="45"/>
      <c r="AL20" s="53">
        <v>-499774</v>
      </c>
      <c r="AM20" s="45"/>
      <c r="AN20" s="53">
        <v>9240</v>
      </c>
      <c r="AO20" s="53"/>
      <c r="AP20" s="53">
        <v>0</v>
      </c>
      <c r="AQ20" s="53"/>
      <c r="AR20" s="53">
        <v>75640</v>
      </c>
      <c r="AS20" s="53"/>
      <c r="AT20" s="45">
        <f t="shared" ref="AT20" si="15">+AJ20+AL20+AN20-AP20+AR20</f>
        <v>731278</v>
      </c>
      <c r="AU20" s="45"/>
      <c r="AV20" s="53">
        <v>0</v>
      </c>
      <c r="AW20" s="53"/>
      <c r="AX20" s="53">
        <v>0</v>
      </c>
      <c r="AY20" s="53"/>
      <c r="AZ20" s="53">
        <f t="shared" ref="AZ20" si="16">E20-K20</f>
        <v>4979214</v>
      </c>
      <c r="BA20" s="51"/>
      <c r="BB20" s="35" t="s">
        <v>23</v>
      </c>
      <c r="BD20" s="35" t="s">
        <v>17</v>
      </c>
      <c r="BE20" s="53"/>
      <c r="BF20" s="53">
        <f>711200+1072005</f>
        <v>1783205</v>
      </c>
      <c r="BG20" s="53"/>
      <c r="BH20" s="53">
        <f>915000+7545000</f>
        <v>8460000</v>
      </c>
      <c r="BI20" s="53"/>
      <c r="BJ20" s="53">
        <f>777195+142124+6240250+105514</f>
        <v>7265083</v>
      </c>
      <c r="BK20" s="53"/>
      <c r="BL20" s="53">
        <f>73035+1774+171182+582</f>
        <v>246573</v>
      </c>
      <c r="BM20" s="53"/>
      <c r="BN20" s="53">
        <f t="shared" ref="BN20" si="17">SUM(BF20:BL20)</f>
        <v>17754861</v>
      </c>
      <c r="BO20" s="54"/>
      <c r="BS20" s="55"/>
      <c r="BT20" s="55"/>
      <c r="BU20" s="84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</row>
    <row r="21" spans="1:95" s="35" customFormat="1" ht="12.75" customHeight="1" x14ac:dyDescent="0.2">
      <c r="A21" s="35" t="s">
        <v>25</v>
      </c>
      <c r="C21" s="35" t="s">
        <v>13</v>
      </c>
      <c r="D21" s="44"/>
      <c r="E21" s="53">
        <f t="shared" si="7"/>
        <v>5031578</v>
      </c>
      <c r="F21" s="53"/>
      <c r="G21" s="53">
        <v>19727131</v>
      </c>
      <c r="H21" s="53"/>
      <c r="I21" s="53">
        <v>24758709</v>
      </c>
      <c r="J21" s="53"/>
      <c r="K21" s="53">
        <f t="shared" si="8"/>
        <v>1429663</v>
      </c>
      <c r="L21" s="53"/>
      <c r="M21" s="53">
        <v>9354923</v>
      </c>
      <c r="N21" s="53"/>
      <c r="O21" s="53">
        <v>10784586</v>
      </c>
      <c r="P21" s="53"/>
      <c r="Q21" s="53">
        <v>9409247</v>
      </c>
      <c r="R21" s="53"/>
      <c r="S21" s="53">
        <v>0</v>
      </c>
      <c r="T21" s="53"/>
      <c r="U21" s="53">
        <v>4564876</v>
      </c>
      <c r="V21" s="53"/>
      <c r="W21" s="53">
        <f t="shared" si="2"/>
        <v>13974123</v>
      </c>
      <c r="X21" s="51"/>
      <c r="Y21" s="51"/>
      <c r="Z21" s="35" t="s">
        <v>25</v>
      </c>
      <c r="AA21" s="53"/>
      <c r="AB21" s="35" t="s">
        <v>13</v>
      </c>
      <c r="AD21" s="53">
        <v>5067878</v>
      </c>
      <c r="AE21" s="53"/>
      <c r="AF21" s="53">
        <f>3716220-517188</f>
        <v>3199032</v>
      </c>
      <c r="AG21" s="53"/>
      <c r="AH21" s="53">
        <v>517188</v>
      </c>
      <c r="AI21" s="53"/>
      <c r="AJ21" s="45">
        <f t="shared" si="9"/>
        <v>1351658</v>
      </c>
      <c r="AK21" s="45"/>
      <c r="AL21" s="53">
        <v>-486844</v>
      </c>
      <c r="AM21" s="45"/>
      <c r="AN21" s="53">
        <v>0</v>
      </c>
      <c r="AO21" s="53"/>
      <c r="AP21" s="53">
        <v>0</v>
      </c>
      <c r="AQ21" s="53"/>
      <c r="AR21" s="53">
        <v>486687</v>
      </c>
      <c r="AS21" s="53"/>
      <c r="AT21" s="45">
        <f t="shared" si="10"/>
        <v>1351501</v>
      </c>
      <c r="AU21" s="45"/>
      <c r="AV21" s="53">
        <v>0</v>
      </c>
      <c r="AW21" s="53"/>
      <c r="AX21" s="53">
        <v>0</v>
      </c>
      <c r="AY21" s="53"/>
      <c r="AZ21" s="53">
        <f t="shared" si="6"/>
        <v>3601915</v>
      </c>
      <c r="BA21" s="51"/>
      <c r="BB21" s="35" t="s">
        <v>25</v>
      </c>
      <c r="BD21" s="35" t="s">
        <v>13</v>
      </c>
      <c r="BE21" s="53"/>
      <c r="BF21" s="53">
        <f>456675+995885</f>
        <v>1452560</v>
      </c>
      <c r="BG21" s="53"/>
      <c r="BH21" s="53">
        <f>360000+7269035</f>
        <v>7629035</v>
      </c>
      <c r="BI21" s="53"/>
      <c r="BJ21" s="53">
        <v>875664</v>
      </c>
      <c r="BK21" s="53"/>
      <c r="BL21" s="53">
        <f>65448+214339</f>
        <v>279787</v>
      </c>
      <c r="BM21" s="53"/>
      <c r="BN21" s="53">
        <f>SUM(BF21:BL21)</f>
        <v>10237046</v>
      </c>
      <c r="BO21" s="54"/>
      <c r="BS21" s="55"/>
      <c r="BT21" s="55"/>
      <c r="BU21" s="84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</row>
    <row r="22" spans="1:95" s="126" customFormat="1" ht="12.75" hidden="1" customHeight="1" x14ac:dyDescent="0.2">
      <c r="A22" s="126" t="s">
        <v>26</v>
      </c>
      <c r="B22" s="124"/>
      <c r="C22" s="126" t="s">
        <v>27</v>
      </c>
      <c r="D22" s="121"/>
      <c r="E22" s="53">
        <f t="shared" si="7"/>
        <v>0</v>
      </c>
      <c r="F22" s="53"/>
      <c r="G22" s="53"/>
      <c r="H22" s="53"/>
      <c r="I22" s="53"/>
      <c r="J22" s="53"/>
      <c r="K22" s="53">
        <f t="shared" si="8"/>
        <v>0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137">
        <f t="shared" si="2"/>
        <v>0</v>
      </c>
      <c r="X22" s="124"/>
      <c r="Y22" s="124"/>
      <c r="Z22" s="126" t="s">
        <v>26</v>
      </c>
      <c r="AA22" s="137"/>
      <c r="AB22" s="126" t="s">
        <v>27</v>
      </c>
      <c r="AC22" s="124"/>
      <c r="AD22" s="53"/>
      <c r="AE22" s="53"/>
      <c r="AF22" s="53"/>
      <c r="AG22" s="53"/>
      <c r="AH22" s="53"/>
      <c r="AI22" s="53"/>
      <c r="AJ22" s="45">
        <f t="shared" si="9"/>
        <v>0</v>
      </c>
      <c r="AK22" s="45"/>
      <c r="AL22" s="53"/>
      <c r="AM22" s="45"/>
      <c r="AN22" s="53"/>
      <c r="AO22" s="53"/>
      <c r="AP22" s="53"/>
      <c r="AQ22" s="53"/>
      <c r="AR22" s="53"/>
      <c r="AS22" s="53"/>
      <c r="AT22" s="45">
        <f t="shared" si="10"/>
        <v>0</v>
      </c>
      <c r="AU22" s="127"/>
      <c r="AV22" s="137">
        <v>0</v>
      </c>
      <c r="AW22" s="137"/>
      <c r="AX22" s="137">
        <v>0</v>
      </c>
      <c r="AY22" s="137"/>
      <c r="AZ22" s="137">
        <f t="shared" si="6"/>
        <v>0</v>
      </c>
      <c r="BA22" s="124"/>
      <c r="BB22" s="126" t="s">
        <v>26</v>
      </c>
      <c r="BD22" s="126" t="s">
        <v>27</v>
      </c>
      <c r="BE22" s="137"/>
      <c r="BF22" s="53"/>
      <c r="BG22" s="53"/>
      <c r="BH22" s="53"/>
      <c r="BI22" s="53"/>
      <c r="BJ22" s="53"/>
      <c r="BK22" s="53"/>
      <c r="BL22" s="53"/>
      <c r="BM22" s="137"/>
      <c r="BN22" s="137">
        <f t="shared" si="5"/>
        <v>0</v>
      </c>
      <c r="BO22" s="139"/>
      <c r="BS22" s="140"/>
      <c r="BT22" s="140"/>
      <c r="BU22" s="141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</row>
    <row r="23" spans="1:95" s="126" customFormat="1" ht="12.75" hidden="1" customHeight="1" x14ac:dyDescent="0.2">
      <c r="A23" s="126" t="s">
        <v>28</v>
      </c>
      <c r="B23" s="124"/>
      <c r="C23" s="126" t="s">
        <v>27</v>
      </c>
      <c r="D23" s="121"/>
      <c r="E23" s="53">
        <f t="shared" si="7"/>
        <v>0</v>
      </c>
      <c r="F23" s="53"/>
      <c r="G23" s="53"/>
      <c r="H23" s="53"/>
      <c r="I23" s="53"/>
      <c r="J23" s="53"/>
      <c r="K23" s="53">
        <f t="shared" si="8"/>
        <v>0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137">
        <f t="shared" si="2"/>
        <v>0</v>
      </c>
      <c r="X23" s="124"/>
      <c r="Y23" s="124"/>
      <c r="Z23" s="126" t="s">
        <v>28</v>
      </c>
      <c r="AA23" s="137"/>
      <c r="AB23" s="126" t="s">
        <v>27</v>
      </c>
      <c r="AC23" s="124"/>
      <c r="AD23" s="53"/>
      <c r="AE23" s="53"/>
      <c r="AF23" s="53"/>
      <c r="AG23" s="53"/>
      <c r="AH23" s="53"/>
      <c r="AI23" s="53"/>
      <c r="AJ23" s="45">
        <f t="shared" si="9"/>
        <v>0</v>
      </c>
      <c r="AK23" s="45"/>
      <c r="AL23" s="53"/>
      <c r="AM23" s="45"/>
      <c r="AN23" s="53"/>
      <c r="AO23" s="53"/>
      <c r="AP23" s="53"/>
      <c r="AQ23" s="53"/>
      <c r="AR23" s="53"/>
      <c r="AS23" s="53"/>
      <c r="AT23" s="45">
        <f t="shared" si="10"/>
        <v>0</v>
      </c>
      <c r="AU23" s="127"/>
      <c r="AV23" s="137">
        <v>0</v>
      </c>
      <c r="AW23" s="137"/>
      <c r="AX23" s="137">
        <v>0</v>
      </c>
      <c r="AY23" s="137"/>
      <c r="AZ23" s="137">
        <f t="shared" si="6"/>
        <v>0</v>
      </c>
      <c r="BA23" s="124"/>
      <c r="BB23" s="126" t="s">
        <v>28</v>
      </c>
      <c r="BD23" s="126" t="s">
        <v>27</v>
      </c>
      <c r="BE23" s="137"/>
      <c r="BF23" s="53"/>
      <c r="BG23" s="53"/>
      <c r="BH23" s="53"/>
      <c r="BI23" s="53"/>
      <c r="BJ23" s="53"/>
      <c r="BK23" s="53"/>
      <c r="BL23" s="53"/>
      <c r="BM23" s="137"/>
      <c r="BN23" s="137">
        <f t="shared" si="5"/>
        <v>0</v>
      </c>
      <c r="BO23" s="139"/>
      <c r="BS23" s="140"/>
      <c r="BT23" s="140"/>
      <c r="BU23" s="141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</row>
    <row r="24" spans="1:95" s="126" customFormat="1" ht="12.75" hidden="1" customHeight="1" x14ac:dyDescent="0.2">
      <c r="A24" s="126" t="s">
        <v>29</v>
      </c>
      <c r="B24" s="124"/>
      <c r="C24" s="126" t="s">
        <v>30</v>
      </c>
      <c r="D24" s="121"/>
      <c r="E24" s="53">
        <f t="shared" si="7"/>
        <v>0</v>
      </c>
      <c r="F24" s="53"/>
      <c r="G24" s="53"/>
      <c r="H24" s="53"/>
      <c r="I24" s="53"/>
      <c r="J24" s="53"/>
      <c r="K24" s="53">
        <f t="shared" si="8"/>
        <v>0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137">
        <f t="shared" si="2"/>
        <v>0</v>
      </c>
      <c r="X24" s="124"/>
      <c r="Y24" s="124"/>
      <c r="Z24" s="126" t="s">
        <v>29</v>
      </c>
      <c r="AA24" s="137"/>
      <c r="AB24" s="126" t="s">
        <v>30</v>
      </c>
      <c r="AC24" s="124"/>
      <c r="AD24" s="53"/>
      <c r="AE24" s="53"/>
      <c r="AF24" s="53"/>
      <c r="AG24" s="53"/>
      <c r="AH24" s="53"/>
      <c r="AI24" s="53"/>
      <c r="AJ24" s="45">
        <f t="shared" si="9"/>
        <v>0</v>
      </c>
      <c r="AK24" s="45"/>
      <c r="AL24" s="53"/>
      <c r="AM24" s="45"/>
      <c r="AN24" s="53"/>
      <c r="AO24" s="53"/>
      <c r="AP24" s="53"/>
      <c r="AQ24" s="53"/>
      <c r="AR24" s="53"/>
      <c r="AS24" s="53"/>
      <c r="AT24" s="45">
        <f t="shared" si="10"/>
        <v>0</v>
      </c>
      <c r="AU24" s="127"/>
      <c r="AV24" s="137">
        <v>0</v>
      </c>
      <c r="AW24" s="137"/>
      <c r="AX24" s="137">
        <v>0</v>
      </c>
      <c r="AY24" s="137"/>
      <c r="AZ24" s="137">
        <f t="shared" si="6"/>
        <v>0</v>
      </c>
      <c r="BA24" s="124"/>
      <c r="BB24" s="126" t="s">
        <v>29</v>
      </c>
      <c r="BD24" s="126" t="s">
        <v>30</v>
      </c>
      <c r="BE24" s="137"/>
      <c r="BF24" s="53"/>
      <c r="BG24" s="53"/>
      <c r="BH24" s="53"/>
      <c r="BI24" s="53"/>
      <c r="BJ24" s="53"/>
      <c r="BK24" s="53"/>
      <c r="BL24" s="53"/>
      <c r="BM24" s="137"/>
      <c r="BN24" s="137">
        <f t="shared" si="5"/>
        <v>0</v>
      </c>
      <c r="BO24" s="139"/>
      <c r="BS24" s="140"/>
      <c r="BT24" s="140"/>
      <c r="BU24" s="141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</row>
    <row r="25" spans="1:95" s="35" customFormat="1" ht="12.75" customHeight="1" x14ac:dyDescent="0.2">
      <c r="A25" s="35" t="s">
        <v>31</v>
      </c>
      <c r="B25" s="51"/>
      <c r="C25" s="35" t="s">
        <v>27</v>
      </c>
      <c r="D25" s="44"/>
      <c r="E25" s="53">
        <f t="shared" si="7"/>
        <v>4520886</v>
      </c>
      <c r="F25" s="53"/>
      <c r="G25" s="53">
        <v>4749938</v>
      </c>
      <c r="H25" s="53"/>
      <c r="I25" s="53">
        <v>9270824</v>
      </c>
      <c r="J25" s="53"/>
      <c r="K25" s="53">
        <f t="shared" si="8"/>
        <v>992876</v>
      </c>
      <c r="L25" s="53"/>
      <c r="M25" s="53">
        <v>2727254</v>
      </c>
      <c r="N25" s="53"/>
      <c r="O25" s="53">
        <v>3720130</v>
      </c>
      <c r="P25" s="53"/>
      <c r="Q25" s="53">
        <v>1804423</v>
      </c>
      <c r="R25" s="53"/>
      <c r="S25" s="53">
        <v>0</v>
      </c>
      <c r="T25" s="53"/>
      <c r="U25" s="53">
        <v>3746271</v>
      </c>
      <c r="V25" s="53"/>
      <c r="W25" s="53">
        <f t="shared" si="2"/>
        <v>5550694</v>
      </c>
      <c r="Z25" s="35" t="s">
        <v>31</v>
      </c>
      <c r="AA25" s="53"/>
      <c r="AB25" s="35" t="s">
        <v>27</v>
      </c>
      <c r="AC25" s="51"/>
      <c r="AD25" s="53">
        <v>4445244</v>
      </c>
      <c r="AE25" s="53"/>
      <c r="AF25" s="53">
        <f>3968208-96959</f>
        <v>3871249</v>
      </c>
      <c r="AG25" s="53"/>
      <c r="AH25" s="53">
        <v>96959</v>
      </c>
      <c r="AI25" s="53"/>
      <c r="AJ25" s="45">
        <f t="shared" si="9"/>
        <v>477036</v>
      </c>
      <c r="AK25" s="45"/>
      <c r="AL25" s="53">
        <v>312971</v>
      </c>
      <c r="AM25" s="45"/>
      <c r="AN25" s="53">
        <v>0</v>
      </c>
      <c r="AO25" s="53"/>
      <c r="AP25" s="53">
        <v>0</v>
      </c>
      <c r="AQ25" s="53"/>
      <c r="AR25" s="53">
        <v>0</v>
      </c>
      <c r="AS25" s="53"/>
      <c r="AT25" s="45">
        <f t="shared" si="10"/>
        <v>790007</v>
      </c>
      <c r="AU25" s="45"/>
      <c r="AV25" s="53">
        <v>0</v>
      </c>
      <c r="AW25" s="53"/>
      <c r="AX25" s="53">
        <v>0</v>
      </c>
      <c r="AY25" s="53"/>
      <c r="AZ25" s="53">
        <f t="shared" si="6"/>
        <v>3528010</v>
      </c>
      <c r="BA25" s="51"/>
      <c r="BB25" s="35" t="s">
        <v>31</v>
      </c>
      <c r="BD25" s="35" t="s">
        <v>27</v>
      </c>
      <c r="BE25" s="53"/>
      <c r="BF25" s="53">
        <f>262200+2343831</f>
        <v>2606031</v>
      </c>
      <c r="BG25" s="53"/>
      <c r="BH25" s="53">
        <v>0</v>
      </c>
      <c r="BI25" s="53"/>
      <c r="BJ25" s="53">
        <f>330000+20000</f>
        <v>350000</v>
      </c>
      <c r="BK25" s="53"/>
      <c r="BL25" s="53">
        <f>53423+1235</f>
        <v>54658</v>
      </c>
      <c r="BM25" s="53"/>
      <c r="BN25" s="53">
        <f t="shared" si="5"/>
        <v>3010689</v>
      </c>
      <c r="BO25" s="54"/>
      <c r="BS25" s="55"/>
      <c r="BT25" s="55"/>
      <c r="BU25" s="84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</row>
    <row r="26" spans="1:95" s="126" customFormat="1" ht="12.75" hidden="1" customHeight="1" x14ac:dyDescent="0.2">
      <c r="A26" s="126" t="s">
        <v>32</v>
      </c>
      <c r="B26" s="124"/>
      <c r="C26" s="126" t="s">
        <v>27</v>
      </c>
      <c r="D26" s="121"/>
      <c r="E26" s="53">
        <f t="shared" si="7"/>
        <v>0</v>
      </c>
      <c r="F26" s="53"/>
      <c r="G26" s="53"/>
      <c r="H26" s="53"/>
      <c r="I26" s="53"/>
      <c r="J26" s="53"/>
      <c r="K26" s="53">
        <f t="shared" si="8"/>
        <v>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137">
        <f t="shared" si="2"/>
        <v>0</v>
      </c>
      <c r="X26" s="124"/>
      <c r="Y26" s="124"/>
      <c r="Z26" s="126" t="s">
        <v>32</v>
      </c>
      <c r="AA26" s="137"/>
      <c r="AB26" s="126" t="s">
        <v>27</v>
      </c>
      <c r="AC26" s="124"/>
      <c r="AD26" s="53"/>
      <c r="AE26" s="53"/>
      <c r="AF26" s="53"/>
      <c r="AG26" s="53"/>
      <c r="AH26" s="53"/>
      <c r="AI26" s="53"/>
      <c r="AJ26" s="45">
        <f t="shared" si="9"/>
        <v>0</v>
      </c>
      <c r="AK26" s="45"/>
      <c r="AL26" s="53"/>
      <c r="AM26" s="45"/>
      <c r="AN26" s="53"/>
      <c r="AO26" s="53"/>
      <c r="AP26" s="53"/>
      <c r="AQ26" s="53"/>
      <c r="AR26" s="53"/>
      <c r="AS26" s="53"/>
      <c r="AT26" s="45">
        <f t="shared" si="10"/>
        <v>0</v>
      </c>
      <c r="AU26" s="127"/>
      <c r="AV26" s="137">
        <v>0</v>
      </c>
      <c r="AW26" s="137"/>
      <c r="AX26" s="137">
        <v>0</v>
      </c>
      <c r="AY26" s="137"/>
      <c r="AZ26" s="137">
        <f t="shared" si="6"/>
        <v>0</v>
      </c>
      <c r="BA26" s="124"/>
      <c r="BB26" s="126" t="s">
        <v>32</v>
      </c>
      <c r="BD26" s="126" t="s">
        <v>27</v>
      </c>
      <c r="BE26" s="137"/>
      <c r="BF26" s="53"/>
      <c r="BG26" s="53"/>
      <c r="BH26" s="53"/>
      <c r="BI26" s="53"/>
      <c r="BJ26" s="53"/>
      <c r="BK26" s="53"/>
      <c r="BL26" s="53"/>
      <c r="BM26" s="137"/>
      <c r="BN26" s="137">
        <f t="shared" si="5"/>
        <v>0</v>
      </c>
      <c r="BO26" s="139"/>
      <c r="BS26" s="140"/>
      <c r="BT26" s="140"/>
      <c r="BU26" s="141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</row>
    <row r="27" spans="1:95" s="35" customFormat="1" ht="12.75" customHeight="1" x14ac:dyDescent="0.2">
      <c r="A27" s="35" t="s">
        <v>34</v>
      </c>
      <c r="B27" s="51"/>
      <c r="C27" s="35" t="s">
        <v>30</v>
      </c>
      <c r="D27" s="44"/>
      <c r="E27" s="53">
        <f t="shared" si="7"/>
        <v>1326946</v>
      </c>
      <c r="F27" s="53"/>
      <c r="G27" s="53">
        <v>13310665</v>
      </c>
      <c r="H27" s="53"/>
      <c r="I27" s="53">
        <v>14637611</v>
      </c>
      <c r="J27" s="53"/>
      <c r="K27" s="53">
        <f t="shared" si="8"/>
        <v>259101</v>
      </c>
      <c r="L27" s="53"/>
      <c r="M27" s="53">
        <v>1867237</v>
      </c>
      <c r="N27" s="53"/>
      <c r="O27" s="53">
        <v>2126338</v>
      </c>
      <c r="P27" s="53"/>
      <c r="Q27" s="53">
        <v>11374485</v>
      </c>
      <c r="R27" s="53"/>
      <c r="S27" s="53">
        <v>0</v>
      </c>
      <c r="T27" s="53"/>
      <c r="U27" s="53">
        <v>1136788</v>
      </c>
      <c r="V27" s="53"/>
      <c r="W27" s="53">
        <f t="shared" ref="W27:W56" si="18">SUM(Q27:U27)</f>
        <v>12511273</v>
      </c>
      <c r="X27" s="51"/>
      <c r="Y27" s="51"/>
      <c r="Z27" s="35" t="s">
        <v>34</v>
      </c>
      <c r="AA27" s="53"/>
      <c r="AB27" s="35" t="s">
        <v>30</v>
      </c>
      <c r="AD27" s="53">
        <v>1593726</v>
      </c>
      <c r="AE27" s="53"/>
      <c r="AF27" s="53">
        <f>1443375-308562</f>
        <v>1134813</v>
      </c>
      <c r="AG27" s="53"/>
      <c r="AH27" s="53">
        <v>308562</v>
      </c>
      <c r="AI27" s="53"/>
      <c r="AJ27" s="45">
        <f t="shared" si="9"/>
        <v>150351</v>
      </c>
      <c r="AK27" s="45"/>
      <c r="AL27" s="53">
        <v>-35833</v>
      </c>
      <c r="AM27" s="45"/>
      <c r="AN27" s="53">
        <v>0</v>
      </c>
      <c r="AO27" s="53"/>
      <c r="AP27" s="53">
        <v>0</v>
      </c>
      <c r="AQ27" s="53"/>
      <c r="AR27" s="53">
        <v>160800</v>
      </c>
      <c r="AS27" s="53"/>
      <c r="AT27" s="45">
        <f t="shared" si="10"/>
        <v>275318</v>
      </c>
      <c r="AU27" s="45"/>
      <c r="AV27" s="53">
        <v>0</v>
      </c>
      <c r="AW27" s="53"/>
      <c r="AX27" s="53">
        <v>0</v>
      </c>
      <c r="AY27" s="53"/>
      <c r="AZ27" s="53">
        <f t="shared" si="6"/>
        <v>1067845</v>
      </c>
      <c r="BA27" s="51"/>
      <c r="BB27" s="35" t="s">
        <v>34</v>
      </c>
      <c r="BD27" s="35" t="s">
        <v>30</v>
      </c>
      <c r="BE27" s="53"/>
      <c r="BF27" s="53">
        <v>0</v>
      </c>
      <c r="BG27" s="53"/>
      <c r="BH27" s="53">
        <f>56000+643000</f>
        <v>699000</v>
      </c>
      <c r="BI27" s="53"/>
      <c r="BJ27" s="53">
        <f>1212180+25000</f>
        <v>1237180</v>
      </c>
      <c r="BK27" s="53"/>
      <c r="BL27" s="53">
        <f>12057+41571</f>
        <v>53628</v>
      </c>
      <c r="BM27" s="53"/>
      <c r="BN27" s="53">
        <f t="shared" si="5"/>
        <v>1989808</v>
      </c>
      <c r="BO27" s="54"/>
      <c r="BS27" s="55"/>
      <c r="BT27" s="55"/>
      <c r="BU27" s="84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</row>
    <row r="28" spans="1:95" s="35" customFormat="1" ht="12.75" customHeight="1" x14ac:dyDescent="0.2">
      <c r="A28" s="35" t="s">
        <v>35</v>
      </c>
      <c r="B28" s="51"/>
      <c r="C28" s="35" t="s">
        <v>36</v>
      </c>
      <c r="D28" s="44"/>
      <c r="E28" s="53">
        <f t="shared" si="7"/>
        <v>1194306</v>
      </c>
      <c r="F28" s="53"/>
      <c r="G28" s="53">
        <v>10631919</v>
      </c>
      <c r="H28" s="53"/>
      <c r="I28" s="53">
        <v>11826225</v>
      </c>
      <c r="J28" s="53"/>
      <c r="K28" s="53">
        <f t="shared" si="8"/>
        <v>554201</v>
      </c>
      <c r="L28" s="53"/>
      <c r="M28" s="53">
        <v>1936115</v>
      </c>
      <c r="N28" s="53"/>
      <c r="O28" s="53">
        <v>2490316</v>
      </c>
      <c r="P28" s="53"/>
      <c r="Q28" s="53">
        <v>9119431</v>
      </c>
      <c r="R28" s="53"/>
      <c r="S28" s="53">
        <v>0</v>
      </c>
      <c r="T28" s="53"/>
      <c r="U28" s="53">
        <v>216478</v>
      </c>
      <c r="V28" s="53"/>
      <c r="W28" s="53">
        <f t="shared" si="18"/>
        <v>9335909</v>
      </c>
      <c r="X28" s="51"/>
      <c r="Y28" s="51"/>
      <c r="Z28" s="35" t="s">
        <v>35</v>
      </c>
      <c r="AA28" s="53"/>
      <c r="AB28" s="35" t="s">
        <v>36</v>
      </c>
      <c r="AC28" s="51"/>
      <c r="AD28" s="53">
        <v>1809758</v>
      </c>
      <c r="AE28" s="53"/>
      <c r="AF28" s="53">
        <f>1629079-247355</f>
        <v>1381724</v>
      </c>
      <c r="AG28" s="53"/>
      <c r="AH28" s="53">
        <v>247355</v>
      </c>
      <c r="AI28" s="53"/>
      <c r="AJ28" s="45">
        <f t="shared" si="9"/>
        <v>180679</v>
      </c>
      <c r="AK28" s="45"/>
      <c r="AL28" s="53">
        <v>31982</v>
      </c>
      <c r="AM28" s="45"/>
      <c r="AN28" s="53">
        <v>0</v>
      </c>
      <c r="AO28" s="53"/>
      <c r="AP28" s="53">
        <v>0</v>
      </c>
      <c r="AQ28" s="53"/>
      <c r="AR28" s="53">
        <v>0</v>
      </c>
      <c r="AS28" s="53"/>
      <c r="AT28" s="45">
        <f t="shared" si="10"/>
        <v>212661</v>
      </c>
      <c r="AU28" s="45"/>
      <c r="AV28" s="53">
        <v>0</v>
      </c>
      <c r="AW28" s="53"/>
      <c r="AX28" s="53">
        <v>0</v>
      </c>
      <c r="AY28" s="53"/>
      <c r="AZ28" s="53">
        <f t="shared" si="6"/>
        <v>640105</v>
      </c>
      <c r="BA28" s="51"/>
      <c r="BB28" s="35" t="s">
        <v>35</v>
      </c>
      <c r="BD28" s="35" t="s">
        <v>36</v>
      </c>
      <c r="BE28" s="53"/>
      <c r="BF28" s="53">
        <f>275175+1813847</f>
        <v>2089022</v>
      </c>
      <c r="BG28" s="53"/>
      <c r="BH28" s="53">
        <v>0</v>
      </c>
      <c r="BI28" s="53"/>
      <c r="BJ28" s="53">
        <v>0</v>
      </c>
      <c r="BK28" s="53"/>
      <c r="BL28" s="53">
        <f>113367+49115+712+8901</f>
        <v>172095</v>
      </c>
      <c r="BM28" s="53"/>
      <c r="BN28" s="53">
        <f t="shared" si="5"/>
        <v>2261117</v>
      </c>
      <c r="BO28" s="54"/>
      <c r="BS28" s="55"/>
      <c r="BT28" s="55"/>
      <c r="BU28" s="84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</row>
    <row r="29" spans="1:95" s="35" customFormat="1" ht="12.75" customHeight="1" x14ac:dyDescent="0.2">
      <c r="A29" s="35" t="s">
        <v>37</v>
      </c>
      <c r="B29" s="51"/>
      <c r="C29" s="35" t="s">
        <v>38</v>
      </c>
      <c r="D29" s="44"/>
      <c r="E29" s="53">
        <f t="shared" si="7"/>
        <v>1499837</v>
      </c>
      <c r="F29" s="53"/>
      <c r="G29" s="53">
        <f>1704263+8270455</f>
        <v>9974718</v>
      </c>
      <c r="H29" s="53"/>
      <c r="I29" s="53">
        <v>11474555</v>
      </c>
      <c r="J29" s="53"/>
      <c r="K29" s="53">
        <f t="shared" si="8"/>
        <v>136897</v>
      </c>
      <c r="L29" s="53"/>
      <c r="M29" s="53">
        <v>67953</v>
      </c>
      <c r="N29" s="53"/>
      <c r="O29" s="53">
        <v>204850</v>
      </c>
      <c r="P29" s="53"/>
      <c r="Q29" s="53">
        <v>9974718</v>
      </c>
      <c r="R29" s="53"/>
      <c r="S29" s="53">
        <v>0</v>
      </c>
      <c r="T29" s="53"/>
      <c r="U29" s="53">
        <v>1294987</v>
      </c>
      <c r="V29" s="53"/>
      <c r="W29" s="53">
        <f t="shared" si="18"/>
        <v>11269705</v>
      </c>
      <c r="X29" s="51"/>
      <c r="Y29" s="51"/>
      <c r="Z29" s="35" t="s">
        <v>37</v>
      </c>
      <c r="AA29" s="53"/>
      <c r="AB29" s="35" t="s">
        <v>38</v>
      </c>
      <c r="AC29" s="51"/>
      <c r="AD29" s="53">
        <v>2310578</v>
      </c>
      <c r="AE29" s="53"/>
      <c r="AF29" s="53">
        <f>2074790-169964</f>
        <v>1904826</v>
      </c>
      <c r="AG29" s="53"/>
      <c r="AH29" s="53">
        <v>169964</v>
      </c>
      <c r="AI29" s="53"/>
      <c r="AJ29" s="45">
        <f t="shared" si="9"/>
        <v>235788</v>
      </c>
      <c r="AK29" s="45"/>
      <c r="AL29" s="53">
        <v>5032</v>
      </c>
      <c r="AM29" s="45"/>
      <c r="AN29" s="53">
        <v>0</v>
      </c>
      <c r="AO29" s="53"/>
      <c r="AP29" s="53">
        <v>0</v>
      </c>
      <c r="AQ29" s="53"/>
      <c r="AR29" s="53">
        <v>0</v>
      </c>
      <c r="AS29" s="53"/>
      <c r="AT29" s="45">
        <f t="shared" si="10"/>
        <v>240820</v>
      </c>
      <c r="AU29" s="45"/>
      <c r="AV29" s="53">
        <v>0</v>
      </c>
      <c r="AW29" s="53"/>
      <c r="AX29" s="53">
        <v>0</v>
      </c>
      <c r="AY29" s="53"/>
      <c r="AZ29" s="53">
        <f t="shared" si="6"/>
        <v>1362940</v>
      </c>
      <c r="BA29" s="51"/>
      <c r="BB29" s="35" t="s">
        <v>37</v>
      </c>
      <c r="BD29" s="35" t="s">
        <v>38</v>
      </c>
      <c r="BE29" s="53"/>
      <c r="BF29" s="53">
        <v>0</v>
      </c>
      <c r="BG29" s="53"/>
      <c r="BH29" s="53">
        <v>0</v>
      </c>
      <c r="BI29" s="53"/>
      <c r="BJ29" s="53">
        <v>0</v>
      </c>
      <c r="BK29" s="53"/>
      <c r="BL29" s="53">
        <f>23579+67953</f>
        <v>91532</v>
      </c>
      <c r="BM29" s="53"/>
      <c r="BN29" s="53">
        <f t="shared" si="5"/>
        <v>91532</v>
      </c>
      <c r="BO29" s="54"/>
      <c r="BS29" s="55"/>
      <c r="BT29" s="55"/>
      <c r="BU29" s="84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</row>
    <row r="30" spans="1:95" s="35" customFormat="1" ht="12.75" customHeight="1" x14ac:dyDescent="0.2">
      <c r="A30" s="35" t="s">
        <v>39</v>
      </c>
      <c r="B30" s="51"/>
      <c r="C30" s="35" t="s">
        <v>40</v>
      </c>
      <c r="D30" s="44"/>
      <c r="E30" s="53">
        <f t="shared" si="7"/>
        <v>345016</v>
      </c>
      <c r="F30" s="53"/>
      <c r="G30" s="53">
        <v>6574805</v>
      </c>
      <c r="H30" s="53"/>
      <c r="I30" s="53">
        <v>6919821</v>
      </c>
      <c r="J30" s="53"/>
      <c r="K30" s="53">
        <f t="shared" si="8"/>
        <v>586147</v>
      </c>
      <c r="L30" s="53"/>
      <c r="M30" s="53">
        <v>1988036</v>
      </c>
      <c r="N30" s="53"/>
      <c r="O30" s="53">
        <v>2574183</v>
      </c>
      <c r="P30" s="53"/>
      <c r="Q30" s="53">
        <v>4220711</v>
      </c>
      <c r="R30" s="53"/>
      <c r="S30" s="53">
        <v>0</v>
      </c>
      <c r="T30" s="53"/>
      <c r="U30" s="53">
        <v>124927</v>
      </c>
      <c r="V30" s="53"/>
      <c r="W30" s="53">
        <f t="shared" si="18"/>
        <v>4345638</v>
      </c>
      <c r="X30" s="51"/>
      <c r="Y30" s="51"/>
      <c r="Z30" s="35" t="s">
        <v>39</v>
      </c>
      <c r="AA30" s="53"/>
      <c r="AB30" s="35" t="s">
        <v>40</v>
      </c>
      <c r="AC30" s="51"/>
      <c r="AD30" s="53">
        <v>909348</v>
      </c>
      <c r="AE30" s="53"/>
      <c r="AF30" s="53">
        <f>604511-158379</f>
        <v>446132</v>
      </c>
      <c r="AG30" s="53"/>
      <c r="AH30" s="53">
        <v>158379</v>
      </c>
      <c r="AI30" s="53"/>
      <c r="AJ30" s="45">
        <f t="shared" si="9"/>
        <v>304837</v>
      </c>
      <c r="AK30" s="45"/>
      <c r="AL30" s="53">
        <v>-106455</v>
      </c>
      <c r="AM30" s="45"/>
      <c r="AN30" s="53">
        <v>0</v>
      </c>
      <c r="AO30" s="53"/>
      <c r="AP30" s="53">
        <v>0</v>
      </c>
      <c r="AQ30" s="53"/>
      <c r="AR30" s="53">
        <v>0</v>
      </c>
      <c r="AS30" s="53"/>
      <c r="AT30" s="45">
        <f t="shared" si="10"/>
        <v>198382</v>
      </c>
      <c r="AU30" s="45"/>
      <c r="AV30" s="53">
        <v>0</v>
      </c>
      <c r="AW30" s="53"/>
      <c r="AX30" s="53">
        <v>0</v>
      </c>
      <c r="AY30" s="53"/>
      <c r="AZ30" s="53">
        <f>E30-K30</f>
        <v>-241131</v>
      </c>
      <c r="BA30" s="51"/>
      <c r="BB30" s="35" t="s">
        <v>39</v>
      </c>
      <c r="BD30" s="35" t="s">
        <v>40</v>
      </c>
      <c r="BE30" s="53"/>
      <c r="BF30" s="53">
        <v>0</v>
      </c>
      <c r="BG30" s="53"/>
      <c r="BH30" s="53">
        <v>0</v>
      </c>
      <c r="BI30" s="53"/>
      <c r="BJ30" s="53">
        <f>256085+42024+52590+3979</f>
        <v>354678</v>
      </c>
      <c r="BK30" s="53"/>
      <c r="BL30" s="53">
        <f>314530+5041+1684886</f>
        <v>2004457</v>
      </c>
      <c r="BM30" s="53"/>
      <c r="BN30" s="53">
        <f t="shared" si="5"/>
        <v>2359135</v>
      </c>
      <c r="BO30" s="54"/>
      <c r="BS30" s="55"/>
      <c r="BT30" s="55"/>
      <c r="BU30" s="84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</row>
    <row r="31" spans="1:95" s="35" customFormat="1" ht="12.75" customHeight="1" x14ac:dyDescent="0.2">
      <c r="A31" s="35" t="s">
        <v>41</v>
      </c>
      <c r="B31" s="51"/>
      <c r="C31" s="35" t="s">
        <v>27</v>
      </c>
      <c r="D31" s="44"/>
      <c r="E31" s="53">
        <f t="shared" si="7"/>
        <v>2398869</v>
      </c>
      <c r="F31" s="53"/>
      <c r="G31" s="53">
        <v>25598841</v>
      </c>
      <c r="H31" s="53"/>
      <c r="I31" s="53">
        <v>27997710</v>
      </c>
      <c r="J31" s="53"/>
      <c r="K31" s="53">
        <f t="shared" si="8"/>
        <v>1427785</v>
      </c>
      <c r="L31" s="53"/>
      <c r="M31" s="53">
        <v>8571733</v>
      </c>
      <c r="N31" s="53"/>
      <c r="O31" s="53">
        <v>9999518</v>
      </c>
      <c r="P31" s="53"/>
      <c r="Q31" s="53">
        <v>16451584</v>
      </c>
      <c r="R31" s="53"/>
      <c r="S31" s="53">
        <v>0</v>
      </c>
      <c r="T31" s="53"/>
      <c r="U31" s="53">
        <v>1546608</v>
      </c>
      <c r="V31" s="53"/>
      <c r="W31" s="53">
        <f t="shared" si="18"/>
        <v>17998192</v>
      </c>
      <c r="X31" s="51"/>
      <c r="Y31" s="51"/>
      <c r="Z31" s="35" t="s">
        <v>41</v>
      </c>
      <c r="AA31" s="53"/>
      <c r="AB31" s="35" t="s">
        <v>27</v>
      </c>
      <c r="AC31" s="51"/>
      <c r="AD31" s="53">
        <v>2701256</v>
      </c>
      <c r="AE31" s="53"/>
      <c r="AF31" s="53">
        <f>3506597-903180</f>
        <v>2603417</v>
      </c>
      <c r="AG31" s="53"/>
      <c r="AH31" s="53">
        <v>903180</v>
      </c>
      <c r="AI31" s="53"/>
      <c r="AJ31" s="45">
        <f t="shared" si="9"/>
        <v>-805341</v>
      </c>
      <c r="AK31" s="45"/>
      <c r="AL31" s="53">
        <v>183699</v>
      </c>
      <c r="AM31" s="45"/>
      <c r="AN31" s="53">
        <v>150000</v>
      </c>
      <c r="AO31" s="53"/>
      <c r="AP31" s="53">
        <v>0</v>
      </c>
      <c r="AQ31" s="53"/>
      <c r="AR31" s="53">
        <v>3265409</v>
      </c>
      <c r="AS31" s="53"/>
      <c r="AT31" s="45">
        <f t="shared" si="10"/>
        <v>2793767</v>
      </c>
      <c r="AU31" s="45"/>
      <c r="AV31" s="53">
        <v>0</v>
      </c>
      <c r="AW31" s="53"/>
      <c r="AX31" s="53">
        <v>0</v>
      </c>
      <c r="AY31" s="53"/>
      <c r="AZ31" s="53">
        <f t="shared" si="6"/>
        <v>971084</v>
      </c>
      <c r="BA31" s="51"/>
      <c r="BB31" s="35" t="s">
        <v>41</v>
      </c>
      <c r="BD31" s="35" t="s">
        <v>27</v>
      </c>
      <c r="BE31" s="53"/>
      <c r="BF31" s="53">
        <v>0</v>
      </c>
      <c r="BG31" s="53"/>
      <c r="BH31" s="53">
        <v>0</v>
      </c>
      <c r="BI31" s="53"/>
      <c r="BJ31" s="53">
        <f>193976+8176359+588754</f>
        <v>8959089</v>
      </c>
      <c r="BK31" s="53"/>
      <c r="BL31" s="53">
        <f>4105+27144+80373+121025</f>
        <v>232647</v>
      </c>
      <c r="BM31" s="53"/>
      <c r="BN31" s="53">
        <f t="shared" si="5"/>
        <v>9191736</v>
      </c>
      <c r="BO31" s="54"/>
      <c r="BS31" s="55"/>
      <c r="BT31" s="55"/>
      <c r="BU31" s="84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</row>
    <row r="32" spans="1:95" s="35" customFormat="1" ht="12.75" customHeight="1" x14ac:dyDescent="0.2">
      <c r="A32" s="35" t="s">
        <v>42</v>
      </c>
      <c r="B32" s="51"/>
      <c r="C32" s="35" t="s">
        <v>43</v>
      </c>
      <c r="D32" s="44"/>
      <c r="E32" s="53">
        <f t="shared" si="7"/>
        <v>1186768</v>
      </c>
      <c r="F32" s="53"/>
      <c r="G32" s="53">
        <v>4566786</v>
      </c>
      <c r="H32" s="53"/>
      <c r="I32" s="53">
        <v>5753554</v>
      </c>
      <c r="J32" s="53"/>
      <c r="K32" s="53">
        <f t="shared" si="8"/>
        <v>479458</v>
      </c>
      <c r="L32" s="53"/>
      <c r="M32" s="53">
        <v>1639352</v>
      </c>
      <c r="N32" s="53"/>
      <c r="O32" s="53">
        <v>2118810</v>
      </c>
      <c r="P32" s="53"/>
      <c r="Q32" s="53">
        <v>3364836</v>
      </c>
      <c r="R32" s="53"/>
      <c r="S32" s="53">
        <v>0</v>
      </c>
      <c r="T32" s="53"/>
      <c r="U32" s="53">
        <v>269908</v>
      </c>
      <c r="V32" s="53"/>
      <c r="W32" s="53">
        <f t="shared" si="18"/>
        <v>3634744</v>
      </c>
      <c r="X32" s="51"/>
      <c r="Y32" s="51"/>
      <c r="Z32" s="35" t="s">
        <v>42</v>
      </c>
      <c r="AA32" s="53"/>
      <c r="AB32" s="35" t="s">
        <v>43</v>
      </c>
      <c r="AC32" s="51"/>
      <c r="AD32" s="53">
        <v>2129029</v>
      </c>
      <c r="AE32" s="53"/>
      <c r="AF32" s="53">
        <f>2025149-119865</f>
        <v>1905284</v>
      </c>
      <c r="AG32" s="53"/>
      <c r="AH32" s="53">
        <v>119865</v>
      </c>
      <c r="AI32" s="53"/>
      <c r="AJ32" s="45">
        <f t="shared" si="9"/>
        <v>103880</v>
      </c>
      <c r="AK32" s="45"/>
      <c r="AL32" s="53">
        <v>-69275</v>
      </c>
      <c r="AM32" s="45"/>
      <c r="AN32" s="53">
        <v>0</v>
      </c>
      <c r="AO32" s="53"/>
      <c r="AP32" s="53">
        <v>0</v>
      </c>
      <c r="AQ32" s="53"/>
      <c r="AR32" s="53">
        <v>2283141</v>
      </c>
      <c r="AS32" s="53"/>
      <c r="AT32" s="45">
        <f t="shared" si="10"/>
        <v>2317746</v>
      </c>
      <c r="AU32" s="45"/>
      <c r="AV32" s="53">
        <v>0</v>
      </c>
      <c r="AW32" s="53"/>
      <c r="AX32" s="53">
        <v>0</v>
      </c>
      <c r="AY32" s="53"/>
      <c r="AZ32" s="53">
        <f t="shared" si="6"/>
        <v>707310</v>
      </c>
      <c r="BA32" s="51"/>
      <c r="BB32" s="35" t="s">
        <v>42</v>
      </c>
      <c r="BD32" s="35" t="s">
        <v>43</v>
      </c>
      <c r="BE32" s="53"/>
      <c r="BF32" s="53">
        <f>1608200+103750</f>
        <v>1711950</v>
      </c>
      <c r="BG32" s="53"/>
      <c r="BH32" s="53">
        <v>0</v>
      </c>
      <c r="BI32" s="53"/>
      <c r="BJ32" s="53">
        <v>0</v>
      </c>
      <c r="BK32" s="53"/>
      <c r="BL32" s="53">
        <f>31152+1070</f>
        <v>32222</v>
      </c>
      <c r="BM32" s="53"/>
      <c r="BN32" s="53">
        <f t="shared" si="5"/>
        <v>1744172</v>
      </c>
      <c r="BO32" s="54"/>
      <c r="BS32" s="55"/>
      <c r="BT32" s="55"/>
      <c r="BU32" s="84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</row>
    <row r="33" spans="1:95" s="126" customFormat="1" ht="12.75" hidden="1" customHeight="1" x14ac:dyDescent="0.2">
      <c r="A33" s="126" t="s">
        <v>44</v>
      </c>
      <c r="B33" s="124"/>
      <c r="C33" s="126" t="s">
        <v>45</v>
      </c>
      <c r="D33" s="121"/>
      <c r="E33" s="53">
        <f t="shared" si="7"/>
        <v>0</v>
      </c>
      <c r="F33" s="53"/>
      <c r="G33" s="53"/>
      <c r="H33" s="53"/>
      <c r="I33" s="53"/>
      <c r="J33" s="53"/>
      <c r="K33" s="53">
        <f t="shared" si="8"/>
        <v>0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137">
        <f t="shared" si="18"/>
        <v>0</v>
      </c>
      <c r="X33" s="124"/>
      <c r="Y33" s="124"/>
      <c r="Z33" s="126" t="s">
        <v>44</v>
      </c>
      <c r="AA33" s="137"/>
      <c r="AB33" s="126" t="s">
        <v>45</v>
      </c>
      <c r="AC33" s="124"/>
      <c r="AD33" s="53"/>
      <c r="AE33" s="53"/>
      <c r="AF33" s="53"/>
      <c r="AG33" s="53"/>
      <c r="AH33" s="53"/>
      <c r="AI33" s="53"/>
      <c r="AJ33" s="45">
        <f t="shared" si="9"/>
        <v>0</v>
      </c>
      <c r="AK33" s="45"/>
      <c r="AL33" s="53"/>
      <c r="AM33" s="45"/>
      <c r="AN33" s="53"/>
      <c r="AO33" s="53"/>
      <c r="AP33" s="53"/>
      <c r="AQ33" s="53"/>
      <c r="AR33" s="53"/>
      <c r="AS33" s="53"/>
      <c r="AT33" s="45">
        <f t="shared" si="10"/>
        <v>0</v>
      </c>
      <c r="AU33" s="127"/>
      <c r="AV33" s="137">
        <v>0</v>
      </c>
      <c r="AW33" s="137"/>
      <c r="AX33" s="137">
        <v>0</v>
      </c>
      <c r="AY33" s="137"/>
      <c r="AZ33" s="137">
        <f t="shared" si="6"/>
        <v>0</v>
      </c>
      <c r="BA33" s="124"/>
      <c r="BB33" s="126" t="s">
        <v>44</v>
      </c>
      <c r="BD33" s="126" t="s">
        <v>45</v>
      </c>
      <c r="BE33" s="137"/>
      <c r="BF33" s="53"/>
      <c r="BG33" s="53"/>
      <c r="BH33" s="53"/>
      <c r="BI33" s="53"/>
      <c r="BJ33" s="53"/>
      <c r="BK33" s="53"/>
      <c r="BL33" s="53"/>
      <c r="BM33" s="137"/>
      <c r="BN33" s="137">
        <f t="shared" si="5"/>
        <v>0</v>
      </c>
      <c r="BO33" s="139"/>
      <c r="BS33" s="140"/>
      <c r="BT33" s="140"/>
      <c r="BU33" s="141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</row>
    <row r="34" spans="1:95" s="35" customFormat="1" ht="12.75" customHeight="1" x14ac:dyDescent="0.2">
      <c r="A34" s="35" t="s">
        <v>46</v>
      </c>
      <c r="B34" s="51"/>
      <c r="C34" s="35" t="s">
        <v>47</v>
      </c>
      <c r="D34" s="44"/>
      <c r="E34" s="53">
        <f t="shared" si="7"/>
        <v>4766976</v>
      </c>
      <c r="F34" s="53"/>
      <c r="G34" s="53">
        <v>43450010</v>
      </c>
      <c r="H34" s="53"/>
      <c r="I34" s="53">
        <v>48216986</v>
      </c>
      <c r="J34" s="53"/>
      <c r="K34" s="53">
        <f t="shared" si="8"/>
        <v>290776</v>
      </c>
      <c r="L34" s="53"/>
      <c r="M34" s="53">
        <v>919008</v>
      </c>
      <c r="N34" s="53"/>
      <c r="O34" s="53">
        <v>1209784</v>
      </c>
      <c r="P34" s="53"/>
      <c r="Q34" s="53">
        <v>42637198</v>
      </c>
      <c r="R34" s="53"/>
      <c r="S34" s="53">
        <v>0</v>
      </c>
      <c r="T34" s="53"/>
      <c r="U34" s="53">
        <v>4370004</v>
      </c>
      <c r="V34" s="53"/>
      <c r="W34" s="53">
        <f t="shared" si="18"/>
        <v>47007202</v>
      </c>
      <c r="X34" s="51"/>
      <c r="Y34" s="51"/>
      <c r="Z34" s="35" t="s">
        <v>46</v>
      </c>
      <c r="AA34" s="53"/>
      <c r="AB34" s="35" t="s">
        <v>47</v>
      </c>
      <c r="AC34" s="51"/>
      <c r="AD34" s="53">
        <v>3967196</v>
      </c>
      <c r="AE34" s="53"/>
      <c r="AF34" s="53">
        <f>4306464-886334</f>
        <v>3420130</v>
      </c>
      <c r="AG34" s="53"/>
      <c r="AH34" s="53">
        <v>886334</v>
      </c>
      <c r="AI34" s="53"/>
      <c r="AJ34" s="45">
        <f t="shared" si="9"/>
        <v>-339268</v>
      </c>
      <c r="AK34" s="45"/>
      <c r="AL34" s="53">
        <v>-39351</v>
      </c>
      <c r="AM34" s="45"/>
      <c r="AN34" s="53">
        <v>0</v>
      </c>
      <c r="AO34" s="53"/>
      <c r="AP34" s="53">
        <v>0</v>
      </c>
      <c r="AQ34" s="53"/>
      <c r="AR34" s="53">
        <v>2462595</v>
      </c>
      <c r="AS34" s="53"/>
      <c r="AT34" s="45">
        <f t="shared" si="10"/>
        <v>2083976</v>
      </c>
      <c r="AU34" s="45"/>
      <c r="AV34" s="53">
        <v>0</v>
      </c>
      <c r="AW34" s="53"/>
      <c r="AX34" s="53">
        <v>0</v>
      </c>
      <c r="AY34" s="53"/>
      <c r="AZ34" s="53">
        <f t="shared" si="6"/>
        <v>4476200</v>
      </c>
      <c r="BA34" s="51"/>
      <c r="BB34" s="35" t="s">
        <v>46</v>
      </c>
      <c r="BD34" s="35" t="s">
        <v>47</v>
      </c>
      <c r="BE34" s="53"/>
      <c r="BF34" s="53">
        <f>55000+757812</f>
        <v>812812</v>
      </c>
      <c r="BG34" s="53"/>
      <c r="BH34" s="53">
        <v>0</v>
      </c>
      <c r="BI34" s="53"/>
      <c r="BJ34" s="53">
        <v>0</v>
      </c>
      <c r="BK34" s="53"/>
      <c r="BL34" s="53">
        <f>161196+72988</f>
        <v>234184</v>
      </c>
      <c r="BM34" s="53"/>
      <c r="BN34" s="53">
        <f t="shared" si="5"/>
        <v>1046996</v>
      </c>
      <c r="BO34" s="54"/>
      <c r="BS34" s="55"/>
      <c r="BT34" s="55"/>
      <c r="BU34" s="84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</row>
    <row r="35" spans="1:95" s="126" customFormat="1" ht="12.75" hidden="1" customHeight="1" x14ac:dyDescent="0.2">
      <c r="A35" s="126" t="s">
        <v>48</v>
      </c>
      <c r="B35" s="124"/>
      <c r="C35" s="126" t="s">
        <v>27</v>
      </c>
      <c r="D35" s="121"/>
      <c r="E35" s="53">
        <f t="shared" si="7"/>
        <v>0</v>
      </c>
      <c r="F35" s="53"/>
      <c r="G35" s="53"/>
      <c r="H35" s="53"/>
      <c r="I35" s="53"/>
      <c r="J35" s="53"/>
      <c r="K35" s="53">
        <f t="shared" si="8"/>
        <v>0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137">
        <f t="shared" si="18"/>
        <v>0</v>
      </c>
      <c r="X35" s="124"/>
      <c r="Y35" s="124"/>
      <c r="Z35" s="126" t="s">
        <v>48</v>
      </c>
      <c r="AA35" s="137"/>
      <c r="AB35" s="126" t="s">
        <v>27</v>
      </c>
      <c r="AC35" s="124"/>
      <c r="AD35" s="53"/>
      <c r="AE35" s="53"/>
      <c r="AF35" s="53"/>
      <c r="AG35" s="53"/>
      <c r="AH35" s="53"/>
      <c r="AI35" s="53"/>
      <c r="AJ35" s="45">
        <f t="shared" si="9"/>
        <v>0</v>
      </c>
      <c r="AK35" s="45"/>
      <c r="AL35" s="53"/>
      <c r="AM35" s="45"/>
      <c r="AN35" s="53"/>
      <c r="AO35" s="53"/>
      <c r="AP35" s="53"/>
      <c r="AQ35" s="53"/>
      <c r="AR35" s="53"/>
      <c r="AS35" s="53"/>
      <c r="AT35" s="45">
        <f t="shared" si="10"/>
        <v>0</v>
      </c>
      <c r="AU35" s="127"/>
      <c r="AV35" s="137">
        <v>0</v>
      </c>
      <c r="AW35" s="137"/>
      <c r="AX35" s="137">
        <v>0</v>
      </c>
      <c r="AY35" s="137"/>
      <c r="AZ35" s="137">
        <f t="shared" si="6"/>
        <v>0</v>
      </c>
      <c r="BA35" s="124"/>
      <c r="BB35" s="126" t="s">
        <v>48</v>
      </c>
      <c r="BD35" s="126" t="s">
        <v>27</v>
      </c>
      <c r="BE35" s="137"/>
      <c r="BF35" s="53"/>
      <c r="BG35" s="53"/>
      <c r="BH35" s="53"/>
      <c r="BI35" s="53"/>
      <c r="BJ35" s="53"/>
      <c r="BK35" s="53"/>
      <c r="BL35" s="53"/>
      <c r="BM35" s="137"/>
      <c r="BN35" s="137">
        <f t="shared" si="5"/>
        <v>0</v>
      </c>
      <c r="BO35" s="139"/>
      <c r="BS35" s="140"/>
      <c r="BT35" s="140"/>
      <c r="BU35" s="141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</row>
    <row r="36" spans="1:95" s="126" customFormat="1" ht="12.75" hidden="1" customHeight="1" x14ac:dyDescent="0.2">
      <c r="A36" s="126" t="s">
        <v>49</v>
      </c>
      <c r="B36" s="124"/>
      <c r="C36" s="126" t="s">
        <v>27</v>
      </c>
      <c r="D36" s="121"/>
      <c r="E36" s="53">
        <f t="shared" si="7"/>
        <v>0</v>
      </c>
      <c r="F36" s="53"/>
      <c r="G36" s="53"/>
      <c r="H36" s="53"/>
      <c r="I36" s="53"/>
      <c r="J36" s="53"/>
      <c r="K36" s="53">
        <f t="shared" si="8"/>
        <v>0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137">
        <f t="shared" si="18"/>
        <v>0</v>
      </c>
      <c r="X36" s="124"/>
      <c r="Y36" s="124"/>
      <c r="Z36" s="126" t="s">
        <v>49</v>
      </c>
      <c r="AA36" s="137"/>
      <c r="AB36" s="126" t="s">
        <v>27</v>
      </c>
      <c r="AC36" s="124"/>
      <c r="AD36" s="53"/>
      <c r="AE36" s="53"/>
      <c r="AF36" s="53"/>
      <c r="AG36" s="53"/>
      <c r="AH36" s="53"/>
      <c r="AI36" s="53"/>
      <c r="AJ36" s="45">
        <f t="shared" si="9"/>
        <v>0</v>
      </c>
      <c r="AK36" s="45"/>
      <c r="AL36" s="53"/>
      <c r="AM36" s="45"/>
      <c r="AN36" s="53"/>
      <c r="AO36" s="53"/>
      <c r="AP36" s="53"/>
      <c r="AQ36" s="53"/>
      <c r="AR36" s="53"/>
      <c r="AS36" s="53"/>
      <c r="AT36" s="45">
        <f t="shared" si="10"/>
        <v>0</v>
      </c>
      <c r="AU36" s="127"/>
      <c r="AV36" s="137">
        <v>0</v>
      </c>
      <c r="AW36" s="137"/>
      <c r="AX36" s="137">
        <v>0</v>
      </c>
      <c r="AY36" s="137"/>
      <c r="AZ36" s="137">
        <f t="shared" si="6"/>
        <v>0</v>
      </c>
      <c r="BA36" s="124"/>
      <c r="BB36" s="126" t="s">
        <v>49</v>
      </c>
      <c r="BD36" s="126" t="s">
        <v>27</v>
      </c>
      <c r="BE36" s="137"/>
      <c r="BF36" s="53"/>
      <c r="BG36" s="53"/>
      <c r="BH36" s="53"/>
      <c r="BI36" s="53"/>
      <c r="BJ36" s="53"/>
      <c r="BK36" s="53"/>
      <c r="BL36" s="53"/>
      <c r="BM36" s="137"/>
      <c r="BN36" s="137">
        <f t="shared" si="5"/>
        <v>0</v>
      </c>
      <c r="BO36" s="139"/>
      <c r="BS36" s="140"/>
      <c r="BT36" s="140"/>
      <c r="BU36" s="141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</row>
    <row r="37" spans="1:95" s="126" customFormat="1" ht="12.75" hidden="1" customHeight="1" x14ac:dyDescent="0.2">
      <c r="A37" s="126" t="s">
        <v>50</v>
      </c>
      <c r="B37" s="124"/>
      <c r="C37" s="126" t="s">
        <v>27</v>
      </c>
      <c r="D37" s="121"/>
      <c r="E37" s="53">
        <f t="shared" si="7"/>
        <v>0</v>
      </c>
      <c r="F37" s="53"/>
      <c r="G37" s="53"/>
      <c r="H37" s="53"/>
      <c r="I37" s="53"/>
      <c r="J37" s="53"/>
      <c r="K37" s="53">
        <f t="shared" si="8"/>
        <v>0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137">
        <f t="shared" si="18"/>
        <v>0</v>
      </c>
      <c r="X37" s="124"/>
      <c r="Y37" s="124"/>
      <c r="Z37" s="126" t="s">
        <v>50</v>
      </c>
      <c r="AA37" s="137"/>
      <c r="AB37" s="126" t="s">
        <v>27</v>
      </c>
      <c r="AC37" s="124"/>
      <c r="AD37" s="53"/>
      <c r="AE37" s="53"/>
      <c r="AF37" s="53"/>
      <c r="AG37" s="53"/>
      <c r="AH37" s="53"/>
      <c r="AI37" s="53"/>
      <c r="AJ37" s="45">
        <f t="shared" si="9"/>
        <v>0</v>
      </c>
      <c r="AK37" s="45"/>
      <c r="AL37" s="53"/>
      <c r="AM37" s="45"/>
      <c r="AN37" s="53"/>
      <c r="AO37" s="53"/>
      <c r="AP37" s="53"/>
      <c r="AQ37" s="53"/>
      <c r="AR37" s="53"/>
      <c r="AS37" s="53"/>
      <c r="AT37" s="45">
        <f t="shared" si="10"/>
        <v>0</v>
      </c>
      <c r="AU37" s="127"/>
      <c r="AV37" s="137">
        <v>0</v>
      </c>
      <c r="AW37" s="137"/>
      <c r="AX37" s="137">
        <v>0</v>
      </c>
      <c r="AY37" s="137"/>
      <c r="AZ37" s="137">
        <f t="shared" si="6"/>
        <v>0</v>
      </c>
      <c r="BA37" s="124"/>
      <c r="BB37" s="126" t="s">
        <v>50</v>
      </c>
      <c r="BD37" s="126" t="s">
        <v>27</v>
      </c>
      <c r="BE37" s="137"/>
      <c r="BF37" s="53"/>
      <c r="BG37" s="53"/>
      <c r="BH37" s="53"/>
      <c r="BI37" s="53"/>
      <c r="BJ37" s="53"/>
      <c r="BK37" s="53"/>
      <c r="BL37" s="53"/>
      <c r="BM37" s="137"/>
      <c r="BN37" s="137">
        <f t="shared" si="5"/>
        <v>0</v>
      </c>
      <c r="BO37" s="139"/>
      <c r="BS37" s="140"/>
      <c r="BT37" s="140"/>
      <c r="BU37" s="141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</row>
    <row r="38" spans="1:95" s="35" customFormat="1" ht="12.75" customHeight="1" x14ac:dyDescent="0.2">
      <c r="A38" s="35" t="s">
        <v>462</v>
      </c>
      <c r="B38" s="51"/>
      <c r="C38" s="35" t="s">
        <v>66</v>
      </c>
      <c r="D38" s="44"/>
      <c r="E38" s="53">
        <f t="shared" si="7"/>
        <v>463786</v>
      </c>
      <c r="F38" s="53"/>
      <c r="G38" s="53">
        <v>385148</v>
      </c>
      <c r="H38" s="53"/>
      <c r="I38" s="53">
        <v>848934</v>
      </c>
      <c r="J38" s="53"/>
      <c r="K38" s="53">
        <f t="shared" si="8"/>
        <v>221950</v>
      </c>
      <c r="L38" s="53"/>
      <c r="M38" s="53">
        <v>42257</v>
      </c>
      <c r="N38" s="53"/>
      <c r="O38" s="53">
        <v>264207</v>
      </c>
      <c r="P38" s="53"/>
      <c r="Q38" s="53">
        <v>312189</v>
      </c>
      <c r="R38" s="53"/>
      <c r="S38" s="53">
        <v>0</v>
      </c>
      <c r="T38" s="53"/>
      <c r="U38" s="53">
        <v>272538</v>
      </c>
      <c r="V38" s="53"/>
      <c r="W38" s="53">
        <f t="shared" si="18"/>
        <v>584727</v>
      </c>
      <c r="X38" s="51"/>
      <c r="Y38" s="51"/>
      <c r="Z38" s="35" t="s">
        <v>462</v>
      </c>
      <c r="AA38" s="53"/>
      <c r="AB38" s="35" t="s">
        <v>66</v>
      </c>
      <c r="AC38" s="51"/>
      <c r="AD38" s="53">
        <v>951086</v>
      </c>
      <c r="AE38" s="53"/>
      <c r="AF38" s="53">
        <f>982574-55297</f>
        <v>927277</v>
      </c>
      <c r="AG38" s="53"/>
      <c r="AH38" s="53">
        <v>55297</v>
      </c>
      <c r="AI38" s="53"/>
      <c r="AJ38" s="45">
        <f t="shared" si="9"/>
        <v>-31488</v>
      </c>
      <c r="AK38" s="45"/>
      <c r="AL38" s="53">
        <v>-4923</v>
      </c>
      <c r="AM38" s="45"/>
      <c r="AN38" s="53">
        <v>0</v>
      </c>
      <c r="AO38" s="53"/>
      <c r="AP38" s="53">
        <v>0</v>
      </c>
      <c r="AQ38" s="53"/>
      <c r="AR38" s="53">
        <v>19053</v>
      </c>
      <c r="AS38" s="53"/>
      <c r="AT38" s="45">
        <f t="shared" si="10"/>
        <v>-17358</v>
      </c>
      <c r="AU38" s="45"/>
      <c r="AV38" s="53">
        <v>0</v>
      </c>
      <c r="AW38" s="53"/>
      <c r="AX38" s="53">
        <v>0</v>
      </c>
      <c r="AY38" s="53"/>
      <c r="AZ38" s="53">
        <f t="shared" si="6"/>
        <v>241836</v>
      </c>
      <c r="BA38" s="51"/>
      <c r="BB38" s="35" t="s">
        <v>462</v>
      </c>
      <c r="BD38" s="35" t="s">
        <v>66</v>
      </c>
      <c r="BE38" s="53"/>
      <c r="BF38" s="53">
        <v>0</v>
      </c>
      <c r="BG38" s="53"/>
      <c r="BH38" s="53">
        <v>0</v>
      </c>
      <c r="BI38" s="53"/>
      <c r="BJ38" s="53">
        <f>37380+35579</f>
        <v>72959</v>
      </c>
      <c r="BK38" s="53"/>
      <c r="BL38" s="53">
        <f>6488+4877</f>
        <v>11365</v>
      </c>
      <c r="BM38" s="53"/>
      <c r="BN38" s="53">
        <f t="shared" si="5"/>
        <v>84324</v>
      </c>
      <c r="BO38" s="54"/>
      <c r="BP38" s="55"/>
      <c r="BS38" s="55"/>
      <c r="BT38" s="55"/>
      <c r="BU38" s="84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</row>
    <row r="39" spans="1:95" s="126" customFormat="1" ht="12.75" hidden="1" customHeight="1" x14ac:dyDescent="0.2">
      <c r="A39" s="126" t="s">
        <v>462</v>
      </c>
      <c r="B39" s="124"/>
      <c r="C39" s="126" t="s">
        <v>66</v>
      </c>
      <c r="D39" s="121"/>
      <c r="E39" s="53">
        <f t="shared" si="7"/>
        <v>0</v>
      </c>
      <c r="F39" s="53"/>
      <c r="G39" s="53"/>
      <c r="H39" s="53"/>
      <c r="I39" s="53"/>
      <c r="J39" s="53"/>
      <c r="K39" s="53">
        <f t="shared" si="8"/>
        <v>0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137">
        <f t="shared" si="18"/>
        <v>0</v>
      </c>
      <c r="X39" s="124"/>
      <c r="Y39" s="124"/>
      <c r="Z39" s="126" t="s">
        <v>462</v>
      </c>
      <c r="AA39" s="137"/>
      <c r="AB39" s="126" t="s">
        <v>66</v>
      </c>
      <c r="AC39" s="124"/>
      <c r="AD39" s="53"/>
      <c r="AE39" s="53"/>
      <c r="AF39" s="53"/>
      <c r="AG39" s="53"/>
      <c r="AH39" s="53"/>
      <c r="AI39" s="53"/>
      <c r="AJ39" s="45">
        <f t="shared" si="9"/>
        <v>0</v>
      </c>
      <c r="AK39" s="45"/>
      <c r="AL39" s="53"/>
      <c r="AM39" s="45"/>
      <c r="AN39" s="53"/>
      <c r="AO39" s="53"/>
      <c r="AP39" s="53"/>
      <c r="AQ39" s="53"/>
      <c r="AR39" s="53"/>
      <c r="AS39" s="53"/>
      <c r="AT39" s="45">
        <f t="shared" si="10"/>
        <v>0</v>
      </c>
      <c r="AU39" s="127"/>
      <c r="AV39" s="137">
        <v>0</v>
      </c>
      <c r="AW39" s="137"/>
      <c r="AX39" s="137">
        <v>0</v>
      </c>
      <c r="AY39" s="137"/>
      <c r="AZ39" s="137">
        <f t="shared" si="6"/>
        <v>0</v>
      </c>
      <c r="BA39" s="124"/>
      <c r="BB39" s="126" t="s">
        <v>462</v>
      </c>
      <c r="BD39" s="126" t="s">
        <v>66</v>
      </c>
      <c r="BE39" s="137"/>
      <c r="BF39" s="53"/>
      <c r="BG39" s="53"/>
      <c r="BH39" s="53"/>
      <c r="BI39" s="53"/>
      <c r="BJ39" s="53"/>
      <c r="BK39" s="53"/>
      <c r="BL39" s="53"/>
      <c r="BM39" s="137"/>
      <c r="BN39" s="137">
        <f t="shared" si="5"/>
        <v>0</v>
      </c>
      <c r="BO39" s="139"/>
      <c r="BP39" s="140"/>
      <c r="BS39" s="140"/>
      <c r="BT39" s="140"/>
      <c r="BU39" s="141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</row>
    <row r="40" spans="1:95" s="126" customFormat="1" ht="12.75" hidden="1" customHeight="1" x14ac:dyDescent="0.2">
      <c r="A40" s="126" t="s">
        <v>52</v>
      </c>
      <c r="B40" s="124"/>
      <c r="C40" s="126" t="s">
        <v>53</v>
      </c>
      <c r="D40" s="121"/>
      <c r="E40" s="53">
        <f t="shared" si="7"/>
        <v>0</v>
      </c>
      <c r="F40" s="53"/>
      <c r="G40" s="53"/>
      <c r="H40" s="53"/>
      <c r="I40" s="53"/>
      <c r="J40" s="53"/>
      <c r="K40" s="53">
        <f t="shared" si="8"/>
        <v>0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137">
        <f t="shared" si="18"/>
        <v>0</v>
      </c>
      <c r="X40" s="124"/>
      <c r="Y40" s="124"/>
      <c r="Z40" s="126" t="s">
        <v>52</v>
      </c>
      <c r="AA40" s="137"/>
      <c r="AB40" s="126" t="s">
        <v>53</v>
      </c>
      <c r="AC40" s="124"/>
      <c r="AD40" s="53"/>
      <c r="AE40" s="53"/>
      <c r="AF40" s="53"/>
      <c r="AG40" s="53"/>
      <c r="AH40" s="53"/>
      <c r="AI40" s="53"/>
      <c r="AJ40" s="45">
        <f t="shared" si="9"/>
        <v>0</v>
      </c>
      <c r="AK40" s="45"/>
      <c r="AL40" s="53"/>
      <c r="AM40" s="45"/>
      <c r="AN40" s="53"/>
      <c r="AO40" s="53"/>
      <c r="AP40" s="53"/>
      <c r="AQ40" s="53"/>
      <c r="AR40" s="53"/>
      <c r="AS40" s="53"/>
      <c r="AT40" s="45">
        <f t="shared" si="10"/>
        <v>0</v>
      </c>
      <c r="AU40" s="127"/>
      <c r="AV40" s="137">
        <v>0</v>
      </c>
      <c r="AW40" s="137"/>
      <c r="AX40" s="137">
        <v>0</v>
      </c>
      <c r="AY40" s="137"/>
      <c r="AZ40" s="137">
        <f t="shared" si="6"/>
        <v>0</v>
      </c>
      <c r="BA40" s="124"/>
      <c r="BB40" s="126" t="s">
        <v>52</v>
      </c>
      <c r="BD40" s="126" t="s">
        <v>53</v>
      </c>
      <c r="BE40" s="137"/>
      <c r="BF40" s="53"/>
      <c r="BG40" s="53"/>
      <c r="BH40" s="53"/>
      <c r="BI40" s="53"/>
      <c r="BJ40" s="53"/>
      <c r="BK40" s="53"/>
      <c r="BL40" s="53"/>
      <c r="BM40" s="137"/>
      <c r="BN40" s="137">
        <f t="shared" si="5"/>
        <v>0</v>
      </c>
      <c r="BO40" s="139"/>
      <c r="BS40" s="140"/>
      <c r="BT40" s="140"/>
      <c r="BU40" s="141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</row>
    <row r="41" spans="1:95" s="35" customFormat="1" ht="12.75" customHeight="1" x14ac:dyDescent="0.2">
      <c r="A41" s="35" t="s">
        <v>54</v>
      </c>
      <c r="B41" s="51"/>
      <c r="C41" s="35" t="s">
        <v>55</v>
      </c>
      <c r="D41" s="44"/>
      <c r="E41" s="53">
        <f t="shared" si="7"/>
        <v>1533692</v>
      </c>
      <c r="F41" s="53"/>
      <c r="G41" s="53">
        <v>5101523</v>
      </c>
      <c r="H41" s="53"/>
      <c r="I41" s="53">
        <v>6635215</v>
      </c>
      <c r="J41" s="53"/>
      <c r="K41" s="53">
        <f t="shared" si="8"/>
        <v>185836</v>
      </c>
      <c r="L41" s="53"/>
      <c r="M41" s="53">
        <v>197909</v>
      </c>
      <c r="N41" s="53"/>
      <c r="O41" s="53">
        <v>383745</v>
      </c>
      <c r="P41" s="53"/>
      <c r="Q41" s="53">
        <v>5101523</v>
      </c>
      <c r="R41" s="53"/>
      <c r="S41" s="53">
        <v>0</v>
      </c>
      <c r="T41" s="53"/>
      <c r="U41" s="53">
        <v>1149947</v>
      </c>
      <c r="V41" s="53"/>
      <c r="W41" s="53">
        <f t="shared" si="18"/>
        <v>6251470</v>
      </c>
      <c r="Z41" s="35" t="s">
        <v>54</v>
      </c>
      <c r="AA41" s="53"/>
      <c r="AB41" s="35" t="s">
        <v>55</v>
      </c>
      <c r="AC41" s="51"/>
      <c r="AD41" s="53">
        <v>1744533</v>
      </c>
      <c r="AE41" s="53"/>
      <c r="AF41" s="53">
        <f>1573365-216588</f>
        <v>1356777</v>
      </c>
      <c r="AG41" s="53"/>
      <c r="AH41" s="53">
        <v>216588</v>
      </c>
      <c r="AI41" s="53"/>
      <c r="AJ41" s="45">
        <f t="shared" si="9"/>
        <v>171168</v>
      </c>
      <c r="AK41" s="45"/>
      <c r="AL41" s="53">
        <v>-2619</v>
      </c>
      <c r="AM41" s="45"/>
      <c r="AN41" s="53">
        <v>0</v>
      </c>
      <c r="AO41" s="53"/>
      <c r="AP41" s="53">
        <v>0</v>
      </c>
      <c r="AQ41" s="53"/>
      <c r="AR41" s="53">
        <v>0</v>
      </c>
      <c r="AS41" s="53"/>
      <c r="AT41" s="45">
        <f t="shared" si="10"/>
        <v>168549</v>
      </c>
      <c r="AU41" s="45"/>
      <c r="AV41" s="53">
        <v>0</v>
      </c>
      <c r="AW41" s="53"/>
      <c r="AX41" s="53">
        <v>0</v>
      </c>
      <c r="AY41" s="53"/>
      <c r="AZ41" s="53">
        <f t="shared" si="6"/>
        <v>1347856</v>
      </c>
      <c r="BA41" s="51"/>
      <c r="BB41" s="35" t="s">
        <v>54</v>
      </c>
      <c r="BD41" s="35" t="s">
        <v>55</v>
      </c>
      <c r="BE41" s="53"/>
      <c r="BF41" s="53">
        <v>0</v>
      </c>
      <c r="BG41" s="53"/>
      <c r="BH41" s="53">
        <v>0</v>
      </c>
      <c r="BI41" s="53"/>
      <c r="BJ41" s="53">
        <v>0</v>
      </c>
      <c r="BK41" s="53"/>
      <c r="BL41" s="53">
        <f>35934+148785</f>
        <v>184719</v>
      </c>
      <c r="BM41" s="53"/>
      <c r="BN41" s="53">
        <f t="shared" si="5"/>
        <v>184719</v>
      </c>
      <c r="BO41" s="54"/>
      <c r="BS41" s="55"/>
      <c r="BT41" s="55"/>
      <c r="BU41" s="84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</row>
    <row r="42" spans="1:95" s="35" customFormat="1" ht="12.75" customHeight="1" x14ac:dyDescent="0.2">
      <c r="A42" s="35" t="s">
        <v>56</v>
      </c>
      <c r="B42" s="51"/>
      <c r="C42" s="35" t="s">
        <v>57</v>
      </c>
      <c r="D42" s="44"/>
      <c r="E42" s="53">
        <f t="shared" si="7"/>
        <v>1957081</v>
      </c>
      <c r="F42" s="53"/>
      <c r="G42" s="53">
        <v>8220572</v>
      </c>
      <c r="H42" s="53"/>
      <c r="I42" s="53">
        <v>10177653</v>
      </c>
      <c r="J42" s="53"/>
      <c r="K42" s="53">
        <f t="shared" si="8"/>
        <v>681213</v>
      </c>
      <c r="L42" s="53"/>
      <c r="M42" s="53">
        <v>1326715</v>
      </c>
      <c r="N42" s="53"/>
      <c r="O42" s="53">
        <v>2007928</v>
      </c>
      <c r="P42" s="53"/>
      <c r="Q42" s="53">
        <v>6752834</v>
      </c>
      <c r="R42" s="53"/>
      <c r="S42" s="53">
        <v>0</v>
      </c>
      <c r="T42" s="53"/>
      <c r="U42" s="53">
        <v>1416891</v>
      </c>
      <c r="V42" s="53"/>
      <c r="W42" s="53">
        <f t="shared" si="18"/>
        <v>8169725</v>
      </c>
      <c r="X42" s="51"/>
      <c r="Y42" s="51"/>
      <c r="Z42" s="35" t="s">
        <v>56</v>
      </c>
      <c r="AA42" s="53"/>
      <c r="AB42" s="35" t="s">
        <v>57</v>
      </c>
      <c r="AC42" s="51"/>
      <c r="AD42" s="53">
        <v>1961112</v>
      </c>
      <c r="AE42" s="53"/>
      <c r="AF42" s="53">
        <f>2537272-323664</f>
        <v>2213608</v>
      </c>
      <c r="AG42" s="53"/>
      <c r="AH42" s="53">
        <v>323664</v>
      </c>
      <c r="AI42" s="53"/>
      <c r="AJ42" s="45">
        <f t="shared" si="9"/>
        <v>-576160</v>
      </c>
      <c r="AK42" s="45"/>
      <c r="AL42" s="53">
        <v>-30648</v>
      </c>
      <c r="AM42" s="45"/>
      <c r="AN42" s="53">
        <v>0</v>
      </c>
      <c r="AO42" s="53"/>
      <c r="AP42" s="53">
        <v>0</v>
      </c>
      <c r="AQ42" s="53"/>
      <c r="AR42" s="53">
        <v>60310</v>
      </c>
      <c r="AS42" s="53"/>
      <c r="AT42" s="45">
        <f t="shared" si="10"/>
        <v>-546498</v>
      </c>
      <c r="AU42" s="45"/>
      <c r="AV42" s="53">
        <v>0</v>
      </c>
      <c r="AW42" s="53"/>
      <c r="AX42" s="53">
        <v>0</v>
      </c>
      <c r="AY42" s="53"/>
      <c r="AZ42" s="53">
        <f t="shared" si="6"/>
        <v>1275868</v>
      </c>
      <c r="BA42" s="51"/>
      <c r="BB42" s="35" t="s">
        <v>56</v>
      </c>
      <c r="BD42" s="35" t="s">
        <v>57</v>
      </c>
      <c r="BE42" s="53"/>
      <c r="BF42" s="53">
        <v>200000</v>
      </c>
      <c r="BG42" s="53"/>
      <c r="BH42" s="53">
        <v>0</v>
      </c>
      <c r="BI42" s="53"/>
      <c r="BJ42" s="53">
        <f>979242+90385+27246+13277</f>
        <v>1110150</v>
      </c>
      <c r="BK42" s="53"/>
      <c r="BL42" s="53">
        <f>100500+34975+156588</f>
        <v>292063</v>
      </c>
      <c r="BM42" s="53"/>
      <c r="BN42" s="53">
        <f t="shared" si="5"/>
        <v>1602213</v>
      </c>
      <c r="BO42" s="54"/>
      <c r="BP42" s="55"/>
      <c r="BS42" s="55"/>
      <c r="BT42" s="55"/>
      <c r="BU42" s="84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</row>
    <row r="43" spans="1:95" s="35" customFormat="1" ht="12.75" customHeight="1" x14ac:dyDescent="0.2">
      <c r="A43" s="35" t="s">
        <v>58</v>
      </c>
      <c r="B43" s="51"/>
      <c r="C43" s="35" t="s">
        <v>59</v>
      </c>
      <c r="D43" s="44"/>
      <c r="E43" s="53">
        <f t="shared" ref="E43" si="19">I43-G43</f>
        <v>2437669</v>
      </c>
      <c r="F43" s="53"/>
      <c r="G43" s="53">
        <v>7811912</v>
      </c>
      <c r="H43" s="53"/>
      <c r="I43" s="53">
        <v>10249581</v>
      </c>
      <c r="J43" s="53"/>
      <c r="K43" s="53">
        <f t="shared" ref="K43" si="20">O43-M43</f>
        <v>793065</v>
      </c>
      <c r="L43" s="53"/>
      <c r="M43" s="53">
        <v>3427432</v>
      </c>
      <c r="N43" s="53"/>
      <c r="O43" s="53">
        <v>4220497</v>
      </c>
      <c r="P43" s="53"/>
      <c r="Q43" s="53">
        <v>3766884</v>
      </c>
      <c r="R43" s="53"/>
      <c r="S43" s="53">
        <v>0</v>
      </c>
      <c r="T43" s="53"/>
      <c r="U43" s="53">
        <v>2262200</v>
      </c>
      <c r="V43" s="53"/>
      <c r="W43" s="53">
        <f t="shared" si="18"/>
        <v>6029084</v>
      </c>
      <c r="X43" s="51"/>
      <c r="Y43" s="51"/>
      <c r="Z43" s="35" t="s">
        <v>58</v>
      </c>
      <c r="AA43" s="53"/>
      <c r="AB43" s="35" t="s">
        <v>59</v>
      </c>
      <c r="AC43" s="51"/>
      <c r="AD43" s="53">
        <v>2592501</v>
      </c>
      <c r="AE43" s="53"/>
      <c r="AF43" s="53">
        <f>2078952-446981</f>
        <v>1631971</v>
      </c>
      <c r="AG43" s="53"/>
      <c r="AH43" s="53">
        <v>446981</v>
      </c>
      <c r="AI43" s="53"/>
      <c r="AJ43" s="45">
        <f t="shared" si="9"/>
        <v>513549</v>
      </c>
      <c r="AK43" s="45"/>
      <c r="AL43" s="53">
        <v>-1062673</v>
      </c>
      <c r="AM43" s="45"/>
      <c r="AN43" s="53">
        <v>0</v>
      </c>
      <c r="AO43" s="53"/>
      <c r="AP43" s="53">
        <v>0</v>
      </c>
      <c r="AQ43" s="53"/>
      <c r="AR43" s="53">
        <v>0</v>
      </c>
      <c r="AS43" s="53"/>
      <c r="AT43" s="45">
        <f t="shared" si="10"/>
        <v>-549124</v>
      </c>
      <c r="AU43" s="45"/>
      <c r="AV43" s="53">
        <v>0</v>
      </c>
      <c r="AW43" s="53"/>
      <c r="AX43" s="53">
        <v>0</v>
      </c>
      <c r="AY43" s="53"/>
      <c r="AZ43" s="53">
        <f t="shared" si="6"/>
        <v>1644604</v>
      </c>
      <c r="BA43" s="51"/>
      <c r="BB43" s="35" t="s">
        <v>58</v>
      </c>
      <c r="BD43" s="35" t="s">
        <v>59</v>
      </c>
      <c r="BE43" s="53"/>
      <c r="BF43" s="53">
        <v>0</v>
      </c>
      <c r="BG43" s="53"/>
      <c r="BH43" s="53">
        <f>730000+223000</f>
        <v>953000</v>
      </c>
      <c r="BI43" s="53"/>
      <c r="BJ43" s="53">
        <f>9223+243629+83007+2543509</f>
        <v>2879368</v>
      </c>
      <c r="BK43" s="53"/>
      <c r="BL43" s="53">
        <f>70916+2259</f>
        <v>73175</v>
      </c>
      <c r="BM43" s="53"/>
      <c r="BN43" s="53">
        <f t="shared" si="5"/>
        <v>3905543</v>
      </c>
      <c r="BO43" s="54"/>
      <c r="BS43" s="55"/>
      <c r="BT43" s="55"/>
      <c r="BU43" s="84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</row>
    <row r="44" spans="1:95" s="35" customFormat="1" ht="12.75" customHeight="1" x14ac:dyDescent="0.2">
      <c r="A44" s="44" t="s">
        <v>476</v>
      </c>
      <c r="B44" s="51"/>
      <c r="C44" s="35" t="s">
        <v>15</v>
      </c>
      <c r="D44" s="44"/>
      <c r="E44" s="53">
        <f t="shared" si="7"/>
        <v>308133</v>
      </c>
      <c r="F44" s="53"/>
      <c r="G44" s="53">
        <v>4116444</v>
      </c>
      <c r="H44" s="53"/>
      <c r="I44" s="53">
        <v>4424577</v>
      </c>
      <c r="J44" s="53"/>
      <c r="K44" s="53">
        <f t="shared" si="8"/>
        <v>284475</v>
      </c>
      <c r="L44" s="53"/>
      <c r="M44" s="53">
        <v>1192411</v>
      </c>
      <c r="N44" s="53"/>
      <c r="O44" s="53">
        <v>1476886</v>
      </c>
      <c r="P44" s="53"/>
      <c r="Q44" s="53">
        <v>2865938</v>
      </c>
      <c r="R44" s="53"/>
      <c r="S44" s="53">
        <v>0</v>
      </c>
      <c r="T44" s="53"/>
      <c r="U44" s="53">
        <v>81753</v>
      </c>
      <c r="V44" s="53"/>
      <c r="W44" s="53">
        <f t="shared" si="18"/>
        <v>2947691</v>
      </c>
      <c r="X44" s="51"/>
      <c r="Y44" s="51"/>
      <c r="Z44" s="44" t="s">
        <v>476</v>
      </c>
      <c r="AA44" s="53"/>
      <c r="AB44" s="35" t="s">
        <v>15</v>
      </c>
      <c r="AC44" s="51"/>
      <c r="AD44" s="53">
        <v>656285</v>
      </c>
      <c r="AE44" s="53"/>
      <c r="AF44" s="53">
        <f>625643-125560</f>
        <v>500083</v>
      </c>
      <c r="AG44" s="53"/>
      <c r="AH44" s="53">
        <v>125560</v>
      </c>
      <c r="AI44" s="53"/>
      <c r="AJ44" s="45">
        <f t="shared" si="9"/>
        <v>30642</v>
      </c>
      <c r="AK44" s="45"/>
      <c r="AL44" s="53">
        <v>-75341</v>
      </c>
      <c r="AM44" s="45"/>
      <c r="AN44" s="53">
        <v>60000</v>
      </c>
      <c r="AO44" s="53"/>
      <c r="AP44" s="53">
        <v>0</v>
      </c>
      <c r="AQ44" s="53"/>
      <c r="AR44" s="53">
        <v>0</v>
      </c>
      <c r="AS44" s="53"/>
      <c r="AT44" s="45">
        <f t="shared" si="10"/>
        <v>15301</v>
      </c>
      <c r="AU44" s="45"/>
      <c r="AV44" s="53">
        <v>0</v>
      </c>
      <c r="AW44" s="53"/>
      <c r="AX44" s="53">
        <v>0</v>
      </c>
      <c r="AY44" s="53"/>
      <c r="AZ44" s="53">
        <f t="shared" si="6"/>
        <v>23658</v>
      </c>
      <c r="BA44" s="51"/>
      <c r="BB44" s="44" t="s">
        <v>476</v>
      </c>
      <c r="BD44" s="35" t="s">
        <v>15</v>
      </c>
      <c r="BE44" s="53"/>
      <c r="BF44" s="53">
        <f>538320+30000</f>
        <v>568320</v>
      </c>
      <c r="BG44" s="53"/>
      <c r="BH44" s="53">
        <v>0</v>
      </c>
      <c r="BI44" s="53"/>
      <c r="BJ44" s="53">
        <f>616613+68893</f>
        <v>685506</v>
      </c>
      <c r="BK44" s="53"/>
      <c r="BL44" s="53">
        <v>37478</v>
      </c>
      <c r="BM44" s="53"/>
      <c r="BN44" s="53">
        <f t="shared" si="5"/>
        <v>1291304</v>
      </c>
      <c r="BO44" s="54"/>
      <c r="BS44" s="55"/>
      <c r="BT44" s="55"/>
      <c r="BU44" s="84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</row>
    <row r="45" spans="1:95" s="35" customFormat="1" ht="12.75" customHeight="1" x14ac:dyDescent="0.2">
      <c r="A45" s="44" t="s">
        <v>504</v>
      </c>
      <c r="B45" s="47"/>
      <c r="C45" s="44" t="s">
        <v>43</v>
      </c>
      <c r="D45" s="44"/>
      <c r="E45" s="53">
        <f t="shared" ref="E45" si="21">I45-G45</f>
        <v>2531519</v>
      </c>
      <c r="F45" s="53"/>
      <c r="G45" s="53">
        <v>8189490</v>
      </c>
      <c r="H45" s="53"/>
      <c r="I45" s="53">
        <v>10721009</v>
      </c>
      <c r="J45" s="53"/>
      <c r="K45" s="53">
        <f t="shared" ref="K45" si="22">O45-M45</f>
        <v>443511</v>
      </c>
      <c r="L45" s="53"/>
      <c r="M45" s="53">
        <v>3925129</v>
      </c>
      <c r="N45" s="53"/>
      <c r="O45" s="53">
        <v>4368640</v>
      </c>
      <c r="P45" s="53"/>
      <c r="Q45" s="53">
        <v>4003235</v>
      </c>
      <c r="R45" s="53"/>
      <c r="S45" s="53">
        <v>0</v>
      </c>
      <c r="T45" s="53"/>
      <c r="U45" s="53">
        <v>2349134</v>
      </c>
      <c r="V45" s="53"/>
      <c r="W45" s="53">
        <f t="shared" ref="W45" si="23">SUM(Q45:U45)</f>
        <v>6352369</v>
      </c>
      <c r="X45" s="51"/>
      <c r="Y45" s="51"/>
      <c r="Z45" s="44" t="s">
        <v>504</v>
      </c>
      <c r="AA45" s="47"/>
      <c r="AB45" s="44" t="s">
        <v>43</v>
      </c>
      <c r="AC45" s="51"/>
      <c r="AD45" s="53">
        <v>1362574</v>
      </c>
      <c r="AE45" s="53"/>
      <c r="AF45" s="53">
        <f>1047485-173565</f>
        <v>873920</v>
      </c>
      <c r="AG45" s="53"/>
      <c r="AH45" s="53">
        <v>173565</v>
      </c>
      <c r="AI45" s="53"/>
      <c r="AJ45" s="45">
        <f t="shared" ref="AJ45" si="24">+AD45-AF45-AH45</f>
        <v>315089</v>
      </c>
      <c r="AK45" s="45"/>
      <c r="AL45" s="53">
        <v>-148104</v>
      </c>
      <c r="AM45" s="45"/>
      <c r="AN45" s="53">
        <v>1740</v>
      </c>
      <c r="AO45" s="53"/>
      <c r="AP45" s="53">
        <v>0</v>
      </c>
      <c r="AQ45" s="53"/>
      <c r="AR45" s="53">
        <v>0</v>
      </c>
      <c r="AS45" s="53"/>
      <c r="AT45" s="45">
        <f t="shared" ref="AT45" si="25">+AJ45+AL45+AN45-AP45+AR45</f>
        <v>168725</v>
      </c>
      <c r="AU45" s="45"/>
      <c r="AV45" s="53">
        <v>0</v>
      </c>
      <c r="AW45" s="53"/>
      <c r="AX45" s="53">
        <v>0</v>
      </c>
      <c r="AY45" s="53"/>
      <c r="AZ45" s="53">
        <f t="shared" ref="AZ45" si="26">E45-K45</f>
        <v>2088008</v>
      </c>
      <c r="BA45" s="51"/>
      <c r="BB45" s="44" t="s">
        <v>504</v>
      </c>
      <c r="BC45" s="47"/>
      <c r="BD45" s="44" t="s">
        <v>43</v>
      </c>
      <c r="BE45" s="53"/>
      <c r="BF45" s="53">
        <v>0</v>
      </c>
      <c r="BG45" s="53"/>
      <c r="BH45" s="53">
        <v>0</v>
      </c>
      <c r="BI45" s="53"/>
      <c r="BJ45" s="53">
        <f>352273+7810+3805279+20893</f>
        <v>4186255</v>
      </c>
      <c r="BK45" s="53"/>
      <c r="BL45" s="53">
        <f>29053+98957</f>
        <v>128010</v>
      </c>
      <c r="BM45" s="53"/>
      <c r="BN45" s="53">
        <f t="shared" si="5"/>
        <v>4314265</v>
      </c>
      <c r="BO45" s="54"/>
      <c r="BS45" s="55"/>
      <c r="BT45" s="55"/>
      <c r="BU45" s="84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</row>
    <row r="46" spans="1:95" s="35" customFormat="1" ht="12.75" customHeight="1" x14ac:dyDescent="0.2">
      <c r="A46" s="35" t="s">
        <v>60</v>
      </c>
      <c r="C46" s="35" t="s">
        <v>61</v>
      </c>
      <c r="D46" s="44"/>
      <c r="E46" s="53">
        <f t="shared" si="7"/>
        <v>1396530</v>
      </c>
      <c r="F46" s="53"/>
      <c r="G46" s="53">
        <v>5539035</v>
      </c>
      <c r="H46" s="53"/>
      <c r="I46" s="53">
        <v>6935565</v>
      </c>
      <c r="J46" s="53"/>
      <c r="K46" s="53">
        <f t="shared" si="8"/>
        <v>16435</v>
      </c>
      <c r="L46" s="53"/>
      <c r="M46" s="53">
        <v>0</v>
      </c>
      <c r="N46" s="53"/>
      <c r="O46" s="53">
        <v>16435</v>
      </c>
      <c r="P46" s="53"/>
      <c r="Q46" s="53">
        <v>5539035</v>
      </c>
      <c r="R46" s="53"/>
      <c r="S46" s="53">
        <v>0</v>
      </c>
      <c r="T46" s="53"/>
      <c r="U46" s="53">
        <v>1380095</v>
      </c>
      <c r="V46" s="53"/>
      <c r="W46" s="53">
        <f t="shared" si="18"/>
        <v>6919130</v>
      </c>
      <c r="X46" s="51"/>
      <c r="Y46" s="51"/>
      <c r="Z46" s="35" t="s">
        <v>60</v>
      </c>
      <c r="AA46" s="53"/>
      <c r="AB46" s="35" t="s">
        <v>61</v>
      </c>
      <c r="AD46" s="53">
        <v>1237432</v>
      </c>
      <c r="AE46" s="53"/>
      <c r="AF46" s="53">
        <f>1412596-205306</f>
        <v>1207290</v>
      </c>
      <c r="AG46" s="53"/>
      <c r="AH46" s="53">
        <v>205306</v>
      </c>
      <c r="AI46" s="53"/>
      <c r="AJ46" s="45">
        <f t="shared" si="9"/>
        <v>-175164</v>
      </c>
      <c r="AK46" s="45"/>
      <c r="AL46" s="53">
        <v>-2751</v>
      </c>
      <c r="AM46" s="45"/>
      <c r="AN46" s="53">
        <v>0</v>
      </c>
      <c r="AO46" s="53"/>
      <c r="AP46" s="53">
        <v>0</v>
      </c>
      <c r="AQ46" s="53"/>
      <c r="AR46" s="53">
        <v>58655</v>
      </c>
      <c r="AS46" s="53"/>
      <c r="AT46" s="45">
        <f t="shared" si="10"/>
        <v>-119260</v>
      </c>
      <c r="AU46" s="45"/>
      <c r="AV46" s="53">
        <v>0</v>
      </c>
      <c r="AW46" s="53"/>
      <c r="AX46" s="53">
        <v>0</v>
      </c>
      <c r="AY46" s="53"/>
      <c r="AZ46" s="53">
        <f t="shared" si="6"/>
        <v>1380095</v>
      </c>
      <c r="BA46" s="51"/>
      <c r="BB46" s="35" t="s">
        <v>60</v>
      </c>
      <c r="BD46" s="35" t="s">
        <v>61</v>
      </c>
      <c r="BE46" s="53"/>
      <c r="BF46" s="53">
        <v>0</v>
      </c>
      <c r="BG46" s="53"/>
      <c r="BH46" s="53">
        <v>0</v>
      </c>
      <c r="BI46" s="53"/>
      <c r="BJ46" s="53">
        <v>0</v>
      </c>
      <c r="BK46" s="53"/>
      <c r="BL46" s="53">
        <v>5757</v>
      </c>
      <c r="BM46" s="53"/>
      <c r="BN46" s="53">
        <f t="shared" si="5"/>
        <v>5757</v>
      </c>
      <c r="BO46" s="54"/>
      <c r="BS46" s="55"/>
      <c r="BT46" s="55"/>
      <c r="BU46" s="84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</row>
    <row r="47" spans="1:95" s="35" customFormat="1" ht="12.75" hidden="1" customHeight="1" x14ac:dyDescent="0.2">
      <c r="A47" s="44" t="s">
        <v>62</v>
      </c>
      <c r="B47" s="51"/>
      <c r="C47" s="35" t="s">
        <v>15</v>
      </c>
      <c r="D47" s="44"/>
      <c r="E47" s="53">
        <f t="shared" si="7"/>
        <v>15829553</v>
      </c>
      <c r="F47" s="53"/>
      <c r="G47" s="53">
        <v>59400020</v>
      </c>
      <c r="H47" s="53"/>
      <c r="I47" s="53">
        <v>75229573</v>
      </c>
      <c r="J47" s="53"/>
      <c r="K47" s="53">
        <f t="shared" si="8"/>
        <v>2627961</v>
      </c>
      <c r="L47" s="53"/>
      <c r="M47" s="53">
        <v>26690097</v>
      </c>
      <c r="N47" s="53"/>
      <c r="O47" s="53">
        <v>29318058</v>
      </c>
      <c r="P47" s="53"/>
      <c r="Q47" s="53">
        <v>31494779</v>
      </c>
      <c r="R47" s="53"/>
      <c r="S47" s="53">
        <v>0</v>
      </c>
      <c r="T47" s="53"/>
      <c r="U47" s="53">
        <v>14416736</v>
      </c>
      <c r="V47" s="53"/>
      <c r="W47" s="53">
        <f t="shared" si="18"/>
        <v>45911515</v>
      </c>
      <c r="X47" s="51"/>
      <c r="Y47" s="51"/>
      <c r="Z47" s="44" t="s">
        <v>62</v>
      </c>
      <c r="AA47" s="53"/>
      <c r="AB47" s="35" t="s">
        <v>15</v>
      </c>
      <c r="AC47" s="51"/>
      <c r="AD47" s="53">
        <v>13842633</v>
      </c>
      <c r="AE47" s="53"/>
      <c r="AF47" s="53">
        <f>11581886-1442285</f>
        <v>10139601</v>
      </c>
      <c r="AG47" s="53"/>
      <c r="AH47" s="53">
        <v>1442285</v>
      </c>
      <c r="AI47" s="53"/>
      <c r="AJ47" s="45">
        <f t="shared" si="9"/>
        <v>2260747</v>
      </c>
      <c r="AK47" s="45"/>
      <c r="AL47" s="53">
        <v>-892846</v>
      </c>
      <c r="AM47" s="45"/>
      <c r="AN47" s="53">
        <v>0</v>
      </c>
      <c r="AO47" s="53"/>
      <c r="AP47" s="53">
        <v>0</v>
      </c>
      <c r="AQ47" s="53"/>
      <c r="AR47" s="53">
        <v>12655</v>
      </c>
      <c r="AS47" s="53"/>
      <c r="AT47" s="45">
        <f t="shared" si="10"/>
        <v>1380556</v>
      </c>
      <c r="AU47" s="45"/>
      <c r="AV47" s="53">
        <v>0</v>
      </c>
      <c r="AW47" s="53"/>
      <c r="AX47" s="53">
        <v>0</v>
      </c>
      <c r="AY47" s="53"/>
      <c r="AZ47" s="53">
        <f t="shared" si="6"/>
        <v>13201592</v>
      </c>
      <c r="BA47" s="51"/>
      <c r="BB47" s="44" t="s">
        <v>62</v>
      </c>
      <c r="BD47" s="35" t="s">
        <v>15</v>
      </c>
      <c r="BE47" s="53"/>
      <c r="BF47" s="53">
        <f>26690097+1215144</f>
        <v>27905241</v>
      </c>
      <c r="BG47" s="53"/>
      <c r="BH47" s="53">
        <v>0</v>
      </c>
      <c r="BI47" s="53"/>
      <c r="BJ47" s="53">
        <v>0</v>
      </c>
      <c r="BK47" s="53"/>
      <c r="BL47" s="53">
        <v>0</v>
      </c>
      <c r="BM47" s="53"/>
      <c r="BN47" s="53">
        <f t="shared" si="5"/>
        <v>27905241</v>
      </c>
      <c r="BO47" s="54"/>
      <c r="BP47" s="121" t="s">
        <v>503</v>
      </c>
      <c r="BS47" s="55"/>
      <c r="BT47" s="55"/>
      <c r="BU47" s="84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</row>
    <row r="48" spans="1:95" s="126" customFormat="1" ht="12.75" hidden="1" customHeight="1" x14ac:dyDescent="0.2">
      <c r="A48" s="126" t="s">
        <v>485</v>
      </c>
      <c r="B48" s="124"/>
      <c r="C48" s="126" t="s">
        <v>111</v>
      </c>
      <c r="D48" s="121"/>
      <c r="E48" s="137">
        <f t="shared" si="7"/>
        <v>0</v>
      </c>
      <c r="F48" s="137"/>
      <c r="G48" s="137"/>
      <c r="H48" s="137"/>
      <c r="I48" s="137"/>
      <c r="J48" s="137"/>
      <c r="K48" s="137">
        <f t="shared" si="8"/>
        <v>0</v>
      </c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>
        <f t="shared" si="18"/>
        <v>0</v>
      </c>
      <c r="X48" s="124"/>
      <c r="Y48" s="124"/>
      <c r="Z48" s="126" t="s">
        <v>485</v>
      </c>
      <c r="AA48" s="124"/>
      <c r="AB48" s="126" t="s">
        <v>111</v>
      </c>
      <c r="AC48" s="124"/>
      <c r="AD48" s="137"/>
      <c r="AE48" s="137"/>
      <c r="AF48" s="137"/>
      <c r="AG48" s="137"/>
      <c r="AH48" s="137"/>
      <c r="AI48" s="137"/>
      <c r="AJ48" s="127">
        <f t="shared" si="9"/>
        <v>0</v>
      </c>
      <c r="AK48" s="127"/>
      <c r="AL48" s="137"/>
      <c r="AM48" s="127"/>
      <c r="AN48" s="137"/>
      <c r="AO48" s="137"/>
      <c r="AP48" s="137"/>
      <c r="AQ48" s="137"/>
      <c r="AR48" s="137"/>
      <c r="AS48" s="137"/>
      <c r="AT48" s="127">
        <f t="shared" si="10"/>
        <v>0</v>
      </c>
      <c r="AU48" s="127"/>
      <c r="AV48" s="137">
        <v>0</v>
      </c>
      <c r="AW48" s="137"/>
      <c r="AX48" s="137">
        <v>0</v>
      </c>
      <c r="AY48" s="137"/>
      <c r="AZ48" s="137">
        <f>E48-K48</f>
        <v>0</v>
      </c>
      <c r="BA48" s="124"/>
      <c r="BB48" s="126" t="s">
        <v>485</v>
      </c>
      <c r="BC48" s="124"/>
      <c r="BD48" s="126" t="s">
        <v>111</v>
      </c>
      <c r="BE48" s="137"/>
      <c r="BF48" s="137"/>
      <c r="BG48" s="137"/>
      <c r="BH48" s="137"/>
      <c r="BI48" s="137"/>
      <c r="BJ48" s="137"/>
      <c r="BK48" s="137"/>
      <c r="BL48" s="137"/>
      <c r="BM48" s="137"/>
      <c r="BN48" s="137">
        <f t="shared" si="5"/>
        <v>0</v>
      </c>
      <c r="BO48" s="139"/>
      <c r="BP48" s="121" t="s">
        <v>505</v>
      </c>
      <c r="BS48" s="140"/>
      <c r="BT48" s="140"/>
      <c r="BU48" s="141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</row>
    <row r="49" spans="1:95" s="35" customFormat="1" ht="12.75" customHeight="1" x14ac:dyDescent="0.2">
      <c r="A49" s="35" t="s">
        <v>63</v>
      </c>
      <c r="B49" s="51"/>
      <c r="C49" s="35" t="s">
        <v>64</v>
      </c>
      <c r="D49" s="44"/>
      <c r="E49" s="53">
        <f t="shared" si="7"/>
        <v>2602327</v>
      </c>
      <c r="F49" s="53"/>
      <c r="G49" s="53">
        <v>13352693</v>
      </c>
      <c r="H49" s="53"/>
      <c r="I49" s="53">
        <v>15955020</v>
      </c>
      <c r="J49" s="53"/>
      <c r="K49" s="53">
        <f t="shared" si="8"/>
        <v>646816</v>
      </c>
      <c r="L49" s="53"/>
      <c r="M49" s="53">
        <v>6583258</v>
      </c>
      <c r="N49" s="53"/>
      <c r="O49" s="53">
        <v>7230074</v>
      </c>
      <c r="P49" s="53"/>
      <c r="Q49" s="53">
        <v>6408626</v>
      </c>
      <c r="R49" s="53"/>
      <c r="S49" s="53">
        <v>0</v>
      </c>
      <c r="T49" s="53"/>
      <c r="U49" s="53">
        <v>2316320</v>
      </c>
      <c r="V49" s="53"/>
      <c r="W49" s="53">
        <f t="shared" si="18"/>
        <v>8724946</v>
      </c>
      <c r="X49" s="51"/>
      <c r="Y49" s="51"/>
      <c r="Z49" s="35" t="s">
        <v>63</v>
      </c>
      <c r="AA49" s="53"/>
      <c r="AB49" s="35" t="s">
        <v>64</v>
      </c>
      <c r="AC49" s="51"/>
      <c r="AD49" s="53">
        <v>3843066</v>
      </c>
      <c r="AE49" s="53"/>
      <c r="AF49" s="53">
        <f>2835075-418224</f>
        <v>2416851</v>
      </c>
      <c r="AG49" s="53"/>
      <c r="AH49" s="53">
        <v>418224</v>
      </c>
      <c r="AI49" s="53"/>
      <c r="AJ49" s="45">
        <f t="shared" si="9"/>
        <v>1007991</v>
      </c>
      <c r="AK49" s="45"/>
      <c r="AL49" s="53">
        <v>-334703</v>
      </c>
      <c r="AM49" s="45"/>
      <c r="AN49" s="53">
        <v>17468</v>
      </c>
      <c r="AO49" s="53"/>
      <c r="AP49" s="53">
        <v>0</v>
      </c>
      <c r="AQ49" s="53"/>
      <c r="AR49" s="53">
        <v>0</v>
      </c>
      <c r="AS49" s="53"/>
      <c r="AT49" s="45">
        <f t="shared" si="10"/>
        <v>690756</v>
      </c>
      <c r="AU49" s="45"/>
      <c r="AV49" s="53">
        <v>0</v>
      </c>
      <c r="AW49" s="53"/>
      <c r="AX49" s="53">
        <v>0</v>
      </c>
      <c r="AY49" s="53"/>
      <c r="AZ49" s="53">
        <f t="shared" si="6"/>
        <v>1955511</v>
      </c>
      <c r="BA49" s="51"/>
      <c r="BB49" s="35" t="s">
        <v>63</v>
      </c>
      <c r="BC49" s="51"/>
      <c r="BD49" s="35" t="s">
        <v>64</v>
      </c>
      <c r="BE49" s="53"/>
      <c r="BF49" s="53">
        <f>130000+685346</f>
        <v>815346</v>
      </c>
      <c r="BG49" s="53"/>
      <c r="BH49" s="53">
        <v>0</v>
      </c>
      <c r="BI49" s="53"/>
      <c r="BJ49" s="53">
        <f>24162+260742+302026+5541791</f>
        <v>6128721</v>
      </c>
      <c r="BK49" s="53"/>
      <c r="BL49" s="53">
        <f>54095+25974</f>
        <v>80069</v>
      </c>
      <c r="BM49" s="53"/>
      <c r="BN49" s="53">
        <f t="shared" si="5"/>
        <v>7024136</v>
      </c>
      <c r="BO49" s="54"/>
      <c r="BS49" s="55"/>
      <c r="BT49" s="55"/>
      <c r="BU49" s="84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</row>
    <row r="50" spans="1:95" s="126" customFormat="1" ht="12.75" hidden="1" customHeight="1" x14ac:dyDescent="0.2">
      <c r="A50" s="126" t="s">
        <v>65</v>
      </c>
      <c r="B50" s="124"/>
      <c r="C50" s="126" t="s">
        <v>66</v>
      </c>
      <c r="D50" s="121"/>
      <c r="E50" s="53">
        <f t="shared" si="7"/>
        <v>0</v>
      </c>
      <c r="F50" s="53"/>
      <c r="G50" s="53"/>
      <c r="H50" s="53"/>
      <c r="I50" s="53"/>
      <c r="J50" s="53"/>
      <c r="K50" s="53">
        <f t="shared" si="8"/>
        <v>0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>
        <f t="shared" si="18"/>
        <v>0</v>
      </c>
      <c r="X50" s="51"/>
      <c r="Y50" s="51"/>
      <c r="Z50" s="35" t="s">
        <v>65</v>
      </c>
      <c r="AA50" s="53"/>
      <c r="AB50" s="35" t="s">
        <v>66</v>
      </c>
      <c r="AC50" s="51"/>
      <c r="AD50" s="53"/>
      <c r="AE50" s="53"/>
      <c r="AF50" s="53"/>
      <c r="AG50" s="53"/>
      <c r="AH50" s="53"/>
      <c r="AI50" s="53"/>
      <c r="AJ50" s="45">
        <f t="shared" si="9"/>
        <v>0</v>
      </c>
      <c r="AK50" s="45"/>
      <c r="AL50" s="53"/>
      <c r="AM50" s="45"/>
      <c r="AN50" s="53"/>
      <c r="AO50" s="53"/>
      <c r="AP50" s="53"/>
      <c r="AQ50" s="53"/>
      <c r="AR50" s="53"/>
      <c r="AS50" s="53"/>
      <c r="AT50" s="45">
        <f t="shared" si="10"/>
        <v>0</v>
      </c>
      <c r="AU50" s="45"/>
      <c r="AV50" s="53">
        <v>0</v>
      </c>
      <c r="AW50" s="53"/>
      <c r="AX50" s="53">
        <v>0</v>
      </c>
      <c r="AY50" s="53"/>
      <c r="AZ50" s="53">
        <f t="shared" si="6"/>
        <v>0</v>
      </c>
      <c r="BA50" s="51"/>
      <c r="BB50" s="35" t="s">
        <v>65</v>
      </c>
      <c r="BC50" s="35"/>
      <c r="BD50" s="35" t="s">
        <v>66</v>
      </c>
      <c r="BE50" s="53"/>
      <c r="BF50" s="53"/>
      <c r="BG50" s="53"/>
      <c r="BH50" s="53"/>
      <c r="BI50" s="53"/>
      <c r="BJ50" s="53"/>
      <c r="BK50" s="53"/>
      <c r="BL50" s="53"/>
      <c r="BM50" s="53"/>
      <c r="BN50" s="53">
        <f t="shared" si="5"/>
        <v>0</v>
      </c>
      <c r="BO50" s="139"/>
      <c r="BS50" s="140"/>
      <c r="BT50" s="140"/>
      <c r="BU50" s="141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</row>
    <row r="51" spans="1:95" s="35" customFormat="1" ht="12.75" customHeight="1" x14ac:dyDescent="0.2">
      <c r="A51" s="35" t="s">
        <v>67</v>
      </c>
      <c r="B51" s="51"/>
      <c r="C51" s="35" t="s">
        <v>375</v>
      </c>
      <c r="D51" s="44"/>
      <c r="E51" s="53">
        <f t="shared" si="7"/>
        <v>1010198</v>
      </c>
      <c r="F51" s="53"/>
      <c r="G51" s="53">
        <v>12293339</v>
      </c>
      <c r="H51" s="53"/>
      <c r="I51" s="53">
        <v>13303537</v>
      </c>
      <c r="J51" s="53"/>
      <c r="K51" s="53">
        <f t="shared" si="8"/>
        <v>338791</v>
      </c>
      <c r="L51" s="53"/>
      <c r="M51" s="53">
        <v>4808731</v>
      </c>
      <c r="N51" s="53"/>
      <c r="O51" s="53">
        <v>5147522</v>
      </c>
      <c r="P51" s="53"/>
      <c r="Q51" s="53">
        <v>7281361</v>
      </c>
      <c r="R51" s="53"/>
      <c r="S51" s="53">
        <v>0</v>
      </c>
      <c r="T51" s="53"/>
      <c r="U51" s="53">
        <v>874654</v>
      </c>
      <c r="V51" s="53"/>
      <c r="W51" s="53">
        <f t="shared" si="18"/>
        <v>8156015</v>
      </c>
      <c r="X51" s="51"/>
      <c r="Y51" s="51"/>
      <c r="Z51" s="35" t="s">
        <v>67</v>
      </c>
      <c r="AA51" s="53"/>
      <c r="AB51" s="35" t="s">
        <v>375</v>
      </c>
      <c r="AC51" s="51"/>
      <c r="AD51" s="53">
        <v>884719</v>
      </c>
      <c r="AE51" s="53"/>
      <c r="AF51" s="53">
        <f>1125977-246416</f>
        <v>879561</v>
      </c>
      <c r="AG51" s="53"/>
      <c r="AH51" s="53">
        <v>246416</v>
      </c>
      <c r="AI51" s="53"/>
      <c r="AJ51" s="45">
        <f t="shared" si="9"/>
        <v>-241258</v>
      </c>
      <c r="AK51" s="45"/>
      <c r="AL51" s="53">
        <v>-108558</v>
      </c>
      <c r="AM51" s="45"/>
      <c r="AN51" s="53">
        <v>0</v>
      </c>
      <c r="AO51" s="53"/>
      <c r="AP51" s="53">
        <v>0</v>
      </c>
      <c r="AQ51" s="53"/>
      <c r="AR51" s="53">
        <v>0</v>
      </c>
      <c r="AS51" s="53"/>
      <c r="AT51" s="45">
        <f t="shared" si="10"/>
        <v>-349816</v>
      </c>
      <c r="AU51" s="45"/>
      <c r="AV51" s="53">
        <v>0</v>
      </c>
      <c r="AW51" s="53"/>
      <c r="AX51" s="53">
        <v>0</v>
      </c>
      <c r="AY51" s="53"/>
      <c r="AZ51" s="53">
        <f t="shared" si="6"/>
        <v>671407</v>
      </c>
      <c r="BA51" s="51"/>
      <c r="BB51" s="35" t="s">
        <v>67</v>
      </c>
      <c r="BD51" s="35" t="s">
        <v>375</v>
      </c>
      <c r="BE51" s="53"/>
      <c r="BF51" s="53">
        <v>0</v>
      </c>
      <c r="BG51" s="53"/>
      <c r="BH51" s="53">
        <v>0</v>
      </c>
      <c r="BI51" s="53"/>
      <c r="BJ51" s="53">
        <f>259180+4752798</f>
        <v>5011978</v>
      </c>
      <c r="BK51" s="53"/>
      <c r="BL51" s="53">
        <f>15760+55933</f>
        <v>71693</v>
      </c>
      <c r="BM51" s="53"/>
      <c r="BN51" s="53">
        <f t="shared" si="5"/>
        <v>5083671</v>
      </c>
      <c r="BO51" s="54"/>
      <c r="BS51" s="55"/>
      <c r="BT51" s="55"/>
      <c r="BU51" s="84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</row>
    <row r="52" spans="1:95" s="126" customFormat="1" ht="12.75" hidden="1" customHeight="1" x14ac:dyDescent="0.2">
      <c r="A52" s="126" t="s">
        <v>68</v>
      </c>
      <c r="B52" s="124"/>
      <c r="C52" s="126" t="s">
        <v>45</v>
      </c>
      <c r="D52" s="121"/>
      <c r="E52" s="53">
        <f t="shared" si="7"/>
        <v>0</v>
      </c>
      <c r="F52" s="53"/>
      <c r="G52" s="53"/>
      <c r="H52" s="53"/>
      <c r="I52" s="53"/>
      <c r="J52" s="53"/>
      <c r="K52" s="53">
        <f t="shared" si="8"/>
        <v>0</v>
      </c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137">
        <f t="shared" si="18"/>
        <v>0</v>
      </c>
      <c r="X52" s="124"/>
      <c r="Y52" s="124"/>
      <c r="Z52" s="126" t="s">
        <v>68</v>
      </c>
      <c r="AA52" s="137"/>
      <c r="AB52" s="126" t="s">
        <v>45</v>
      </c>
      <c r="AC52" s="124"/>
      <c r="AD52" s="53"/>
      <c r="AE52" s="53"/>
      <c r="AF52" s="53"/>
      <c r="AG52" s="53"/>
      <c r="AH52" s="53"/>
      <c r="AI52" s="53"/>
      <c r="AJ52" s="45">
        <f t="shared" si="9"/>
        <v>0</v>
      </c>
      <c r="AK52" s="45"/>
      <c r="AL52" s="53"/>
      <c r="AM52" s="45"/>
      <c r="AN52" s="53"/>
      <c r="AO52" s="53"/>
      <c r="AP52" s="53"/>
      <c r="AQ52" s="53"/>
      <c r="AR52" s="53"/>
      <c r="AS52" s="53"/>
      <c r="AT52" s="45">
        <f t="shared" si="10"/>
        <v>0</v>
      </c>
      <c r="AU52" s="127"/>
      <c r="AV52" s="137">
        <v>0</v>
      </c>
      <c r="AW52" s="137"/>
      <c r="AX52" s="137">
        <v>0</v>
      </c>
      <c r="AY52" s="137"/>
      <c r="AZ52" s="137">
        <f t="shared" si="6"/>
        <v>0</v>
      </c>
      <c r="BA52" s="124"/>
      <c r="BB52" s="126" t="s">
        <v>68</v>
      </c>
      <c r="BD52" s="126" t="s">
        <v>45</v>
      </c>
      <c r="BE52" s="137"/>
      <c r="BF52" s="53"/>
      <c r="BG52" s="53"/>
      <c r="BH52" s="53"/>
      <c r="BI52" s="53"/>
      <c r="BJ52" s="53"/>
      <c r="BK52" s="53"/>
      <c r="BL52" s="53"/>
      <c r="BM52" s="137"/>
      <c r="BN52" s="137">
        <f t="shared" si="5"/>
        <v>0</v>
      </c>
      <c r="BO52" s="139"/>
      <c r="BP52" s="140"/>
      <c r="BQ52" s="140"/>
      <c r="BS52" s="140"/>
      <c r="BT52" s="140"/>
      <c r="BU52" s="141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</row>
    <row r="53" spans="1:95" s="35" customFormat="1" ht="12.75" customHeight="1" x14ac:dyDescent="0.2">
      <c r="A53" s="35" t="s">
        <v>69</v>
      </c>
      <c r="B53" s="51"/>
      <c r="C53" s="35" t="s">
        <v>70</v>
      </c>
      <c r="D53" s="44"/>
      <c r="E53" s="53">
        <f t="shared" si="7"/>
        <v>4066841</v>
      </c>
      <c r="F53" s="53"/>
      <c r="G53" s="53">
        <v>24013551</v>
      </c>
      <c r="H53" s="53"/>
      <c r="I53" s="53">
        <v>28080392</v>
      </c>
      <c r="J53" s="53"/>
      <c r="K53" s="53">
        <f t="shared" si="8"/>
        <v>3939771</v>
      </c>
      <c r="L53" s="53"/>
      <c r="M53" s="53">
        <v>2641394</v>
      </c>
      <c r="N53" s="53"/>
      <c r="O53" s="53">
        <v>6581165</v>
      </c>
      <c r="P53" s="53"/>
      <c r="Q53" s="53">
        <v>15516854</v>
      </c>
      <c r="R53" s="53"/>
      <c r="S53" s="53">
        <f>1283936+1200000</f>
        <v>2483936</v>
      </c>
      <c r="T53" s="53"/>
      <c r="U53" s="53">
        <v>3498437</v>
      </c>
      <c r="V53" s="53"/>
      <c r="W53" s="53">
        <f t="shared" si="18"/>
        <v>21499227</v>
      </c>
      <c r="X53" s="51"/>
      <c r="Y53" s="51"/>
      <c r="Z53" s="35" t="s">
        <v>69</v>
      </c>
      <c r="AA53" s="53"/>
      <c r="AB53" s="35" t="s">
        <v>70</v>
      </c>
      <c r="AC53" s="51"/>
      <c r="AD53" s="53">
        <v>4599689</v>
      </c>
      <c r="AE53" s="53"/>
      <c r="AF53" s="53">
        <f>4675879-756593</f>
        <v>3919286</v>
      </c>
      <c r="AG53" s="53"/>
      <c r="AH53" s="53">
        <v>756593</v>
      </c>
      <c r="AI53" s="53"/>
      <c r="AJ53" s="45">
        <f t="shared" si="9"/>
        <v>-76190</v>
      </c>
      <c r="AK53" s="45"/>
      <c r="AL53" s="53">
        <v>-316459</v>
      </c>
      <c r="AM53" s="45"/>
      <c r="AN53" s="53">
        <v>0</v>
      </c>
      <c r="AO53" s="53"/>
      <c r="AP53" s="53">
        <v>7757</v>
      </c>
      <c r="AQ53" s="53"/>
      <c r="AR53" s="53">
        <v>0</v>
      </c>
      <c r="AS53" s="53"/>
      <c r="AT53" s="45">
        <f t="shared" si="10"/>
        <v>-400406</v>
      </c>
      <c r="AU53" s="45"/>
      <c r="AV53" s="53">
        <v>0</v>
      </c>
      <c r="AW53" s="53"/>
      <c r="AX53" s="53">
        <v>0</v>
      </c>
      <c r="AY53" s="53"/>
      <c r="AZ53" s="53">
        <f t="shared" si="6"/>
        <v>127070</v>
      </c>
      <c r="BA53" s="51"/>
      <c r="BB53" s="35" t="s">
        <v>69</v>
      </c>
      <c r="BD53" s="35" t="s">
        <v>70</v>
      </c>
      <c r="BE53" s="53"/>
      <c r="BF53" s="53">
        <v>0</v>
      </c>
      <c r="BG53" s="53"/>
      <c r="BH53" s="53">
        <f>2441761+1130000</f>
        <v>3571761</v>
      </c>
      <c r="BI53" s="53"/>
      <c r="BJ53" s="53">
        <v>0</v>
      </c>
      <c r="BK53" s="53"/>
      <c r="BL53" s="53">
        <f>143218+199633</f>
        <v>342851</v>
      </c>
      <c r="BM53" s="53"/>
      <c r="BN53" s="53">
        <f t="shared" si="5"/>
        <v>3914612</v>
      </c>
      <c r="BO53" s="54"/>
      <c r="BS53" s="55"/>
      <c r="BT53" s="55"/>
      <c r="BU53" s="84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</row>
    <row r="54" spans="1:95" s="35" customFormat="1" ht="12.75" customHeight="1" x14ac:dyDescent="0.2">
      <c r="A54" s="64" t="s">
        <v>71</v>
      </c>
      <c r="B54" s="64"/>
      <c r="C54" s="64" t="s">
        <v>45</v>
      </c>
      <c r="D54" s="46"/>
      <c r="E54" s="53">
        <f t="shared" si="7"/>
        <v>129686000</v>
      </c>
      <c r="F54" s="53"/>
      <c r="G54" s="53">
        <v>1015565000</v>
      </c>
      <c r="H54" s="53"/>
      <c r="I54" s="53">
        <v>1145251000</v>
      </c>
      <c r="J54" s="53"/>
      <c r="K54" s="53">
        <f t="shared" si="8"/>
        <v>36784000</v>
      </c>
      <c r="L54" s="53"/>
      <c r="M54" s="53">
        <v>506186000</v>
      </c>
      <c r="N54" s="53"/>
      <c r="O54" s="53">
        <v>542970000</v>
      </c>
      <c r="P54" s="53"/>
      <c r="Q54" s="53">
        <v>501685000</v>
      </c>
      <c r="R54" s="53"/>
      <c r="S54" s="53">
        <v>23009000</v>
      </c>
      <c r="T54" s="53"/>
      <c r="U54" s="53">
        <v>77587000</v>
      </c>
      <c r="V54" s="53"/>
      <c r="W54" s="53">
        <f t="shared" si="18"/>
        <v>602281000</v>
      </c>
      <c r="Z54" s="64" t="s">
        <v>71</v>
      </c>
      <c r="AA54" s="79"/>
      <c r="AB54" s="64" t="s">
        <v>45</v>
      </c>
      <c r="AC54" s="66"/>
      <c r="AD54" s="53">
        <v>120682000</v>
      </c>
      <c r="AE54" s="53"/>
      <c r="AF54" s="53">
        <f>103124000-24920000</f>
        <v>78204000</v>
      </c>
      <c r="AG54" s="53"/>
      <c r="AH54" s="53">
        <v>24920000</v>
      </c>
      <c r="AI54" s="53"/>
      <c r="AJ54" s="45">
        <f t="shared" si="9"/>
        <v>17558000</v>
      </c>
      <c r="AK54" s="45"/>
      <c r="AL54" s="53">
        <v>-11728000</v>
      </c>
      <c r="AM54" s="45"/>
      <c r="AN54" s="53">
        <v>131000</v>
      </c>
      <c r="AO54" s="53"/>
      <c r="AP54" s="53">
        <v>0</v>
      </c>
      <c r="AQ54" s="53"/>
      <c r="AR54" s="53">
        <v>3304000</v>
      </c>
      <c r="AS54" s="53"/>
      <c r="AT54" s="45">
        <f t="shared" si="10"/>
        <v>9265000</v>
      </c>
      <c r="AU54" s="45"/>
      <c r="AV54" s="53">
        <v>0</v>
      </c>
      <c r="AW54" s="53"/>
      <c r="AX54" s="53">
        <v>0</v>
      </c>
      <c r="AY54" s="53"/>
      <c r="AZ54" s="53">
        <f t="shared" si="6"/>
        <v>92902000</v>
      </c>
      <c r="BA54" s="51"/>
      <c r="BB54" s="64" t="s">
        <v>71</v>
      </c>
      <c r="BC54" s="64"/>
      <c r="BD54" s="64" t="s">
        <v>45</v>
      </c>
      <c r="BE54" s="79"/>
      <c r="BF54" s="53">
        <f>3800000+2000000</f>
        <v>5800000</v>
      </c>
      <c r="BG54" s="53"/>
      <c r="BH54" s="53">
        <f>449453000+17700000</f>
        <v>467153000</v>
      </c>
      <c r="BI54" s="53"/>
      <c r="BJ54" s="53">
        <f>3200000+6399000+218000+504000</f>
        <v>10321000</v>
      </c>
      <c r="BK54" s="53"/>
      <c r="BL54" s="53">
        <f>23315000+16411000+60000+3548000+60000+4056000</f>
        <v>47450000</v>
      </c>
      <c r="BM54" s="53"/>
      <c r="BN54" s="53">
        <f t="shared" si="5"/>
        <v>530724000</v>
      </c>
      <c r="BO54" s="54"/>
      <c r="BS54" s="55"/>
      <c r="BT54" s="55"/>
      <c r="BU54" s="84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</row>
    <row r="55" spans="1:95" s="35" customFormat="1" ht="12.75" customHeight="1" x14ac:dyDescent="0.2">
      <c r="A55" s="44" t="s">
        <v>463</v>
      </c>
      <c r="B55" s="51"/>
      <c r="C55" s="44" t="s">
        <v>464</v>
      </c>
      <c r="D55" s="44"/>
      <c r="E55" s="53">
        <f t="shared" si="7"/>
        <v>4354152</v>
      </c>
      <c r="F55" s="53"/>
      <c r="G55" s="53">
        <v>6539041</v>
      </c>
      <c r="H55" s="53"/>
      <c r="I55" s="53">
        <v>10893193</v>
      </c>
      <c r="J55" s="53"/>
      <c r="K55" s="53">
        <f t="shared" si="8"/>
        <v>173739</v>
      </c>
      <c r="L55" s="53"/>
      <c r="M55" s="53">
        <v>1133480</v>
      </c>
      <c r="N55" s="53"/>
      <c r="O55" s="53">
        <v>1307219</v>
      </c>
      <c r="P55" s="53"/>
      <c r="Q55" s="53">
        <v>5389030</v>
      </c>
      <c r="R55" s="53"/>
      <c r="S55" s="53">
        <v>0</v>
      </c>
      <c r="T55" s="53"/>
      <c r="U55" s="53">
        <v>4196944</v>
      </c>
      <c r="V55" s="53"/>
      <c r="W55" s="53">
        <f t="shared" si="18"/>
        <v>9585974</v>
      </c>
      <c r="X55" s="51"/>
      <c r="Y55" s="51"/>
      <c r="Z55" s="44" t="s">
        <v>463</v>
      </c>
      <c r="AA55" s="51"/>
      <c r="AB55" s="44" t="s">
        <v>464</v>
      </c>
      <c r="AC55" s="51"/>
      <c r="AD55" s="53">
        <v>1462828</v>
      </c>
      <c r="AE55" s="53"/>
      <c r="AF55" s="53">
        <f>1486025-219959</f>
        <v>1266066</v>
      </c>
      <c r="AG55" s="53"/>
      <c r="AH55" s="53">
        <v>219959</v>
      </c>
      <c r="AI55" s="53"/>
      <c r="AJ55" s="45">
        <f t="shared" si="9"/>
        <v>-23197</v>
      </c>
      <c r="AK55" s="45"/>
      <c r="AL55" s="53">
        <v>-42974</v>
      </c>
      <c r="AM55" s="45"/>
      <c r="AN55" s="53">
        <v>0</v>
      </c>
      <c r="AO55" s="53"/>
      <c r="AP55" s="53">
        <v>0</v>
      </c>
      <c r="AQ55" s="53"/>
      <c r="AR55" s="53">
        <v>0</v>
      </c>
      <c r="AS55" s="53"/>
      <c r="AT55" s="45">
        <f t="shared" si="10"/>
        <v>-66171</v>
      </c>
      <c r="AU55" s="45"/>
      <c r="AV55" s="53">
        <v>0</v>
      </c>
      <c r="AW55" s="53"/>
      <c r="AX55" s="53">
        <v>0</v>
      </c>
      <c r="AY55" s="53"/>
      <c r="AZ55" s="53">
        <f t="shared" si="6"/>
        <v>4180413</v>
      </c>
      <c r="BA55" s="51"/>
      <c r="BB55" s="44" t="s">
        <v>463</v>
      </c>
      <c r="BC55" s="51"/>
      <c r="BD55" s="44" t="s">
        <v>464</v>
      </c>
      <c r="BE55" s="53"/>
      <c r="BF55" s="53">
        <f>1095000+50000</f>
        <v>1145000</v>
      </c>
      <c r="BG55" s="53"/>
      <c r="BH55" s="53">
        <v>0</v>
      </c>
      <c r="BI55" s="53"/>
      <c r="BJ55" s="53">
        <v>0</v>
      </c>
      <c r="BK55" s="53"/>
      <c r="BL55" s="53">
        <f>26100+38480</f>
        <v>64580</v>
      </c>
      <c r="BM55" s="53"/>
      <c r="BN55" s="53">
        <f t="shared" si="5"/>
        <v>1209580</v>
      </c>
      <c r="BO55" s="54"/>
      <c r="BS55" s="55"/>
      <c r="BT55" s="55"/>
      <c r="BU55" s="84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</row>
    <row r="56" spans="1:95" s="35" customFormat="1" ht="12.75" customHeight="1" x14ac:dyDescent="0.2">
      <c r="A56" s="35" t="s">
        <v>72</v>
      </c>
      <c r="B56" s="51"/>
      <c r="C56" s="35" t="s">
        <v>66</v>
      </c>
      <c r="D56" s="44"/>
      <c r="E56" s="53">
        <f t="shared" si="7"/>
        <v>140882</v>
      </c>
      <c r="F56" s="53"/>
      <c r="G56" s="53">
        <v>3770644</v>
      </c>
      <c r="H56" s="53"/>
      <c r="I56" s="53">
        <v>3911526</v>
      </c>
      <c r="J56" s="53"/>
      <c r="K56" s="53">
        <f t="shared" si="8"/>
        <v>589</v>
      </c>
      <c r="L56" s="53"/>
      <c r="M56" s="53">
        <v>4232359</v>
      </c>
      <c r="N56" s="53"/>
      <c r="O56" s="53">
        <v>4232948</v>
      </c>
      <c r="P56" s="53"/>
      <c r="Q56" s="53">
        <v>-461715</v>
      </c>
      <c r="R56" s="53"/>
      <c r="S56" s="53">
        <v>0</v>
      </c>
      <c r="T56" s="53"/>
      <c r="U56" s="53">
        <v>140293</v>
      </c>
      <c r="V56" s="53"/>
      <c r="W56" s="53">
        <f t="shared" si="18"/>
        <v>-321422</v>
      </c>
      <c r="X56" s="51"/>
      <c r="Y56" s="51"/>
      <c r="Z56" s="35" t="s">
        <v>72</v>
      </c>
      <c r="AA56" s="53"/>
      <c r="AB56" s="35" t="s">
        <v>66</v>
      </c>
      <c r="AC56" s="51"/>
      <c r="AD56" s="53">
        <v>66330</v>
      </c>
      <c r="AE56" s="53"/>
      <c r="AF56" s="53">
        <f>149372-72140</f>
        <v>77232</v>
      </c>
      <c r="AG56" s="53"/>
      <c r="AH56" s="53">
        <v>72140</v>
      </c>
      <c r="AI56" s="53"/>
      <c r="AJ56" s="45">
        <f t="shared" si="9"/>
        <v>-83042</v>
      </c>
      <c r="AK56" s="45"/>
      <c r="AL56" s="53">
        <v>0</v>
      </c>
      <c r="AM56" s="45"/>
      <c r="AN56" s="53">
        <v>0</v>
      </c>
      <c r="AO56" s="53"/>
      <c r="AP56" s="53">
        <v>0</v>
      </c>
      <c r="AQ56" s="53"/>
      <c r="AR56" s="53">
        <v>0</v>
      </c>
      <c r="AS56" s="53"/>
      <c r="AT56" s="45">
        <f t="shared" si="10"/>
        <v>-83042</v>
      </c>
      <c r="AU56" s="45"/>
      <c r="AV56" s="53">
        <v>0</v>
      </c>
      <c r="AW56" s="53"/>
      <c r="AX56" s="53">
        <v>0</v>
      </c>
      <c r="AY56" s="53"/>
      <c r="AZ56" s="53">
        <f t="shared" si="6"/>
        <v>140293</v>
      </c>
      <c r="BA56" s="51"/>
      <c r="BB56" s="35" t="s">
        <v>72</v>
      </c>
      <c r="BD56" s="35" t="s">
        <v>66</v>
      </c>
      <c r="BE56" s="53"/>
      <c r="BF56" s="53">
        <v>0</v>
      </c>
      <c r="BG56" s="53"/>
      <c r="BH56" s="53">
        <v>0</v>
      </c>
      <c r="BI56" s="53"/>
      <c r="BJ56" s="53">
        <v>4232359</v>
      </c>
      <c r="BK56" s="53"/>
      <c r="BL56" s="53">
        <v>0</v>
      </c>
      <c r="BM56" s="53"/>
      <c r="BN56" s="53">
        <f t="shared" si="5"/>
        <v>4232359</v>
      </c>
      <c r="BO56" s="54"/>
      <c r="BS56" s="55"/>
      <c r="BT56" s="55"/>
      <c r="BU56" s="84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</row>
    <row r="57" spans="1:95" s="35" customFormat="1" ht="12.75" customHeight="1" x14ac:dyDescent="0.2">
      <c r="A57" s="35" t="s">
        <v>73</v>
      </c>
      <c r="C57" s="35" t="s">
        <v>27</v>
      </c>
      <c r="D57" s="44"/>
      <c r="E57" s="53">
        <f t="shared" si="7"/>
        <v>271720000</v>
      </c>
      <c r="F57" s="53"/>
      <c r="G57" s="53">
        <v>1699762000</v>
      </c>
      <c r="H57" s="53"/>
      <c r="I57" s="53">
        <v>1971482000</v>
      </c>
      <c r="J57" s="53"/>
      <c r="K57" s="53">
        <f t="shared" si="8"/>
        <v>145205000</v>
      </c>
      <c r="L57" s="53"/>
      <c r="M57" s="53">
        <v>793495000</v>
      </c>
      <c r="N57" s="53"/>
      <c r="O57" s="53">
        <v>938700000</v>
      </c>
      <c r="P57" s="53"/>
      <c r="Q57" s="53">
        <v>734270000</v>
      </c>
      <c r="R57" s="53"/>
      <c r="S57" s="53">
        <v>93601000</v>
      </c>
      <c r="T57" s="53"/>
      <c r="U57" s="53">
        <v>204911000</v>
      </c>
      <c r="V57" s="53"/>
      <c r="W57" s="53">
        <f t="shared" si="2"/>
        <v>1032782000</v>
      </c>
      <c r="X57" s="51"/>
      <c r="Y57" s="51"/>
      <c r="Z57" s="35" t="s">
        <v>73</v>
      </c>
      <c r="AA57" s="53"/>
      <c r="AB57" s="35" t="s">
        <v>27</v>
      </c>
      <c r="AD57" s="53">
        <v>236626000</v>
      </c>
      <c r="AE57" s="53"/>
      <c r="AF57" s="53">
        <f>205028000-58796000</f>
        <v>146232000</v>
      </c>
      <c r="AG57" s="53"/>
      <c r="AH57" s="53">
        <v>58796000</v>
      </c>
      <c r="AI57" s="53"/>
      <c r="AJ57" s="45">
        <f t="shared" si="9"/>
        <v>31598000</v>
      </c>
      <c r="AK57" s="45"/>
      <c r="AL57" s="53">
        <v>-22040000</v>
      </c>
      <c r="AM57" s="45"/>
      <c r="AN57" s="53">
        <v>0</v>
      </c>
      <c r="AO57" s="53"/>
      <c r="AP57" s="53">
        <v>0</v>
      </c>
      <c r="AQ57" s="53"/>
      <c r="AR57" s="53">
        <v>558000</v>
      </c>
      <c r="AS57" s="53"/>
      <c r="AT57" s="45">
        <f t="shared" si="10"/>
        <v>10116000</v>
      </c>
      <c r="AU57" s="45"/>
      <c r="AV57" s="53">
        <v>0</v>
      </c>
      <c r="AW57" s="53"/>
      <c r="AX57" s="53">
        <v>0</v>
      </c>
      <c r="AY57" s="53"/>
      <c r="AZ57" s="53">
        <f t="shared" ref="AZ57:AZ82" si="27">E57-K57</f>
        <v>126515000</v>
      </c>
      <c r="BA57" s="51"/>
      <c r="BB57" s="35" t="s">
        <v>73</v>
      </c>
      <c r="BD57" s="35" t="s">
        <v>27</v>
      </c>
      <c r="BE57" s="53"/>
      <c r="BF57" s="53">
        <v>0</v>
      </c>
      <c r="BG57" s="53"/>
      <c r="BH57" s="53">
        <v>657481000</v>
      </c>
      <c r="BI57" s="53"/>
      <c r="BJ57" s="53">
        <v>106595000</v>
      </c>
      <c r="BK57" s="53"/>
      <c r="BL57" s="53">
        <f>1464000+90085000+27955000</f>
        <v>119504000</v>
      </c>
      <c r="BM57" s="53"/>
      <c r="BN57" s="53">
        <f t="shared" si="5"/>
        <v>883580000</v>
      </c>
      <c r="BO57" s="54"/>
      <c r="BS57" s="55"/>
      <c r="BT57" s="55"/>
      <c r="BU57" s="84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</row>
    <row r="58" spans="1:95" s="35" customFormat="1" ht="12.75" customHeight="1" x14ac:dyDescent="0.2">
      <c r="A58" s="35" t="s">
        <v>74</v>
      </c>
      <c r="B58" s="51"/>
      <c r="C58" s="35" t="s">
        <v>27</v>
      </c>
      <c r="D58" s="44"/>
      <c r="E58" s="53">
        <f t="shared" si="7"/>
        <v>3549016</v>
      </c>
      <c r="F58" s="53"/>
      <c r="G58" s="53">
        <v>15050005</v>
      </c>
      <c r="H58" s="53"/>
      <c r="I58" s="53">
        <v>18599021</v>
      </c>
      <c r="J58" s="53"/>
      <c r="K58" s="53">
        <f t="shared" si="8"/>
        <v>1186544</v>
      </c>
      <c r="L58" s="53"/>
      <c r="M58" s="53">
        <v>964322</v>
      </c>
      <c r="N58" s="53"/>
      <c r="O58" s="53">
        <v>2150866</v>
      </c>
      <c r="P58" s="53"/>
      <c r="Q58" s="53">
        <v>14141415</v>
      </c>
      <c r="R58" s="53"/>
      <c r="S58" s="53">
        <v>0</v>
      </c>
      <c r="T58" s="53"/>
      <c r="U58" s="53">
        <v>2306740</v>
      </c>
      <c r="V58" s="53"/>
      <c r="W58" s="53">
        <f t="shared" si="2"/>
        <v>16448155</v>
      </c>
      <c r="X58" s="51"/>
      <c r="Y58" s="51"/>
      <c r="Z58" s="35" t="s">
        <v>74</v>
      </c>
      <c r="AA58" s="53"/>
      <c r="AB58" s="35" t="s">
        <v>27</v>
      </c>
      <c r="AC58" s="51"/>
      <c r="AD58" s="53">
        <v>10125904</v>
      </c>
      <c r="AE58" s="53"/>
      <c r="AF58" s="53">
        <f>10795652-416873</f>
        <v>10378779</v>
      </c>
      <c r="AG58" s="53"/>
      <c r="AH58" s="53">
        <v>416873</v>
      </c>
      <c r="AI58" s="53"/>
      <c r="AJ58" s="45">
        <f t="shared" si="9"/>
        <v>-669748</v>
      </c>
      <c r="AK58" s="45"/>
      <c r="AL58" s="53">
        <v>-4649</v>
      </c>
      <c r="AM58" s="45"/>
      <c r="AN58" s="53">
        <v>0</v>
      </c>
      <c r="AO58" s="53"/>
      <c r="AP58" s="53">
        <v>10900</v>
      </c>
      <c r="AQ58" s="53"/>
      <c r="AR58" s="53">
        <v>0</v>
      </c>
      <c r="AS58" s="53"/>
      <c r="AT58" s="45">
        <f t="shared" si="10"/>
        <v>-685297</v>
      </c>
      <c r="AU58" s="45"/>
      <c r="AV58" s="53">
        <v>0</v>
      </c>
      <c r="AW58" s="53"/>
      <c r="AX58" s="53">
        <v>0</v>
      </c>
      <c r="AY58" s="53"/>
      <c r="AZ58" s="53">
        <f t="shared" si="27"/>
        <v>2362472</v>
      </c>
      <c r="BA58" s="51"/>
      <c r="BB58" s="35" t="s">
        <v>74</v>
      </c>
      <c r="BD58" s="35" t="s">
        <v>27</v>
      </c>
      <c r="BE58" s="53"/>
      <c r="BF58" s="53">
        <v>0</v>
      </c>
      <c r="BG58" s="53"/>
      <c r="BH58" s="53">
        <v>0</v>
      </c>
      <c r="BI58" s="53"/>
      <c r="BJ58" s="53">
        <f>65415+10094+577315+255766</f>
        <v>908590</v>
      </c>
      <c r="BK58" s="53"/>
      <c r="BL58" s="53">
        <f>145778+131241</f>
        <v>277019</v>
      </c>
      <c r="BM58" s="53"/>
      <c r="BN58" s="53">
        <f t="shared" si="5"/>
        <v>1185609</v>
      </c>
      <c r="BO58" s="54"/>
      <c r="BS58" s="55"/>
      <c r="BT58" s="55"/>
      <c r="BU58" s="84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</row>
    <row r="59" spans="1:95" s="35" customFormat="1" ht="12.75" customHeight="1" x14ac:dyDescent="0.2">
      <c r="A59" s="35" t="s">
        <v>75</v>
      </c>
      <c r="B59" s="51"/>
      <c r="C59" s="35" t="s">
        <v>76</v>
      </c>
      <c r="D59" s="44"/>
      <c r="E59" s="53">
        <f t="shared" si="7"/>
        <v>2023652</v>
      </c>
      <c r="F59" s="53"/>
      <c r="G59" s="53">
        <v>12218178</v>
      </c>
      <c r="H59" s="53"/>
      <c r="I59" s="53">
        <v>14241830</v>
      </c>
      <c r="J59" s="53"/>
      <c r="K59" s="53">
        <f t="shared" si="8"/>
        <v>475775</v>
      </c>
      <c r="L59" s="53"/>
      <c r="M59" s="53">
        <v>5454795</v>
      </c>
      <c r="N59" s="53"/>
      <c r="O59" s="53">
        <v>5930570</v>
      </c>
      <c r="P59" s="53"/>
      <c r="Q59" s="53">
        <v>5613906</v>
      </c>
      <c r="R59" s="53"/>
      <c r="S59" s="53">
        <v>904524</v>
      </c>
      <c r="T59" s="53"/>
      <c r="U59" s="53">
        <v>1792830</v>
      </c>
      <c r="V59" s="53"/>
      <c r="W59" s="53">
        <f t="shared" si="2"/>
        <v>8311260</v>
      </c>
      <c r="X59" s="51"/>
      <c r="Y59" s="51"/>
      <c r="Z59" s="35" t="s">
        <v>75</v>
      </c>
      <c r="AA59" s="53"/>
      <c r="AB59" s="35" t="s">
        <v>76</v>
      </c>
      <c r="AC59" s="51"/>
      <c r="AD59" s="53">
        <v>2610667</v>
      </c>
      <c r="AE59" s="53"/>
      <c r="AF59" s="53">
        <f>2291719-574370</f>
        <v>1717349</v>
      </c>
      <c r="AG59" s="53"/>
      <c r="AH59" s="53">
        <v>574370</v>
      </c>
      <c r="AI59" s="53"/>
      <c r="AJ59" s="45">
        <f t="shared" si="9"/>
        <v>318948</v>
      </c>
      <c r="AK59" s="45"/>
      <c r="AL59" s="53">
        <v>-360971</v>
      </c>
      <c r="AM59" s="45"/>
      <c r="AN59" s="53">
        <v>0</v>
      </c>
      <c r="AO59" s="53"/>
      <c r="AP59" s="53">
        <v>56000</v>
      </c>
      <c r="AQ59" s="53"/>
      <c r="AR59" s="53">
        <v>0</v>
      </c>
      <c r="AS59" s="53"/>
      <c r="AT59" s="45">
        <f t="shared" si="10"/>
        <v>-98023</v>
      </c>
      <c r="AU59" s="45"/>
      <c r="AV59" s="53">
        <v>0</v>
      </c>
      <c r="AW59" s="53"/>
      <c r="AX59" s="53">
        <v>0</v>
      </c>
      <c r="AY59" s="53"/>
      <c r="AZ59" s="53">
        <f t="shared" si="27"/>
        <v>1547877</v>
      </c>
      <c r="BA59" s="51"/>
      <c r="BB59" s="35" t="s">
        <v>75</v>
      </c>
      <c r="BD59" s="35" t="s">
        <v>76</v>
      </c>
      <c r="BE59" s="53"/>
      <c r="BF59" s="53">
        <f>4625000+270000</f>
        <v>4895000</v>
      </c>
      <c r="BG59" s="53"/>
      <c r="BH59" s="53">
        <v>0</v>
      </c>
      <c r="BI59" s="53"/>
      <c r="BJ59" s="53">
        <f>69157+772819</f>
        <v>841976</v>
      </c>
      <c r="BK59" s="53"/>
      <c r="BL59" s="53">
        <f>17915+56976</f>
        <v>74891</v>
      </c>
      <c r="BM59" s="53"/>
      <c r="BN59" s="53">
        <f t="shared" si="5"/>
        <v>5811867</v>
      </c>
      <c r="BO59" s="54"/>
      <c r="BS59" s="55"/>
      <c r="BT59" s="55"/>
      <c r="BU59" s="84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</row>
    <row r="60" spans="1:95" s="35" customFormat="1" ht="12.75" hidden="1" customHeight="1" x14ac:dyDescent="0.2">
      <c r="A60" s="35" t="s">
        <v>77</v>
      </c>
      <c r="B60" s="51"/>
      <c r="C60" s="35" t="s">
        <v>43</v>
      </c>
      <c r="D60" s="44"/>
      <c r="E60" s="53">
        <f t="shared" si="7"/>
        <v>321030000</v>
      </c>
      <c r="F60" s="53"/>
      <c r="G60" s="53">
        <v>581311000</v>
      </c>
      <c r="H60" s="53"/>
      <c r="I60" s="53">
        <v>902341000</v>
      </c>
      <c r="J60" s="53"/>
      <c r="K60" s="53">
        <f t="shared" si="8"/>
        <v>62711000</v>
      </c>
      <c r="L60" s="53"/>
      <c r="M60" s="53">
        <v>526436000</v>
      </c>
      <c r="N60" s="53"/>
      <c r="O60" s="53">
        <v>589147000</v>
      </c>
      <c r="P60" s="53"/>
      <c r="Q60" s="53">
        <v>227245000</v>
      </c>
      <c r="R60" s="53"/>
      <c r="S60" s="53">
        <v>1106000</v>
      </c>
      <c r="T60" s="53"/>
      <c r="U60" s="53">
        <v>84843000</v>
      </c>
      <c r="V60" s="53"/>
      <c r="W60" s="53">
        <f t="shared" si="2"/>
        <v>313194000</v>
      </c>
      <c r="Z60" s="35" t="s">
        <v>77</v>
      </c>
      <c r="AA60" s="53"/>
      <c r="AB60" s="35" t="s">
        <v>43</v>
      </c>
      <c r="AC60" s="51"/>
      <c r="AD60" s="53">
        <v>165115000</v>
      </c>
      <c r="AE60" s="53"/>
      <c r="AF60" s="53">
        <f>119283000-20914000</f>
        <v>98369000</v>
      </c>
      <c r="AG60" s="53"/>
      <c r="AH60" s="53">
        <v>20914000</v>
      </c>
      <c r="AI60" s="53"/>
      <c r="AJ60" s="45">
        <f t="shared" si="9"/>
        <v>45832000</v>
      </c>
      <c r="AK60" s="45"/>
      <c r="AL60" s="53">
        <v>-15922000</v>
      </c>
      <c r="AM60" s="45"/>
      <c r="AN60" s="53">
        <v>0</v>
      </c>
      <c r="AO60" s="53"/>
      <c r="AP60" s="53">
        <v>2000</v>
      </c>
      <c r="AQ60" s="53"/>
      <c r="AR60" s="53">
        <v>0</v>
      </c>
      <c r="AS60" s="53"/>
      <c r="AT60" s="45">
        <f t="shared" si="10"/>
        <v>29908000</v>
      </c>
      <c r="AU60" s="45"/>
      <c r="AV60" s="53">
        <v>0</v>
      </c>
      <c r="AW60" s="53"/>
      <c r="AX60" s="53">
        <v>0</v>
      </c>
      <c r="AY60" s="53"/>
      <c r="AZ60" s="53">
        <f t="shared" si="27"/>
        <v>258319000</v>
      </c>
      <c r="BA60" s="51"/>
      <c r="BB60" s="35" t="s">
        <v>77</v>
      </c>
      <c r="BD60" s="35" t="s">
        <v>43</v>
      </c>
      <c r="BE60" s="53"/>
      <c r="BF60" s="53">
        <f>526436000+42117000</f>
        <v>568553000</v>
      </c>
      <c r="BG60" s="53"/>
      <c r="BH60" s="53">
        <v>0</v>
      </c>
      <c r="BI60" s="53"/>
      <c r="BJ60" s="53">
        <v>0</v>
      </c>
      <c r="BK60" s="53"/>
      <c r="BL60" s="53">
        <v>0</v>
      </c>
      <c r="BM60" s="53"/>
      <c r="BN60" s="53">
        <f t="shared" si="5"/>
        <v>568553000</v>
      </c>
      <c r="BO60" s="54"/>
      <c r="BS60" s="55"/>
      <c r="BT60" s="55"/>
      <c r="BU60" s="84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</row>
    <row r="61" spans="1:95" s="35" customFormat="1" ht="12.75" customHeight="1" x14ac:dyDescent="0.2">
      <c r="A61" s="35" t="s">
        <v>94</v>
      </c>
      <c r="B61" s="51"/>
      <c r="C61" s="35" t="s">
        <v>94</v>
      </c>
      <c r="D61" s="44"/>
      <c r="E61" s="53">
        <f t="shared" si="7"/>
        <v>832558</v>
      </c>
      <c r="F61" s="53"/>
      <c r="G61" s="53">
        <v>3365085</v>
      </c>
      <c r="H61" s="53"/>
      <c r="I61" s="53">
        <v>4197643</v>
      </c>
      <c r="J61" s="53"/>
      <c r="K61" s="53">
        <f t="shared" si="8"/>
        <v>1228188</v>
      </c>
      <c r="L61" s="53"/>
      <c r="M61" s="53">
        <v>169741</v>
      </c>
      <c r="N61" s="53"/>
      <c r="O61" s="53">
        <v>1397929</v>
      </c>
      <c r="P61" s="53"/>
      <c r="Q61" s="53">
        <v>2070085</v>
      </c>
      <c r="R61" s="53"/>
      <c r="S61" s="53">
        <v>0</v>
      </c>
      <c r="T61" s="53"/>
      <c r="U61" s="53">
        <v>729629</v>
      </c>
      <c r="V61" s="53"/>
      <c r="W61" s="53">
        <f>SUM(Q61:U61)</f>
        <v>2799714</v>
      </c>
      <c r="X61" s="51"/>
      <c r="Y61" s="51"/>
      <c r="Z61" s="35" t="str">
        <f>+A61</f>
        <v>Columbiana</v>
      </c>
      <c r="AA61" s="53"/>
      <c r="AB61" s="35" t="s">
        <v>94</v>
      </c>
      <c r="AC61" s="51"/>
      <c r="AD61" s="53">
        <v>1165003</v>
      </c>
      <c r="AE61" s="53"/>
      <c r="AF61" s="53">
        <f>848345-119201</f>
        <v>729144</v>
      </c>
      <c r="AG61" s="53"/>
      <c r="AH61" s="53">
        <v>119201</v>
      </c>
      <c r="AI61" s="53"/>
      <c r="AJ61" s="45">
        <f t="shared" si="9"/>
        <v>316658</v>
      </c>
      <c r="AK61" s="45"/>
      <c r="AL61" s="53">
        <v>-30398</v>
      </c>
      <c r="AM61" s="45"/>
      <c r="AN61" s="53">
        <v>0</v>
      </c>
      <c r="AO61" s="53"/>
      <c r="AP61" s="53">
        <v>0</v>
      </c>
      <c r="AQ61" s="53"/>
      <c r="AR61" s="53">
        <v>0</v>
      </c>
      <c r="AS61" s="53"/>
      <c r="AT61" s="45">
        <f t="shared" si="10"/>
        <v>286260</v>
      </c>
      <c r="AU61" s="45"/>
      <c r="AV61" s="53">
        <v>0</v>
      </c>
      <c r="AW61" s="53"/>
      <c r="AX61" s="53">
        <v>0</v>
      </c>
      <c r="AY61" s="53"/>
      <c r="AZ61" s="53">
        <f t="shared" si="27"/>
        <v>-395630</v>
      </c>
      <c r="BA61" s="51"/>
      <c r="BB61" s="35" t="str">
        <f>+Z61</f>
        <v>Columbiana</v>
      </c>
      <c r="BD61" s="35" t="s">
        <v>94</v>
      </c>
      <c r="BE61" s="53"/>
      <c r="BF61" s="53">
        <v>0</v>
      </c>
      <c r="BG61" s="53"/>
      <c r="BH61" s="53">
        <v>0</v>
      </c>
      <c r="BI61" s="53"/>
      <c r="BJ61" s="53">
        <v>0</v>
      </c>
      <c r="BK61" s="53"/>
      <c r="BL61" s="53">
        <f>18935+10000+145000+24741</f>
        <v>198676</v>
      </c>
      <c r="BM61" s="53"/>
      <c r="BN61" s="53">
        <f>SUM(BF61:BL61)</f>
        <v>198676</v>
      </c>
      <c r="BO61" s="54"/>
      <c r="BS61" s="55"/>
      <c r="BT61" s="55"/>
      <c r="BU61" s="84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</row>
    <row r="62" spans="1:95" s="35" customFormat="1" ht="12.75" customHeight="1" x14ac:dyDescent="0.2">
      <c r="A62" s="35" t="s">
        <v>78</v>
      </c>
      <c r="B62" s="51"/>
      <c r="C62" s="35" t="s">
        <v>19</v>
      </c>
      <c r="D62" s="44"/>
      <c r="E62" s="53">
        <f t="shared" si="7"/>
        <v>1132821</v>
      </c>
      <c r="F62" s="53"/>
      <c r="G62" s="53">
        <v>7609437</v>
      </c>
      <c r="H62" s="53"/>
      <c r="I62" s="53">
        <v>8742258</v>
      </c>
      <c r="J62" s="53"/>
      <c r="K62" s="53">
        <f t="shared" si="8"/>
        <v>448130</v>
      </c>
      <c r="L62" s="53"/>
      <c r="M62" s="53">
        <v>1885841</v>
      </c>
      <c r="N62" s="53"/>
      <c r="O62" s="53">
        <v>2333971</v>
      </c>
      <c r="P62" s="53"/>
      <c r="Q62" s="53">
        <v>5475201</v>
      </c>
      <c r="R62" s="53"/>
      <c r="S62" s="53">
        <v>0</v>
      </c>
      <c r="T62" s="53"/>
      <c r="U62" s="53">
        <v>933086</v>
      </c>
      <c r="V62" s="53"/>
      <c r="W62" s="53">
        <f t="shared" si="2"/>
        <v>6408287</v>
      </c>
      <c r="Z62" s="35" t="s">
        <v>78</v>
      </c>
      <c r="AA62" s="53"/>
      <c r="AB62" s="35" t="s">
        <v>19</v>
      </c>
      <c r="AC62" s="51"/>
      <c r="AD62" s="53">
        <v>1975485</v>
      </c>
      <c r="AE62" s="53"/>
      <c r="AF62" s="53">
        <f>1877012-325462</f>
        <v>1551550</v>
      </c>
      <c r="AG62" s="53"/>
      <c r="AH62" s="53">
        <v>325462</v>
      </c>
      <c r="AI62" s="53"/>
      <c r="AJ62" s="45">
        <f t="shared" si="9"/>
        <v>98473</v>
      </c>
      <c r="AK62" s="45"/>
      <c r="AL62" s="53">
        <v>-103978</v>
      </c>
      <c r="AM62" s="45"/>
      <c r="AN62" s="53">
        <v>0</v>
      </c>
      <c r="AO62" s="53"/>
      <c r="AP62" s="53">
        <v>0</v>
      </c>
      <c r="AQ62" s="53"/>
      <c r="AR62" s="53">
        <v>0</v>
      </c>
      <c r="AS62" s="53"/>
      <c r="AT62" s="45">
        <f t="shared" si="10"/>
        <v>-5505</v>
      </c>
      <c r="AU62" s="45"/>
      <c r="AV62" s="53">
        <v>0</v>
      </c>
      <c r="AW62" s="53"/>
      <c r="AX62" s="53">
        <v>0</v>
      </c>
      <c r="AY62" s="53"/>
      <c r="AZ62" s="53">
        <f t="shared" si="27"/>
        <v>684691</v>
      </c>
      <c r="BA62" s="51"/>
      <c r="BB62" s="35" t="s">
        <v>78</v>
      </c>
      <c r="BD62" s="35" t="s">
        <v>19</v>
      </c>
      <c r="BE62" s="53"/>
      <c r="BF62" s="53">
        <f>399967+60033</f>
        <v>460000</v>
      </c>
      <c r="BG62" s="53"/>
      <c r="BH62" s="53">
        <v>0</v>
      </c>
      <c r="BI62" s="53"/>
      <c r="BJ62" s="53">
        <f>27768+32391+275480+263908+208347+847273</f>
        <v>1655167</v>
      </c>
      <c r="BK62" s="53"/>
      <c r="BL62" s="53">
        <f>99213+25197</f>
        <v>124410</v>
      </c>
      <c r="BM62" s="53"/>
      <c r="BN62" s="53">
        <f t="shared" si="5"/>
        <v>2239577</v>
      </c>
      <c r="BO62" s="54"/>
      <c r="BS62" s="55"/>
      <c r="BT62" s="55"/>
      <c r="BU62" s="84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</row>
    <row r="63" spans="1:95" s="35" customFormat="1" ht="12.75" customHeight="1" x14ac:dyDescent="0.2">
      <c r="A63" s="35" t="s">
        <v>79</v>
      </c>
      <c r="C63" s="35" t="s">
        <v>80</v>
      </c>
      <c r="D63" s="44"/>
      <c r="E63" s="53">
        <f t="shared" si="7"/>
        <v>664366</v>
      </c>
      <c r="F63" s="53"/>
      <c r="G63" s="53">
        <v>5786945</v>
      </c>
      <c r="H63" s="53"/>
      <c r="I63" s="53">
        <v>6451311</v>
      </c>
      <c r="J63" s="53"/>
      <c r="K63" s="53">
        <f t="shared" si="8"/>
        <v>122848</v>
      </c>
      <c r="L63" s="53"/>
      <c r="M63" s="53">
        <v>3037479</v>
      </c>
      <c r="N63" s="53"/>
      <c r="O63" s="53">
        <v>3160327</v>
      </c>
      <c r="P63" s="53"/>
      <c r="Q63" s="53">
        <v>2683180</v>
      </c>
      <c r="R63" s="53"/>
      <c r="S63" s="53">
        <v>0</v>
      </c>
      <c r="T63" s="53"/>
      <c r="U63" s="53">
        <v>607804</v>
      </c>
      <c r="V63" s="53"/>
      <c r="W63" s="53">
        <f t="shared" si="2"/>
        <v>3290984</v>
      </c>
      <c r="X63" s="51"/>
      <c r="Y63" s="51"/>
      <c r="Z63" s="35" t="s">
        <v>79</v>
      </c>
      <c r="AA63" s="53"/>
      <c r="AB63" s="35" t="s">
        <v>80</v>
      </c>
      <c r="AD63" s="53">
        <v>721734</v>
      </c>
      <c r="AE63" s="53"/>
      <c r="AF63" s="53">
        <f>719805-166084</f>
        <v>553721</v>
      </c>
      <c r="AG63" s="53"/>
      <c r="AH63" s="53">
        <v>166084</v>
      </c>
      <c r="AI63" s="53"/>
      <c r="AJ63" s="45">
        <f t="shared" si="9"/>
        <v>1929</v>
      </c>
      <c r="AK63" s="45"/>
      <c r="AL63" s="53">
        <v>-16684</v>
      </c>
      <c r="AM63" s="45"/>
      <c r="AN63" s="53">
        <v>0</v>
      </c>
      <c r="AO63" s="53"/>
      <c r="AP63" s="53">
        <v>0</v>
      </c>
      <c r="AQ63" s="53"/>
      <c r="AR63" s="53">
        <v>0</v>
      </c>
      <c r="AS63" s="53"/>
      <c r="AT63" s="45">
        <f t="shared" si="10"/>
        <v>-14755</v>
      </c>
      <c r="AU63" s="45"/>
      <c r="AV63" s="53">
        <v>0</v>
      </c>
      <c r="AW63" s="53"/>
      <c r="AX63" s="53">
        <v>0</v>
      </c>
      <c r="AY63" s="53"/>
      <c r="AZ63" s="53">
        <f t="shared" si="27"/>
        <v>541518</v>
      </c>
      <c r="BA63" s="51"/>
      <c r="BB63" s="35" t="s">
        <v>79</v>
      </c>
      <c r="BD63" s="35" t="s">
        <v>80</v>
      </c>
      <c r="BE63" s="53"/>
      <c r="BF63" s="53">
        <v>0</v>
      </c>
      <c r="BG63" s="53"/>
      <c r="BH63" s="53">
        <v>0</v>
      </c>
      <c r="BI63" s="53"/>
      <c r="BJ63" s="53">
        <f>102119+1813853+1187793</f>
        <v>3103765</v>
      </c>
      <c r="BK63" s="53"/>
      <c r="BL63" s="53">
        <f>4920+35833</f>
        <v>40753</v>
      </c>
      <c r="BM63" s="53"/>
      <c r="BN63" s="53">
        <f t="shared" si="5"/>
        <v>3144518</v>
      </c>
      <c r="BO63" s="54"/>
      <c r="BS63" s="55"/>
      <c r="BT63" s="55"/>
      <c r="BU63" s="84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</row>
    <row r="64" spans="1:95" s="35" customFormat="1" ht="12.75" customHeight="1" x14ac:dyDescent="0.2">
      <c r="A64" s="35" t="s">
        <v>81</v>
      </c>
      <c r="C64" s="35" t="s">
        <v>81</v>
      </c>
      <c r="D64" s="44"/>
      <c r="E64" s="53">
        <f t="shared" si="7"/>
        <v>2917901</v>
      </c>
      <c r="F64" s="53"/>
      <c r="G64" s="53">
        <v>10612299</v>
      </c>
      <c r="H64" s="53"/>
      <c r="I64" s="53">
        <v>13530200</v>
      </c>
      <c r="J64" s="53"/>
      <c r="K64" s="53">
        <f t="shared" si="8"/>
        <v>1127919</v>
      </c>
      <c r="L64" s="53"/>
      <c r="M64" s="53">
        <v>7246051</v>
      </c>
      <c r="N64" s="53"/>
      <c r="O64" s="53">
        <v>8373970</v>
      </c>
      <c r="P64" s="53"/>
      <c r="Q64" s="53">
        <v>2564254</v>
      </c>
      <c r="R64" s="53"/>
      <c r="S64" s="53">
        <v>0</v>
      </c>
      <c r="T64" s="53"/>
      <c r="U64" s="53">
        <v>2591976</v>
      </c>
      <c r="V64" s="53"/>
      <c r="W64" s="53">
        <f t="shared" si="2"/>
        <v>5156230</v>
      </c>
      <c r="X64" s="51"/>
      <c r="Y64" s="51"/>
      <c r="Z64" s="35" t="s">
        <v>81</v>
      </c>
      <c r="AA64" s="53"/>
      <c r="AB64" s="35" t="s">
        <v>81</v>
      </c>
      <c r="AD64" s="53">
        <v>3510872</v>
      </c>
      <c r="AE64" s="53"/>
      <c r="AF64" s="53">
        <f>2942224-605651</f>
        <v>2336573</v>
      </c>
      <c r="AG64" s="53"/>
      <c r="AH64" s="53">
        <v>605651</v>
      </c>
      <c r="AI64" s="53"/>
      <c r="AJ64" s="45">
        <f t="shared" si="9"/>
        <v>568648</v>
      </c>
      <c r="AK64" s="45"/>
      <c r="AL64" s="53">
        <v>-278783</v>
      </c>
      <c r="AM64" s="45"/>
      <c r="AN64" s="53">
        <v>0</v>
      </c>
      <c r="AO64" s="53"/>
      <c r="AP64" s="53">
        <v>0</v>
      </c>
      <c r="AQ64" s="53"/>
      <c r="AR64" s="53">
        <v>0</v>
      </c>
      <c r="AS64" s="53"/>
      <c r="AT64" s="45">
        <f t="shared" si="10"/>
        <v>289865</v>
      </c>
      <c r="AU64" s="45"/>
      <c r="AV64" s="53">
        <v>0</v>
      </c>
      <c r="AW64" s="53"/>
      <c r="AX64" s="53">
        <v>0</v>
      </c>
      <c r="AY64" s="53"/>
      <c r="AZ64" s="53">
        <f t="shared" si="27"/>
        <v>1789982</v>
      </c>
      <c r="BA64" s="51"/>
      <c r="BB64" s="35" t="s">
        <v>81</v>
      </c>
      <c r="BD64" s="35" t="s">
        <v>81</v>
      </c>
      <c r="BE64" s="53"/>
      <c r="BF64" s="53">
        <v>0</v>
      </c>
      <c r="BG64" s="53"/>
      <c r="BH64" s="53">
        <v>0</v>
      </c>
      <c r="BI64" s="53"/>
      <c r="BJ64" s="53">
        <f>7095719+402326</f>
        <v>7498045</v>
      </c>
      <c r="BK64" s="53"/>
      <c r="BL64" s="53">
        <f>41247+150332</f>
        <v>191579</v>
      </c>
      <c r="BM64" s="53"/>
      <c r="BN64" s="53">
        <f t="shared" si="5"/>
        <v>7689624</v>
      </c>
      <c r="BO64" s="54"/>
      <c r="BS64" s="55"/>
      <c r="BT64" s="55"/>
      <c r="BU64" s="84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</row>
    <row r="65" spans="1:95" s="126" customFormat="1" ht="12.75" hidden="1" customHeight="1" x14ac:dyDescent="0.2">
      <c r="A65" s="122" t="s">
        <v>465</v>
      </c>
      <c r="B65" s="122"/>
      <c r="C65" s="122" t="s">
        <v>57</v>
      </c>
      <c r="D65" s="121"/>
      <c r="E65" s="137">
        <f t="shared" si="7"/>
        <v>0</v>
      </c>
      <c r="F65" s="137"/>
      <c r="G65" s="137"/>
      <c r="H65" s="137"/>
      <c r="I65" s="137"/>
      <c r="J65" s="137"/>
      <c r="K65" s="137">
        <f t="shared" si="8"/>
        <v>0</v>
      </c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>
        <f t="shared" si="2"/>
        <v>0</v>
      </c>
      <c r="X65" s="124"/>
      <c r="Y65" s="124"/>
      <c r="Z65" s="122" t="s">
        <v>465</v>
      </c>
      <c r="AA65" s="122"/>
      <c r="AB65" s="122" t="s">
        <v>57</v>
      </c>
      <c r="AC65" s="124"/>
      <c r="AD65" s="137"/>
      <c r="AE65" s="137"/>
      <c r="AF65" s="137"/>
      <c r="AG65" s="137"/>
      <c r="AH65" s="137"/>
      <c r="AI65" s="137"/>
      <c r="AJ65" s="127">
        <f t="shared" si="9"/>
        <v>0</v>
      </c>
      <c r="AK65" s="127"/>
      <c r="AL65" s="137"/>
      <c r="AM65" s="127"/>
      <c r="AN65" s="137"/>
      <c r="AO65" s="137"/>
      <c r="AP65" s="137"/>
      <c r="AQ65" s="137"/>
      <c r="AR65" s="137"/>
      <c r="AS65" s="137"/>
      <c r="AT65" s="127">
        <f t="shared" si="10"/>
        <v>0</v>
      </c>
      <c r="AU65" s="127"/>
      <c r="AV65" s="137">
        <v>0</v>
      </c>
      <c r="AW65" s="137"/>
      <c r="AX65" s="137">
        <v>0</v>
      </c>
      <c r="AY65" s="137"/>
      <c r="AZ65" s="137">
        <f t="shared" si="27"/>
        <v>0</v>
      </c>
      <c r="BA65" s="124"/>
      <c r="BB65" s="122" t="s">
        <v>465</v>
      </c>
      <c r="BC65" s="122"/>
      <c r="BD65" s="122" t="s">
        <v>57</v>
      </c>
      <c r="BE65" s="137"/>
      <c r="BF65" s="137"/>
      <c r="BG65" s="137"/>
      <c r="BH65" s="137"/>
      <c r="BI65" s="137"/>
      <c r="BJ65" s="137"/>
      <c r="BK65" s="137"/>
      <c r="BL65" s="137"/>
      <c r="BM65" s="137"/>
      <c r="BN65" s="137">
        <f t="shared" si="5"/>
        <v>0</v>
      </c>
      <c r="BO65" s="139"/>
      <c r="BS65" s="140"/>
      <c r="BT65" s="140"/>
      <c r="BU65" s="141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</row>
    <row r="66" spans="1:95" s="35" customFormat="1" ht="12.75" customHeight="1" x14ac:dyDescent="0.2">
      <c r="A66" s="35" t="s">
        <v>82</v>
      </c>
      <c r="B66" s="51"/>
      <c r="C66" s="35" t="s">
        <v>13</v>
      </c>
      <c r="D66" s="44"/>
      <c r="E66" s="53">
        <f t="shared" si="7"/>
        <v>3051306</v>
      </c>
      <c r="F66" s="53"/>
      <c r="G66" s="53">
        <v>18939013</v>
      </c>
      <c r="H66" s="53"/>
      <c r="I66" s="53">
        <v>21990319</v>
      </c>
      <c r="J66" s="53"/>
      <c r="K66" s="53">
        <f t="shared" si="8"/>
        <v>1451158</v>
      </c>
      <c r="L66" s="53"/>
      <c r="M66" s="53">
        <v>8434487</v>
      </c>
      <c r="N66" s="53"/>
      <c r="O66" s="53">
        <v>9885645</v>
      </c>
      <c r="P66" s="53"/>
      <c r="Q66" s="53">
        <v>9756368</v>
      </c>
      <c r="R66" s="53"/>
      <c r="S66" s="53">
        <v>0</v>
      </c>
      <c r="T66" s="53"/>
      <c r="U66" s="53">
        <v>2348306</v>
      </c>
      <c r="V66" s="53"/>
      <c r="W66" s="53">
        <f t="shared" si="2"/>
        <v>12104674</v>
      </c>
      <c r="X66" s="51"/>
      <c r="Y66" s="51"/>
      <c r="Z66" s="35" t="s">
        <v>82</v>
      </c>
      <c r="AA66" s="53"/>
      <c r="AB66" s="35" t="s">
        <v>13</v>
      </c>
      <c r="AC66" s="51"/>
      <c r="AD66" s="53">
        <v>5401541</v>
      </c>
      <c r="AE66" s="53"/>
      <c r="AF66" s="53">
        <f>4144762-961919</f>
        <v>3182843</v>
      </c>
      <c r="AG66" s="53"/>
      <c r="AH66" s="53">
        <v>961919</v>
      </c>
      <c r="AI66" s="53"/>
      <c r="AJ66" s="45">
        <f t="shared" si="9"/>
        <v>1256779</v>
      </c>
      <c r="AK66" s="45"/>
      <c r="AL66" s="53">
        <v>-251866</v>
      </c>
      <c r="AM66" s="45"/>
      <c r="AN66" s="53">
        <v>0</v>
      </c>
      <c r="AO66" s="53"/>
      <c r="AP66" s="53">
        <v>0</v>
      </c>
      <c r="AQ66" s="53"/>
      <c r="AR66" s="53">
        <v>0</v>
      </c>
      <c r="AS66" s="53"/>
      <c r="AT66" s="45">
        <f t="shared" si="10"/>
        <v>1004913</v>
      </c>
      <c r="AU66" s="45"/>
      <c r="AV66" s="53">
        <v>0</v>
      </c>
      <c r="AW66" s="53"/>
      <c r="AX66" s="53">
        <v>0</v>
      </c>
      <c r="AY66" s="53"/>
      <c r="AZ66" s="53">
        <f t="shared" si="27"/>
        <v>1600148</v>
      </c>
      <c r="BA66" s="51"/>
      <c r="BB66" s="35" t="s">
        <v>82</v>
      </c>
      <c r="BD66" s="35" t="s">
        <v>13</v>
      </c>
      <c r="BE66" s="53"/>
      <c r="BF66" s="53">
        <f>5389000+683000+208858</f>
        <v>6280858</v>
      </c>
      <c r="BG66" s="53"/>
      <c r="BH66" s="53">
        <v>0</v>
      </c>
      <c r="BI66" s="53"/>
      <c r="BJ66" s="53">
        <v>0</v>
      </c>
      <c r="BK66" s="53"/>
      <c r="BL66" s="53">
        <f>2555682+280947+306685+87378</f>
        <v>3230692</v>
      </c>
      <c r="BM66" s="53"/>
      <c r="BN66" s="53">
        <f t="shared" si="5"/>
        <v>9511550</v>
      </c>
      <c r="BO66" s="54"/>
      <c r="BS66" s="55"/>
      <c r="BT66" s="55"/>
      <c r="BU66" s="84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s="35" customFormat="1" ht="12.75" customHeight="1" x14ac:dyDescent="0.2">
      <c r="A67" s="35" t="s">
        <v>83</v>
      </c>
      <c r="B67" s="51"/>
      <c r="C67" s="35" t="s">
        <v>66</v>
      </c>
      <c r="D67" s="44"/>
      <c r="E67" s="53">
        <f t="shared" si="7"/>
        <v>58034911</v>
      </c>
      <c r="F67" s="53"/>
      <c r="G67" s="53">
        <v>116276902</v>
      </c>
      <c r="H67" s="53"/>
      <c r="I67" s="53">
        <v>174311813</v>
      </c>
      <c r="J67" s="53"/>
      <c r="K67" s="53">
        <f t="shared" si="8"/>
        <v>5431462</v>
      </c>
      <c r="L67" s="53"/>
      <c r="M67" s="53">
        <v>474178</v>
      </c>
      <c r="N67" s="53"/>
      <c r="O67" s="53">
        <v>5905640</v>
      </c>
      <c r="P67" s="53"/>
      <c r="Q67" s="53">
        <v>116176961</v>
      </c>
      <c r="R67" s="53"/>
      <c r="S67" s="53">
        <v>0</v>
      </c>
      <c r="T67" s="53"/>
      <c r="U67" s="53">
        <v>52229212</v>
      </c>
      <c r="V67" s="53"/>
      <c r="W67" s="53">
        <f t="shared" si="2"/>
        <v>168406173</v>
      </c>
      <c r="Z67" s="35" t="s">
        <v>83</v>
      </c>
      <c r="AA67" s="53"/>
      <c r="AB67" s="35" t="s">
        <v>66</v>
      </c>
      <c r="AC67" s="51"/>
      <c r="AD67" s="53">
        <v>48250681</v>
      </c>
      <c r="AE67" s="53"/>
      <c r="AF67" s="53">
        <f>47267806-5869087</f>
        <v>41398719</v>
      </c>
      <c r="AG67" s="53"/>
      <c r="AH67" s="53">
        <v>5869087</v>
      </c>
      <c r="AI67" s="53"/>
      <c r="AJ67" s="45">
        <f t="shared" si="9"/>
        <v>982875</v>
      </c>
      <c r="AK67" s="45"/>
      <c r="AL67" s="53">
        <v>82017</v>
      </c>
      <c r="AM67" s="45"/>
      <c r="AN67" s="53">
        <v>0</v>
      </c>
      <c r="AO67" s="53"/>
      <c r="AP67" s="53">
        <v>0</v>
      </c>
      <c r="AQ67" s="53"/>
      <c r="AR67" s="53">
        <v>147538</v>
      </c>
      <c r="AS67" s="53"/>
      <c r="AT67" s="45">
        <f t="shared" si="10"/>
        <v>1212430</v>
      </c>
      <c r="AU67" s="45"/>
      <c r="AV67" s="53">
        <v>0</v>
      </c>
      <c r="AW67" s="53"/>
      <c r="AX67" s="53">
        <v>0</v>
      </c>
      <c r="AY67" s="53"/>
      <c r="AZ67" s="53">
        <f t="shared" si="27"/>
        <v>52603449</v>
      </c>
      <c r="BA67" s="51"/>
      <c r="BB67" s="35" t="s">
        <v>83</v>
      </c>
      <c r="BD67" s="35" t="s">
        <v>66</v>
      </c>
      <c r="BE67" s="53"/>
      <c r="BF67" s="53">
        <v>0</v>
      </c>
      <c r="BG67" s="53"/>
      <c r="BH67" s="53">
        <v>0</v>
      </c>
      <c r="BI67" s="53"/>
      <c r="BJ67" s="53">
        <v>0</v>
      </c>
      <c r="BK67" s="53"/>
      <c r="BL67" s="53">
        <f>474178+1141017</f>
        <v>1615195</v>
      </c>
      <c r="BM67" s="53"/>
      <c r="BN67" s="53">
        <f t="shared" si="5"/>
        <v>1615195</v>
      </c>
      <c r="BO67" s="54"/>
      <c r="BS67" s="55"/>
      <c r="BT67" s="55"/>
      <c r="BU67" s="84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</row>
    <row r="68" spans="1:95" s="126" customFormat="1" ht="12.75" hidden="1" customHeight="1" x14ac:dyDescent="0.2">
      <c r="A68" s="126" t="s">
        <v>84</v>
      </c>
      <c r="B68" s="124"/>
      <c r="C68" s="126" t="s">
        <v>45</v>
      </c>
      <c r="D68" s="121"/>
      <c r="E68" s="53">
        <f t="shared" si="7"/>
        <v>0</v>
      </c>
      <c r="F68" s="53"/>
      <c r="G68" s="53"/>
      <c r="H68" s="53"/>
      <c r="I68" s="53"/>
      <c r="J68" s="53"/>
      <c r="K68" s="53">
        <f t="shared" si="8"/>
        <v>0</v>
      </c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137">
        <f t="shared" si="2"/>
        <v>0</v>
      </c>
      <c r="X68" s="124"/>
      <c r="Y68" s="124"/>
      <c r="Z68" s="126" t="s">
        <v>84</v>
      </c>
      <c r="AA68" s="137"/>
      <c r="AB68" s="126" t="s">
        <v>45</v>
      </c>
      <c r="AC68" s="124"/>
      <c r="AD68" s="53"/>
      <c r="AE68" s="53"/>
      <c r="AF68" s="53"/>
      <c r="AG68" s="53"/>
      <c r="AH68" s="53"/>
      <c r="AI68" s="53"/>
      <c r="AJ68" s="45">
        <f t="shared" si="9"/>
        <v>0</v>
      </c>
      <c r="AK68" s="45"/>
      <c r="AL68" s="53"/>
      <c r="AM68" s="45"/>
      <c r="AN68" s="53"/>
      <c r="AO68" s="53"/>
      <c r="AP68" s="53"/>
      <c r="AQ68" s="53"/>
      <c r="AR68" s="53"/>
      <c r="AS68" s="53"/>
      <c r="AT68" s="45">
        <f t="shared" si="10"/>
        <v>0</v>
      </c>
      <c r="AU68" s="127"/>
      <c r="AV68" s="137">
        <v>0</v>
      </c>
      <c r="AW68" s="137"/>
      <c r="AX68" s="137">
        <v>0</v>
      </c>
      <c r="AY68" s="137"/>
      <c r="AZ68" s="137">
        <f t="shared" si="27"/>
        <v>0</v>
      </c>
      <c r="BA68" s="124"/>
      <c r="BB68" s="126" t="s">
        <v>84</v>
      </c>
      <c r="BD68" s="126" t="s">
        <v>45</v>
      </c>
      <c r="BE68" s="137"/>
      <c r="BF68" s="53"/>
      <c r="BG68" s="53"/>
      <c r="BH68" s="53"/>
      <c r="BI68" s="53"/>
      <c r="BJ68" s="53"/>
      <c r="BK68" s="53"/>
      <c r="BL68" s="53"/>
      <c r="BM68" s="137"/>
      <c r="BN68" s="137">
        <f t="shared" si="5"/>
        <v>0</v>
      </c>
      <c r="BO68" s="139"/>
      <c r="BS68" s="140"/>
      <c r="BT68" s="140"/>
      <c r="BU68" s="141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</row>
    <row r="69" spans="1:95" s="35" customFormat="1" ht="12.75" customHeight="1" x14ac:dyDescent="0.2">
      <c r="A69" s="35" t="s">
        <v>85</v>
      </c>
      <c r="B69" s="51"/>
      <c r="C69" s="35" t="s">
        <v>85</v>
      </c>
      <c r="D69" s="44"/>
      <c r="E69" s="53">
        <f t="shared" si="7"/>
        <v>2139614</v>
      </c>
      <c r="F69" s="53"/>
      <c r="G69" s="53">
        <v>23224473</v>
      </c>
      <c r="H69" s="53"/>
      <c r="I69" s="53">
        <v>25364087</v>
      </c>
      <c r="J69" s="53"/>
      <c r="K69" s="53">
        <f t="shared" si="8"/>
        <v>1238005</v>
      </c>
      <c r="L69" s="53"/>
      <c r="M69" s="53">
        <v>14634293</v>
      </c>
      <c r="N69" s="53"/>
      <c r="O69" s="53">
        <v>15872298</v>
      </c>
      <c r="P69" s="53"/>
      <c r="Q69" s="53">
        <v>7752225</v>
      </c>
      <c r="R69" s="53"/>
      <c r="S69" s="53">
        <v>0</v>
      </c>
      <c r="T69" s="53"/>
      <c r="U69" s="53">
        <v>1739564</v>
      </c>
      <c r="V69" s="53"/>
      <c r="W69" s="53">
        <f t="shared" si="2"/>
        <v>9491789</v>
      </c>
      <c r="X69" s="51"/>
      <c r="Y69" s="51"/>
      <c r="Z69" s="35" t="s">
        <v>85</v>
      </c>
      <c r="AA69" s="53"/>
      <c r="AB69" s="35" t="s">
        <v>85</v>
      </c>
      <c r="AC69" s="51"/>
      <c r="AD69" s="53">
        <v>5437855</v>
      </c>
      <c r="AE69" s="53"/>
      <c r="AF69" s="53">
        <f>3615203-729372</f>
        <v>2885831</v>
      </c>
      <c r="AG69" s="53"/>
      <c r="AH69" s="53">
        <v>729372</v>
      </c>
      <c r="AI69" s="53"/>
      <c r="AJ69" s="45">
        <f t="shared" si="9"/>
        <v>1822652</v>
      </c>
      <c r="AK69" s="45"/>
      <c r="AL69" s="53">
        <v>-934851</v>
      </c>
      <c r="AM69" s="45"/>
      <c r="AN69" s="53">
        <v>0</v>
      </c>
      <c r="AO69" s="53"/>
      <c r="AP69" s="53">
        <v>0</v>
      </c>
      <c r="AQ69" s="53"/>
      <c r="AR69" s="53">
        <v>0</v>
      </c>
      <c r="AS69" s="53"/>
      <c r="AT69" s="45">
        <f t="shared" si="10"/>
        <v>887801</v>
      </c>
      <c r="AU69" s="45"/>
      <c r="AV69" s="53">
        <v>0</v>
      </c>
      <c r="AW69" s="53"/>
      <c r="AX69" s="53">
        <v>0</v>
      </c>
      <c r="AY69" s="53"/>
      <c r="AZ69" s="53">
        <f t="shared" si="27"/>
        <v>901609</v>
      </c>
      <c r="BA69" s="51"/>
      <c r="BB69" s="35" t="s">
        <v>85</v>
      </c>
      <c r="BD69" s="35" t="s">
        <v>85</v>
      </c>
      <c r="BE69" s="53"/>
      <c r="BF69" s="53">
        <f>7565706+595000</f>
        <v>8160706</v>
      </c>
      <c r="BG69" s="53"/>
      <c r="BH69" s="53">
        <v>0</v>
      </c>
      <c r="BI69" s="53"/>
      <c r="BJ69" s="53">
        <f>69709+157767+291251+6745315</f>
        <v>7264042</v>
      </c>
      <c r="BK69" s="53"/>
      <c r="BL69" s="53">
        <f>32021+46769</f>
        <v>78790</v>
      </c>
      <c r="BM69" s="53"/>
      <c r="BN69" s="53">
        <f t="shared" si="5"/>
        <v>15503538</v>
      </c>
      <c r="BO69" s="54"/>
      <c r="BS69" s="55"/>
      <c r="BT69" s="55"/>
      <c r="BU69" s="84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</row>
    <row r="70" spans="1:95" s="35" customFormat="1" ht="12.75" customHeight="1" x14ac:dyDescent="0.2">
      <c r="A70" s="35" t="s">
        <v>86</v>
      </c>
      <c r="B70" s="51"/>
      <c r="C70" s="35" t="s">
        <v>86</v>
      </c>
      <c r="D70" s="44"/>
      <c r="E70" s="53">
        <f t="shared" si="7"/>
        <v>7501540</v>
      </c>
      <c r="F70" s="53"/>
      <c r="G70" s="53">
        <v>31271812</v>
      </c>
      <c r="H70" s="53"/>
      <c r="I70" s="53">
        <v>38773352</v>
      </c>
      <c r="J70" s="53"/>
      <c r="K70" s="53">
        <f t="shared" si="8"/>
        <v>857983</v>
      </c>
      <c r="L70" s="53"/>
      <c r="M70" s="53">
        <v>5647573</v>
      </c>
      <c r="N70" s="53"/>
      <c r="O70" s="53">
        <v>6505556</v>
      </c>
      <c r="P70" s="53"/>
      <c r="Q70" s="53">
        <v>25801874</v>
      </c>
      <c r="R70" s="53"/>
      <c r="S70" s="53">
        <v>0</v>
      </c>
      <c r="T70" s="53"/>
      <c r="U70" s="53">
        <v>6465922</v>
      </c>
      <c r="V70" s="53"/>
      <c r="W70" s="53">
        <f t="shared" si="2"/>
        <v>32267796</v>
      </c>
      <c r="X70" s="51"/>
      <c r="Y70" s="51"/>
      <c r="Z70" s="35" t="s">
        <v>86</v>
      </c>
      <c r="AA70" s="53"/>
      <c r="AB70" s="35" t="s">
        <v>86</v>
      </c>
      <c r="AC70" s="51"/>
      <c r="AD70" s="53">
        <v>4978449</v>
      </c>
      <c r="AE70" s="53"/>
      <c r="AF70" s="53">
        <f>4298441-718532</f>
        <v>3579909</v>
      </c>
      <c r="AG70" s="53"/>
      <c r="AH70" s="53">
        <v>718532</v>
      </c>
      <c r="AI70" s="53"/>
      <c r="AJ70" s="45">
        <f t="shared" si="9"/>
        <v>680008</v>
      </c>
      <c r="AK70" s="45"/>
      <c r="AL70" s="53">
        <v>-218847</v>
      </c>
      <c r="AM70" s="45"/>
      <c r="AN70" s="53">
        <v>137885</v>
      </c>
      <c r="AO70" s="53"/>
      <c r="AP70" s="53">
        <v>0</v>
      </c>
      <c r="AQ70" s="53"/>
      <c r="AR70" s="53">
        <v>29832</v>
      </c>
      <c r="AS70" s="53"/>
      <c r="AT70" s="45">
        <f t="shared" si="10"/>
        <v>628878</v>
      </c>
      <c r="AU70" s="45"/>
      <c r="AV70" s="53">
        <v>0</v>
      </c>
      <c r="AW70" s="53"/>
      <c r="AX70" s="53">
        <v>0</v>
      </c>
      <c r="AY70" s="53"/>
      <c r="AZ70" s="53">
        <f t="shared" si="27"/>
        <v>6643557</v>
      </c>
      <c r="BA70" s="51"/>
      <c r="BB70" s="35" t="s">
        <v>86</v>
      </c>
      <c r="BD70" s="35" t="s">
        <v>86</v>
      </c>
      <c r="BE70" s="53"/>
      <c r="BF70" s="53">
        <f>2992447+106000</f>
        <v>3098447</v>
      </c>
      <c r="BG70" s="53"/>
      <c r="BH70" s="53">
        <v>0</v>
      </c>
      <c r="BI70" s="53"/>
      <c r="BJ70" s="53">
        <f>2140900+56616</f>
        <v>2197516</v>
      </c>
      <c r="BK70" s="53"/>
      <c r="BL70" s="53">
        <f>173976+340250+83866</f>
        <v>598092</v>
      </c>
      <c r="BM70" s="53"/>
      <c r="BN70" s="53">
        <f t="shared" si="5"/>
        <v>5894055</v>
      </c>
      <c r="BO70" s="54"/>
      <c r="BS70" s="55"/>
      <c r="BT70" s="55"/>
      <c r="BU70" s="84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</row>
    <row r="71" spans="1:95" s="35" customFormat="1" ht="12.75" customHeight="1" x14ac:dyDescent="0.2">
      <c r="A71" s="64" t="s">
        <v>87</v>
      </c>
      <c r="B71" s="64"/>
      <c r="C71" s="64" t="s">
        <v>88</v>
      </c>
      <c r="D71" s="46"/>
      <c r="E71" s="53">
        <f t="shared" si="7"/>
        <v>869752</v>
      </c>
      <c r="F71" s="53"/>
      <c r="G71" s="53">
        <v>21819665</v>
      </c>
      <c r="H71" s="53"/>
      <c r="I71" s="53">
        <v>22689417</v>
      </c>
      <c r="J71" s="53"/>
      <c r="K71" s="53">
        <f t="shared" si="8"/>
        <v>1017524</v>
      </c>
      <c r="L71" s="53"/>
      <c r="M71" s="53">
        <v>15257526</v>
      </c>
      <c r="N71" s="53"/>
      <c r="O71" s="53">
        <v>16275050</v>
      </c>
      <c r="P71" s="53"/>
      <c r="Q71" s="53">
        <v>5678245</v>
      </c>
      <c r="R71" s="53"/>
      <c r="S71" s="53">
        <v>0</v>
      </c>
      <c r="T71" s="53"/>
      <c r="U71" s="53">
        <v>736122</v>
      </c>
      <c r="V71" s="53"/>
      <c r="W71" s="53">
        <f t="shared" si="2"/>
        <v>6414367</v>
      </c>
      <c r="X71" s="51"/>
      <c r="Y71" s="51"/>
      <c r="Z71" s="64" t="s">
        <v>87</v>
      </c>
      <c r="AA71" s="79"/>
      <c r="AB71" s="64" t="s">
        <v>88</v>
      </c>
      <c r="AC71" s="64"/>
      <c r="AD71" s="53">
        <v>2005847</v>
      </c>
      <c r="AE71" s="53"/>
      <c r="AF71" s="53">
        <f>1470820-570151</f>
        <v>900669</v>
      </c>
      <c r="AG71" s="53"/>
      <c r="AH71" s="53">
        <v>570151</v>
      </c>
      <c r="AI71" s="53"/>
      <c r="AJ71" s="45">
        <f t="shared" si="9"/>
        <v>535027</v>
      </c>
      <c r="AK71" s="45"/>
      <c r="AL71" s="53">
        <v>-387513</v>
      </c>
      <c r="AM71" s="45"/>
      <c r="AN71" s="53">
        <v>0</v>
      </c>
      <c r="AO71" s="53"/>
      <c r="AP71" s="53">
        <v>0</v>
      </c>
      <c r="AQ71" s="53"/>
      <c r="AR71" s="53">
        <v>0</v>
      </c>
      <c r="AS71" s="53"/>
      <c r="AT71" s="45">
        <f t="shared" si="10"/>
        <v>147514</v>
      </c>
      <c r="AU71" s="45"/>
      <c r="AV71" s="53">
        <v>0</v>
      </c>
      <c r="AW71" s="53"/>
      <c r="AX71" s="53">
        <v>0</v>
      </c>
      <c r="AY71" s="53"/>
      <c r="AZ71" s="53">
        <f t="shared" si="27"/>
        <v>-147772</v>
      </c>
      <c r="BA71" s="51"/>
      <c r="BB71" s="64" t="s">
        <v>87</v>
      </c>
      <c r="BC71" s="64"/>
      <c r="BD71" s="64" t="s">
        <v>88</v>
      </c>
      <c r="BE71" s="79"/>
      <c r="BF71" s="53">
        <f>1573404+191065</f>
        <v>1764469</v>
      </c>
      <c r="BG71" s="53"/>
      <c r="BH71" s="53">
        <v>0</v>
      </c>
      <c r="BI71" s="53"/>
      <c r="BJ71" s="53">
        <f>21640+736161+187669+13431479</f>
        <v>14376949</v>
      </c>
      <c r="BK71" s="53"/>
      <c r="BL71" s="53">
        <f>30178+64974</f>
        <v>95152</v>
      </c>
      <c r="BM71" s="53"/>
      <c r="BN71" s="53">
        <f t="shared" si="5"/>
        <v>16236570</v>
      </c>
      <c r="BO71" s="54"/>
      <c r="BS71" s="55"/>
      <c r="BT71" s="55"/>
      <c r="BU71" s="84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</row>
    <row r="72" spans="1:95" s="35" customFormat="1" ht="12.75" customHeight="1" x14ac:dyDescent="0.2">
      <c r="A72" s="35" t="s">
        <v>395</v>
      </c>
      <c r="C72" s="35" t="s">
        <v>89</v>
      </c>
      <c r="D72" s="44"/>
      <c r="E72" s="53">
        <f t="shared" si="7"/>
        <v>1325843</v>
      </c>
      <c r="F72" s="53"/>
      <c r="G72" s="53">
        <v>9713843</v>
      </c>
      <c r="H72" s="53"/>
      <c r="I72" s="53">
        <v>11039686</v>
      </c>
      <c r="J72" s="53"/>
      <c r="K72" s="53">
        <f t="shared" si="8"/>
        <v>453378</v>
      </c>
      <c r="L72" s="53"/>
      <c r="M72" s="53">
        <v>4177771</v>
      </c>
      <c r="N72" s="53"/>
      <c r="O72" s="53">
        <v>4631149</v>
      </c>
      <c r="P72" s="53"/>
      <c r="Q72" s="53">
        <v>4661304</v>
      </c>
      <c r="R72" s="53"/>
      <c r="S72" s="53">
        <f>494332+480926</f>
        <v>975258</v>
      </c>
      <c r="T72" s="53"/>
      <c r="U72" s="53">
        <v>771975</v>
      </c>
      <c r="V72" s="53"/>
      <c r="W72" s="53">
        <f t="shared" si="2"/>
        <v>6408537</v>
      </c>
      <c r="X72" s="51"/>
      <c r="Y72" s="51"/>
      <c r="Z72" s="35" t="s">
        <v>395</v>
      </c>
      <c r="AA72" s="53"/>
      <c r="AB72" s="35" t="s">
        <v>89</v>
      </c>
      <c r="AD72" s="53">
        <v>2017911</v>
      </c>
      <c r="AE72" s="53"/>
      <c r="AF72" s="53">
        <f>1664612-510427</f>
        <v>1154185</v>
      </c>
      <c r="AG72" s="53"/>
      <c r="AH72" s="53">
        <v>510427</v>
      </c>
      <c r="AI72" s="53"/>
      <c r="AJ72" s="45">
        <f t="shared" si="9"/>
        <v>353299</v>
      </c>
      <c r="AK72" s="45"/>
      <c r="AL72" s="53">
        <v>-234882</v>
      </c>
      <c r="AM72" s="45"/>
      <c r="AN72" s="53">
        <v>0</v>
      </c>
      <c r="AO72" s="53"/>
      <c r="AP72" s="53">
        <v>0</v>
      </c>
      <c r="AQ72" s="53"/>
      <c r="AR72" s="53">
        <v>0</v>
      </c>
      <c r="AS72" s="53"/>
      <c r="AT72" s="45">
        <f t="shared" si="10"/>
        <v>118417</v>
      </c>
      <c r="AU72" s="45"/>
      <c r="AV72" s="53">
        <v>0</v>
      </c>
      <c r="AW72" s="53"/>
      <c r="AX72" s="53">
        <v>0</v>
      </c>
      <c r="AY72" s="53"/>
      <c r="AZ72" s="53">
        <f t="shared" si="27"/>
        <v>872465</v>
      </c>
      <c r="BA72" s="51"/>
      <c r="BB72" s="35" t="s">
        <v>394</v>
      </c>
      <c r="BD72" s="35" t="s">
        <v>89</v>
      </c>
      <c r="BE72" s="53"/>
      <c r="BF72" s="53">
        <v>0</v>
      </c>
      <c r="BG72" s="53"/>
      <c r="BH72" s="53">
        <f>320000+4031075</f>
        <v>4351075</v>
      </c>
      <c r="BI72" s="53"/>
      <c r="BJ72" s="53">
        <v>0</v>
      </c>
      <c r="BK72" s="53"/>
      <c r="BL72" s="53">
        <v>146696</v>
      </c>
      <c r="BM72" s="53"/>
      <c r="BN72" s="53">
        <f t="shared" si="5"/>
        <v>4497771</v>
      </c>
      <c r="BO72" s="54"/>
      <c r="BS72" s="55"/>
      <c r="BT72" s="55"/>
      <c r="BU72" s="84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</row>
    <row r="73" spans="1:95" s="35" customFormat="1" ht="12.75" hidden="1" customHeight="1" x14ac:dyDescent="0.2">
      <c r="A73" s="35" t="s">
        <v>90</v>
      </c>
      <c r="B73" s="96"/>
      <c r="C73" s="35" t="s">
        <v>43</v>
      </c>
      <c r="D73" s="44"/>
      <c r="E73" s="53">
        <f t="shared" si="7"/>
        <v>15398201</v>
      </c>
      <c r="F73" s="53"/>
      <c r="G73" s="53">
        <v>34763958</v>
      </c>
      <c r="H73" s="53"/>
      <c r="I73" s="53">
        <v>50162159</v>
      </c>
      <c r="J73" s="53"/>
      <c r="K73" s="53">
        <f t="shared" si="8"/>
        <v>434895</v>
      </c>
      <c r="L73" s="53"/>
      <c r="M73" s="53">
        <v>2444058</v>
      </c>
      <c r="N73" s="53"/>
      <c r="O73" s="53">
        <v>2878953</v>
      </c>
      <c r="P73" s="53"/>
      <c r="Q73" s="53">
        <v>31956051</v>
      </c>
      <c r="R73" s="53"/>
      <c r="S73" s="53">
        <v>0</v>
      </c>
      <c r="T73" s="53"/>
      <c r="U73" s="53">
        <v>15327155</v>
      </c>
      <c r="V73" s="53"/>
      <c r="W73" s="53">
        <f>SUM(Q73:U73)</f>
        <v>47283206</v>
      </c>
      <c r="X73" s="96"/>
      <c r="Y73" s="96"/>
      <c r="Z73" s="35" t="s">
        <v>90</v>
      </c>
      <c r="AA73" s="53"/>
      <c r="AB73" s="35" t="s">
        <v>43</v>
      </c>
      <c r="AC73" s="96"/>
      <c r="AD73" s="53">
        <v>1097665</v>
      </c>
      <c r="AE73" s="53"/>
      <c r="AF73" s="53">
        <f>2301349-1327341</f>
        <v>974008</v>
      </c>
      <c r="AG73" s="53"/>
      <c r="AH73" s="53">
        <v>1327341</v>
      </c>
      <c r="AI73" s="53"/>
      <c r="AJ73" s="45">
        <f t="shared" si="9"/>
        <v>-1203684</v>
      </c>
      <c r="AK73" s="45"/>
      <c r="AL73" s="53">
        <v>38790</v>
      </c>
      <c r="AM73" s="45"/>
      <c r="AN73" s="53">
        <v>0</v>
      </c>
      <c r="AO73" s="53"/>
      <c r="AP73" s="53">
        <v>0</v>
      </c>
      <c r="AQ73" s="53"/>
      <c r="AR73" s="53">
        <v>243997</v>
      </c>
      <c r="AS73" s="53"/>
      <c r="AT73" s="45">
        <f t="shared" si="10"/>
        <v>-920897</v>
      </c>
      <c r="AU73" s="45"/>
      <c r="AV73" s="53">
        <v>0</v>
      </c>
      <c r="AW73" s="53"/>
      <c r="AX73" s="53">
        <v>0</v>
      </c>
      <c r="AY73" s="53"/>
      <c r="AZ73" s="53">
        <f t="shared" si="27"/>
        <v>14963306</v>
      </c>
      <c r="BA73" s="96"/>
      <c r="BB73" s="35" t="s">
        <v>90</v>
      </c>
      <c r="BD73" s="35" t="s">
        <v>43</v>
      </c>
      <c r="BE73" s="53"/>
      <c r="BF73" s="53">
        <f>2432907+375000</f>
        <v>2807907</v>
      </c>
      <c r="BG73" s="53"/>
      <c r="BH73" s="53">
        <v>0</v>
      </c>
      <c r="BI73" s="53"/>
      <c r="BJ73" s="53">
        <v>0</v>
      </c>
      <c r="BK73" s="53"/>
      <c r="BL73" s="53">
        <f>11151+4471</f>
        <v>15622</v>
      </c>
      <c r="BM73" s="53"/>
      <c r="BN73" s="53">
        <f t="shared" si="5"/>
        <v>2823529</v>
      </c>
      <c r="BO73" s="54"/>
      <c r="BS73" s="55"/>
      <c r="BT73" s="55"/>
      <c r="BU73" s="84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</row>
    <row r="74" spans="1:95" s="35" customFormat="1" ht="12.75" customHeight="1" x14ac:dyDescent="0.2">
      <c r="A74" s="47" t="s">
        <v>488</v>
      </c>
      <c r="B74" s="47"/>
      <c r="C74" s="47" t="s">
        <v>27</v>
      </c>
      <c r="D74" s="44"/>
      <c r="E74" s="53">
        <f t="shared" si="7"/>
        <v>0</v>
      </c>
      <c r="F74" s="53"/>
      <c r="G74" s="53">
        <v>147276</v>
      </c>
      <c r="H74" s="53"/>
      <c r="I74" s="53">
        <v>147276</v>
      </c>
      <c r="J74" s="53"/>
      <c r="K74" s="53">
        <f t="shared" si="8"/>
        <v>383256</v>
      </c>
      <c r="L74" s="53"/>
      <c r="M74" s="53">
        <v>227875</v>
      </c>
      <c r="N74" s="53"/>
      <c r="O74" s="53">
        <v>611131</v>
      </c>
      <c r="P74" s="53"/>
      <c r="Q74" s="53">
        <v>147276</v>
      </c>
      <c r="R74" s="53"/>
      <c r="S74" s="53">
        <v>0</v>
      </c>
      <c r="T74" s="53"/>
      <c r="U74" s="53">
        <v>-611131</v>
      </c>
      <c r="V74" s="53"/>
      <c r="W74" s="53">
        <f t="shared" si="2"/>
        <v>-463855</v>
      </c>
      <c r="X74" s="51"/>
      <c r="Y74" s="51"/>
      <c r="Z74" s="47" t="s">
        <v>488</v>
      </c>
      <c r="AA74" s="47"/>
      <c r="AB74" s="47" t="s">
        <v>27</v>
      </c>
      <c r="AC74" s="51"/>
      <c r="AD74" s="53">
        <v>0</v>
      </c>
      <c r="AE74" s="53"/>
      <c r="AF74" s="53">
        <f>10302-3539</f>
        <v>6763</v>
      </c>
      <c r="AG74" s="53"/>
      <c r="AH74" s="53">
        <v>3539</v>
      </c>
      <c r="AI74" s="53"/>
      <c r="AJ74" s="45">
        <f t="shared" si="9"/>
        <v>-10302</v>
      </c>
      <c r="AK74" s="45"/>
      <c r="AL74" s="53">
        <v>-16367</v>
      </c>
      <c r="AM74" s="45"/>
      <c r="AN74" s="53">
        <v>0</v>
      </c>
      <c r="AO74" s="53"/>
      <c r="AP74" s="53">
        <v>16610</v>
      </c>
      <c r="AQ74" s="53"/>
      <c r="AR74" s="53">
        <v>0</v>
      </c>
      <c r="AS74" s="53"/>
      <c r="AT74" s="45">
        <f t="shared" si="10"/>
        <v>-43279</v>
      </c>
      <c r="AU74" s="45"/>
      <c r="AV74" s="53">
        <v>0</v>
      </c>
      <c r="AW74" s="53"/>
      <c r="AX74" s="53">
        <v>0</v>
      </c>
      <c r="AY74" s="53"/>
      <c r="AZ74" s="53">
        <f t="shared" si="27"/>
        <v>-383256</v>
      </c>
      <c r="BA74" s="51"/>
      <c r="BB74" s="47" t="s">
        <v>488</v>
      </c>
      <c r="BC74" s="47"/>
      <c r="BD74" s="47" t="s">
        <v>27</v>
      </c>
      <c r="BE74" s="53"/>
      <c r="BF74" s="53">
        <v>0</v>
      </c>
      <c r="BG74" s="53"/>
      <c r="BH74" s="53">
        <v>0</v>
      </c>
      <c r="BI74" s="53"/>
      <c r="BJ74" s="53">
        <f>227875+46970</f>
        <v>274845</v>
      </c>
      <c r="BK74" s="53"/>
      <c r="BL74" s="53">
        <v>0</v>
      </c>
      <c r="BM74" s="53"/>
      <c r="BN74" s="53">
        <f t="shared" si="5"/>
        <v>274845</v>
      </c>
      <c r="BO74" s="54"/>
      <c r="BS74" s="55"/>
      <c r="BT74" s="55"/>
      <c r="BU74" s="84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</row>
    <row r="75" spans="1:95" s="35" customFormat="1" ht="12.75" customHeight="1" x14ac:dyDescent="0.2">
      <c r="A75" s="44" t="s">
        <v>93</v>
      </c>
      <c r="B75" s="47"/>
      <c r="C75" s="44" t="s">
        <v>94</v>
      </c>
      <c r="D75" s="44"/>
      <c r="E75" s="53">
        <f t="shared" si="7"/>
        <v>2954166</v>
      </c>
      <c r="F75" s="53"/>
      <c r="G75" s="53">
        <v>7733301</v>
      </c>
      <c r="H75" s="53"/>
      <c r="I75" s="53">
        <v>10687467</v>
      </c>
      <c r="J75" s="53"/>
      <c r="K75" s="53">
        <f t="shared" si="8"/>
        <v>503591</v>
      </c>
      <c r="L75" s="53"/>
      <c r="M75" s="53">
        <v>3265407</v>
      </c>
      <c r="N75" s="53"/>
      <c r="O75" s="53">
        <v>3768998</v>
      </c>
      <c r="P75" s="53"/>
      <c r="Q75" s="53">
        <v>4217192</v>
      </c>
      <c r="R75" s="53"/>
      <c r="S75" s="53">
        <v>0</v>
      </c>
      <c r="T75" s="53"/>
      <c r="U75" s="53">
        <v>2701277</v>
      </c>
      <c r="V75" s="53"/>
      <c r="W75" s="53">
        <f>SUM(Q75:U75)</f>
        <v>6918469</v>
      </c>
      <c r="X75" s="51"/>
      <c r="Y75" s="51"/>
      <c r="Z75" s="44" t="s">
        <v>93</v>
      </c>
      <c r="AA75" s="47"/>
      <c r="AB75" s="44" t="s">
        <v>94</v>
      </c>
      <c r="AC75" s="51"/>
      <c r="AD75" s="53">
        <v>2411822</v>
      </c>
      <c r="AE75" s="53"/>
      <c r="AF75" s="53">
        <f>2230915-305292</f>
        <v>1925623</v>
      </c>
      <c r="AG75" s="53"/>
      <c r="AH75" s="53">
        <v>305292</v>
      </c>
      <c r="AI75" s="53"/>
      <c r="AJ75" s="45">
        <f t="shared" si="9"/>
        <v>180907</v>
      </c>
      <c r="AK75" s="45"/>
      <c r="AL75" s="53">
        <v>-120048</v>
      </c>
      <c r="AM75" s="45"/>
      <c r="AN75" s="53">
        <v>181917</v>
      </c>
      <c r="AO75" s="53"/>
      <c r="AP75" s="53">
        <v>0</v>
      </c>
      <c r="AQ75" s="53"/>
      <c r="AR75" s="53">
        <v>0</v>
      </c>
      <c r="AS75" s="53"/>
      <c r="AT75" s="45">
        <f t="shared" si="10"/>
        <v>242776</v>
      </c>
      <c r="AU75" s="45"/>
      <c r="AV75" s="53">
        <v>0</v>
      </c>
      <c r="AW75" s="53"/>
      <c r="AX75" s="53">
        <v>0</v>
      </c>
      <c r="AY75" s="53"/>
      <c r="AZ75" s="53">
        <f>E75-K75</f>
        <v>2450575</v>
      </c>
      <c r="BA75" s="51"/>
      <c r="BB75" s="44" t="s">
        <v>93</v>
      </c>
      <c r="BC75" s="47"/>
      <c r="BD75" s="44" t="s">
        <v>94</v>
      </c>
      <c r="BE75" s="53"/>
      <c r="BF75" s="53">
        <v>0</v>
      </c>
      <c r="BG75" s="53"/>
      <c r="BH75" s="53">
        <v>0</v>
      </c>
      <c r="BI75" s="53"/>
      <c r="BJ75" s="53">
        <f>266275+53607+2895635+17442+17263+265887</f>
        <v>3516109</v>
      </c>
      <c r="BK75" s="53"/>
      <c r="BL75" s="53">
        <v>49890</v>
      </c>
      <c r="BM75" s="53"/>
      <c r="BN75" s="53">
        <f>SUM(BF75:BL75)</f>
        <v>3565999</v>
      </c>
      <c r="BO75" s="54"/>
      <c r="BS75" s="55"/>
      <c r="BT75" s="55"/>
      <c r="BU75" s="84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</row>
    <row r="76" spans="1:95" s="35" customFormat="1" ht="12.75" customHeight="1" x14ac:dyDescent="0.2">
      <c r="A76" s="35" t="s">
        <v>95</v>
      </c>
      <c r="B76" s="51"/>
      <c r="C76" s="35" t="s">
        <v>94</v>
      </c>
      <c r="D76" s="44"/>
      <c r="E76" s="53">
        <f t="shared" si="7"/>
        <v>257890</v>
      </c>
      <c r="F76" s="53"/>
      <c r="G76" s="53">
        <v>1853910</v>
      </c>
      <c r="H76" s="53"/>
      <c r="I76" s="53">
        <v>2111800</v>
      </c>
      <c r="J76" s="53"/>
      <c r="K76" s="53">
        <f t="shared" si="8"/>
        <v>82201</v>
      </c>
      <c r="L76" s="53"/>
      <c r="M76" s="53">
        <v>410702</v>
      </c>
      <c r="N76" s="53"/>
      <c r="O76" s="53">
        <v>492903</v>
      </c>
      <c r="P76" s="53"/>
      <c r="Q76" s="53">
        <v>1445220</v>
      </c>
      <c r="R76" s="53"/>
      <c r="S76" s="53">
        <v>0</v>
      </c>
      <c r="T76" s="53"/>
      <c r="U76" s="53">
        <v>173677</v>
      </c>
      <c r="V76" s="53"/>
      <c r="W76" s="53">
        <f>SUM(Q76:U76)</f>
        <v>1618897</v>
      </c>
      <c r="X76" s="51"/>
      <c r="Y76" s="51"/>
      <c r="Z76" s="35" t="s">
        <v>95</v>
      </c>
      <c r="AA76" s="53"/>
      <c r="AB76" s="35" t="s">
        <v>94</v>
      </c>
      <c r="AC76" s="51"/>
      <c r="AD76" s="53">
        <v>576027</v>
      </c>
      <c r="AE76" s="53"/>
      <c r="AF76" s="53">
        <f>413214-78460</f>
        <v>334754</v>
      </c>
      <c r="AG76" s="53"/>
      <c r="AH76" s="53">
        <v>78460</v>
      </c>
      <c r="AI76" s="53"/>
      <c r="AJ76" s="45">
        <f t="shared" si="9"/>
        <v>162813</v>
      </c>
      <c r="AK76" s="45"/>
      <c r="AL76" s="53">
        <v>20425</v>
      </c>
      <c r="AM76" s="45"/>
      <c r="AN76" s="53">
        <v>0</v>
      </c>
      <c r="AO76" s="53"/>
      <c r="AP76" s="53">
        <v>16747</v>
      </c>
      <c r="AQ76" s="53"/>
      <c r="AR76" s="53">
        <v>59071</v>
      </c>
      <c r="AS76" s="53"/>
      <c r="AT76" s="45">
        <f t="shared" si="10"/>
        <v>225562</v>
      </c>
      <c r="AU76" s="45"/>
      <c r="AV76" s="53">
        <v>0</v>
      </c>
      <c r="AW76" s="53"/>
      <c r="AX76" s="53">
        <v>0</v>
      </c>
      <c r="AY76" s="53"/>
      <c r="AZ76" s="53">
        <f>E76-K76</f>
        <v>175689</v>
      </c>
      <c r="BA76" s="51"/>
      <c r="BB76" s="35" t="s">
        <v>95</v>
      </c>
      <c r="BD76" s="35" t="s">
        <v>94</v>
      </c>
      <c r="BE76" s="53"/>
      <c r="BF76" s="53">
        <f>68625+8190</f>
        <v>76815</v>
      </c>
      <c r="BG76" s="53"/>
      <c r="BH76" s="53">
        <v>0</v>
      </c>
      <c r="BI76" s="53"/>
      <c r="BJ76" s="53">
        <f>187930+97163+10000+43248+3534</f>
        <v>341875</v>
      </c>
      <c r="BK76" s="53"/>
      <c r="BL76" s="53">
        <f>46984+5946</f>
        <v>52930</v>
      </c>
      <c r="BM76" s="53"/>
      <c r="BN76" s="53">
        <f>SUM(BF76:BL76)</f>
        <v>471620</v>
      </c>
      <c r="BO76" s="54"/>
      <c r="BS76" s="55"/>
      <c r="BT76" s="55"/>
      <c r="BU76" s="84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</row>
    <row r="77" spans="1:95" s="126" customFormat="1" ht="12.75" hidden="1" customHeight="1" x14ac:dyDescent="0.2">
      <c r="A77" s="126" t="s">
        <v>91</v>
      </c>
      <c r="B77" s="124"/>
      <c r="C77" s="126" t="s">
        <v>92</v>
      </c>
      <c r="D77" s="121"/>
      <c r="E77" s="53">
        <f t="shared" si="7"/>
        <v>0</v>
      </c>
      <c r="F77" s="53"/>
      <c r="G77" s="53"/>
      <c r="H77" s="53"/>
      <c r="I77" s="53"/>
      <c r="J77" s="53"/>
      <c r="K77" s="53">
        <f t="shared" si="8"/>
        <v>0</v>
      </c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137">
        <f t="shared" si="2"/>
        <v>0</v>
      </c>
      <c r="X77" s="124"/>
      <c r="Y77" s="124"/>
      <c r="Z77" s="126" t="s">
        <v>91</v>
      </c>
      <c r="AA77" s="137"/>
      <c r="AB77" s="126" t="s">
        <v>92</v>
      </c>
      <c r="AC77" s="124"/>
      <c r="AD77" s="53"/>
      <c r="AE77" s="53"/>
      <c r="AF77" s="53"/>
      <c r="AG77" s="53"/>
      <c r="AH77" s="53"/>
      <c r="AI77" s="53"/>
      <c r="AJ77" s="45">
        <f t="shared" si="9"/>
        <v>0</v>
      </c>
      <c r="AK77" s="45"/>
      <c r="AL77" s="53"/>
      <c r="AM77" s="45"/>
      <c r="AN77" s="53"/>
      <c r="AO77" s="53"/>
      <c r="AP77" s="53"/>
      <c r="AQ77" s="53"/>
      <c r="AR77" s="53"/>
      <c r="AS77" s="53"/>
      <c r="AT77" s="45">
        <f t="shared" si="10"/>
        <v>0</v>
      </c>
      <c r="AU77" s="127"/>
      <c r="AV77" s="137">
        <v>0</v>
      </c>
      <c r="AW77" s="137"/>
      <c r="AX77" s="137">
        <v>0</v>
      </c>
      <c r="AY77" s="137"/>
      <c r="AZ77" s="137">
        <f t="shared" si="27"/>
        <v>0</v>
      </c>
      <c r="BA77" s="124"/>
      <c r="BB77" s="126" t="s">
        <v>91</v>
      </c>
      <c r="BD77" s="126" t="s">
        <v>92</v>
      </c>
      <c r="BE77" s="137"/>
      <c r="BF77" s="53"/>
      <c r="BG77" s="53"/>
      <c r="BH77" s="53"/>
      <c r="BI77" s="53"/>
      <c r="BJ77" s="53"/>
      <c r="BK77" s="53"/>
      <c r="BL77" s="53"/>
      <c r="BM77" s="137"/>
      <c r="BN77" s="137">
        <f t="shared" si="5"/>
        <v>0</v>
      </c>
      <c r="BO77" s="139"/>
      <c r="BS77" s="140"/>
      <c r="BT77" s="140"/>
      <c r="BU77" s="141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</row>
    <row r="78" spans="1:95" s="35" customFormat="1" ht="12.75" customHeight="1" x14ac:dyDescent="0.2">
      <c r="A78" s="35" t="s">
        <v>96</v>
      </c>
      <c r="B78" s="51"/>
      <c r="C78" s="35" t="s">
        <v>97</v>
      </c>
      <c r="D78" s="44"/>
      <c r="E78" s="53">
        <f t="shared" si="7"/>
        <v>1618607</v>
      </c>
      <c r="F78" s="53"/>
      <c r="G78" s="53">
        <v>6276917</v>
      </c>
      <c r="H78" s="53"/>
      <c r="I78" s="53">
        <v>7895524</v>
      </c>
      <c r="J78" s="53"/>
      <c r="K78" s="53">
        <f t="shared" si="8"/>
        <v>295500</v>
      </c>
      <c r="L78" s="53"/>
      <c r="M78" s="53">
        <v>3628950</v>
      </c>
      <c r="N78" s="53"/>
      <c r="O78" s="53">
        <v>3924450</v>
      </c>
      <c r="P78" s="53"/>
      <c r="Q78" s="53">
        <v>2512316</v>
      </c>
      <c r="R78" s="53"/>
      <c r="S78" s="53">
        <v>0</v>
      </c>
      <c r="T78" s="53"/>
      <c r="U78" s="53">
        <v>1458758</v>
      </c>
      <c r="V78" s="53"/>
      <c r="W78" s="53">
        <f t="shared" si="2"/>
        <v>3971074</v>
      </c>
      <c r="X78" s="51"/>
      <c r="Y78" s="51"/>
      <c r="Z78" s="35" t="s">
        <v>96</v>
      </c>
      <c r="AA78" s="53"/>
      <c r="AB78" s="35" t="s">
        <v>97</v>
      </c>
      <c r="AC78" s="51"/>
      <c r="AD78" s="53">
        <v>1308736</v>
      </c>
      <c r="AE78" s="53"/>
      <c r="AF78" s="53">
        <f>1140082-291658</f>
        <v>848424</v>
      </c>
      <c r="AG78" s="53"/>
      <c r="AH78" s="53">
        <v>291658</v>
      </c>
      <c r="AI78" s="53"/>
      <c r="AJ78" s="45">
        <f t="shared" si="9"/>
        <v>168654</v>
      </c>
      <c r="AK78" s="45"/>
      <c r="AL78" s="53">
        <v>-42225</v>
      </c>
      <c r="AM78" s="45"/>
      <c r="AN78" s="53">
        <v>0</v>
      </c>
      <c r="AO78" s="53"/>
      <c r="AP78" s="53">
        <v>0</v>
      </c>
      <c r="AQ78" s="53"/>
      <c r="AR78" s="53">
        <v>0</v>
      </c>
      <c r="AS78" s="53"/>
      <c r="AT78" s="45">
        <f t="shared" si="10"/>
        <v>126429</v>
      </c>
      <c r="AU78" s="45"/>
      <c r="AV78" s="53">
        <v>0</v>
      </c>
      <c r="AW78" s="53"/>
      <c r="AX78" s="53">
        <v>0</v>
      </c>
      <c r="AY78" s="53"/>
      <c r="AZ78" s="53">
        <f t="shared" si="27"/>
        <v>1323107</v>
      </c>
      <c r="BA78" s="51"/>
      <c r="BB78" s="35" t="s">
        <v>96</v>
      </c>
      <c r="BD78" s="35" t="s">
        <v>97</v>
      </c>
      <c r="BE78" s="53"/>
      <c r="BF78" s="53">
        <v>0</v>
      </c>
      <c r="BG78" s="53"/>
      <c r="BH78" s="53">
        <v>0</v>
      </c>
      <c r="BI78" s="53"/>
      <c r="BJ78" s="53">
        <f>183087+3581568</f>
        <v>3764655</v>
      </c>
      <c r="BK78" s="53"/>
      <c r="BL78" s="53">
        <f>15557+47382</f>
        <v>62939</v>
      </c>
      <c r="BM78" s="53"/>
      <c r="BN78" s="53">
        <f t="shared" si="5"/>
        <v>3827594</v>
      </c>
      <c r="BO78" s="54"/>
      <c r="BS78" s="55"/>
      <c r="BT78" s="55"/>
      <c r="BU78" s="84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</row>
    <row r="79" spans="1:95" s="35" customFormat="1" ht="12.75" customHeight="1" x14ac:dyDescent="0.2">
      <c r="A79" s="35" t="s">
        <v>98</v>
      </c>
      <c r="B79" s="51"/>
      <c r="C79" s="35" t="s">
        <v>17</v>
      </c>
      <c r="D79" s="44"/>
      <c r="E79" s="53">
        <f t="shared" ref="E79:E90" si="28">I79-G79</f>
        <v>1454566</v>
      </c>
      <c r="F79" s="53"/>
      <c r="G79" s="53">
        <v>23808519</v>
      </c>
      <c r="H79" s="53"/>
      <c r="I79" s="53">
        <v>25263085</v>
      </c>
      <c r="J79" s="53"/>
      <c r="K79" s="53">
        <f t="shared" ref="K79:K90" si="29">O79-M79</f>
        <v>2492374</v>
      </c>
      <c r="L79" s="53"/>
      <c r="M79" s="53">
        <v>15987453</v>
      </c>
      <c r="N79" s="53"/>
      <c r="O79" s="53">
        <v>18479827</v>
      </c>
      <c r="P79" s="53"/>
      <c r="Q79" s="53">
        <v>7579882</v>
      </c>
      <c r="R79" s="53"/>
      <c r="S79" s="53">
        <v>0</v>
      </c>
      <c r="T79" s="53"/>
      <c r="U79" s="53">
        <v>-796624</v>
      </c>
      <c r="V79" s="53"/>
      <c r="W79" s="53">
        <f t="shared" si="2"/>
        <v>6783258</v>
      </c>
      <c r="X79" s="51"/>
      <c r="Y79" s="51"/>
      <c r="Z79" s="35" t="s">
        <v>98</v>
      </c>
      <c r="AA79" s="53"/>
      <c r="AB79" s="35" t="s">
        <v>17</v>
      </c>
      <c r="AC79" s="51"/>
      <c r="AD79" s="53">
        <v>8718426</v>
      </c>
      <c r="AE79" s="53"/>
      <c r="AF79" s="53">
        <f>7020086-1076628</f>
        <v>5943458</v>
      </c>
      <c r="AG79" s="53"/>
      <c r="AH79" s="53">
        <v>1076628</v>
      </c>
      <c r="AI79" s="53"/>
      <c r="AJ79" s="45">
        <f t="shared" ref="AJ79:AJ90" si="30">+AD79-AF79-AH79</f>
        <v>1698340</v>
      </c>
      <c r="AK79" s="45"/>
      <c r="AL79" s="53">
        <v>-609786</v>
      </c>
      <c r="AM79" s="45"/>
      <c r="AN79" s="53">
        <v>0</v>
      </c>
      <c r="AO79" s="53"/>
      <c r="AP79" s="53">
        <v>0</v>
      </c>
      <c r="AQ79" s="53"/>
      <c r="AR79" s="53">
        <v>16489</v>
      </c>
      <c r="AS79" s="53"/>
      <c r="AT79" s="45">
        <f t="shared" ref="AT79:AT90" si="31">+AJ79+AL79+AN79-AP79+AR79</f>
        <v>1105043</v>
      </c>
      <c r="AU79" s="45"/>
      <c r="AV79" s="53">
        <v>0</v>
      </c>
      <c r="AW79" s="53"/>
      <c r="AX79" s="53">
        <v>0</v>
      </c>
      <c r="AY79" s="53"/>
      <c r="AZ79" s="53">
        <f t="shared" si="27"/>
        <v>-1037808</v>
      </c>
      <c r="BA79" s="51"/>
      <c r="BB79" s="35" t="s">
        <v>98</v>
      </c>
      <c r="BD79" s="35" t="s">
        <v>17</v>
      </c>
      <c r="BE79" s="53"/>
      <c r="BF79" s="53">
        <f>7109054+334813</f>
        <v>7443867</v>
      </c>
      <c r="BG79" s="53"/>
      <c r="BH79" s="53">
        <v>0</v>
      </c>
      <c r="BI79" s="53"/>
      <c r="BJ79" s="53">
        <f>8370378+266335</f>
        <v>8636713</v>
      </c>
      <c r="BK79" s="53"/>
      <c r="BL79" s="53">
        <v>508021</v>
      </c>
      <c r="BM79" s="53"/>
      <c r="BN79" s="53">
        <f t="shared" si="5"/>
        <v>16588601</v>
      </c>
      <c r="BO79" s="54"/>
      <c r="BS79" s="55"/>
      <c r="BT79" s="55"/>
      <c r="BU79" s="84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</row>
    <row r="80" spans="1:95" s="35" customFormat="1" ht="12.75" customHeight="1" x14ac:dyDescent="0.2">
      <c r="A80" s="35" t="s">
        <v>99</v>
      </c>
      <c r="B80" s="51"/>
      <c r="C80" s="35" t="s">
        <v>66</v>
      </c>
      <c r="D80" s="44"/>
      <c r="E80" s="53">
        <f t="shared" si="28"/>
        <v>2606632</v>
      </c>
      <c r="F80" s="53"/>
      <c r="G80" s="53">
        <v>9937424</v>
      </c>
      <c r="H80" s="53"/>
      <c r="I80" s="53">
        <v>12544056</v>
      </c>
      <c r="J80" s="53"/>
      <c r="K80" s="53">
        <f t="shared" si="29"/>
        <v>72405</v>
      </c>
      <c r="L80" s="53"/>
      <c r="M80" s="53">
        <v>38413</v>
      </c>
      <c r="N80" s="53"/>
      <c r="O80" s="53">
        <v>110818</v>
      </c>
      <c r="P80" s="53"/>
      <c r="Q80" s="53">
        <v>9937424</v>
      </c>
      <c r="R80" s="53"/>
      <c r="S80" s="53">
        <v>0</v>
      </c>
      <c r="T80" s="53"/>
      <c r="U80" s="53">
        <v>2495814</v>
      </c>
      <c r="V80" s="53"/>
      <c r="W80" s="53">
        <f t="shared" si="2"/>
        <v>12433238</v>
      </c>
      <c r="Z80" s="35" t="s">
        <v>99</v>
      </c>
      <c r="AA80" s="53"/>
      <c r="AB80" s="35" t="s">
        <v>66</v>
      </c>
      <c r="AC80" s="51"/>
      <c r="AD80" s="53">
        <v>1184861</v>
      </c>
      <c r="AE80" s="53"/>
      <c r="AF80" s="53">
        <f>1195870-449480</f>
        <v>746390</v>
      </c>
      <c r="AG80" s="53"/>
      <c r="AH80" s="53">
        <v>449480</v>
      </c>
      <c r="AI80" s="53"/>
      <c r="AJ80" s="45">
        <f t="shared" si="30"/>
        <v>-11009</v>
      </c>
      <c r="AK80" s="45"/>
      <c r="AL80" s="53">
        <v>-126708</v>
      </c>
      <c r="AM80" s="45"/>
      <c r="AN80" s="53">
        <v>0</v>
      </c>
      <c r="AO80" s="53"/>
      <c r="AP80" s="53">
        <v>0</v>
      </c>
      <c r="AQ80" s="53"/>
      <c r="AR80" s="53">
        <v>0</v>
      </c>
      <c r="AS80" s="53"/>
      <c r="AT80" s="45">
        <f t="shared" si="31"/>
        <v>-137717</v>
      </c>
      <c r="AU80" s="45"/>
      <c r="AV80" s="53">
        <v>0</v>
      </c>
      <c r="AW80" s="53"/>
      <c r="AX80" s="53">
        <v>0</v>
      </c>
      <c r="AY80" s="53"/>
      <c r="AZ80" s="53">
        <f t="shared" si="27"/>
        <v>2534227</v>
      </c>
      <c r="BA80" s="51"/>
      <c r="BB80" s="35" t="s">
        <v>99</v>
      </c>
      <c r="BD80" s="35" t="s">
        <v>66</v>
      </c>
      <c r="BE80" s="53"/>
      <c r="BF80" s="53">
        <v>0</v>
      </c>
      <c r="BG80" s="53"/>
      <c r="BH80" s="53">
        <v>0</v>
      </c>
      <c r="BI80" s="53"/>
      <c r="BJ80" s="53">
        <v>0</v>
      </c>
      <c r="BK80" s="53"/>
      <c r="BL80" s="53">
        <f>38413+27056</f>
        <v>65469</v>
      </c>
      <c r="BM80" s="53"/>
      <c r="BN80" s="53">
        <f t="shared" si="5"/>
        <v>65469</v>
      </c>
      <c r="BO80" s="54"/>
      <c r="BS80" s="55"/>
      <c r="BT80" s="55"/>
      <c r="BU80" s="84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</row>
    <row r="81" spans="1:95" s="35" customFormat="1" ht="12.75" customHeight="1" x14ac:dyDescent="0.2">
      <c r="A81" s="35" t="s">
        <v>100</v>
      </c>
      <c r="B81" s="51"/>
      <c r="C81" s="35" t="s">
        <v>27</v>
      </c>
      <c r="D81" s="44"/>
      <c r="E81" s="53">
        <f t="shared" si="28"/>
        <v>2773702</v>
      </c>
      <c r="F81" s="53"/>
      <c r="G81" s="53">
        <v>30045782</v>
      </c>
      <c r="H81" s="53"/>
      <c r="I81" s="53">
        <v>32819484</v>
      </c>
      <c r="J81" s="53"/>
      <c r="K81" s="53">
        <f t="shared" si="29"/>
        <v>1122491</v>
      </c>
      <c r="L81" s="53"/>
      <c r="M81" s="53">
        <v>12443301</v>
      </c>
      <c r="N81" s="53"/>
      <c r="O81" s="53">
        <v>13565792</v>
      </c>
      <c r="P81" s="53"/>
      <c r="Q81" s="53">
        <v>16629655</v>
      </c>
      <c r="R81" s="53"/>
      <c r="S81" s="53">
        <v>0</v>
      </c>
      <c r="T81" s="53"/>
      <c r="U81" s="53">
        <v>2624037</v>
      </c>
      <c r="V81" s="53"/>
      <c r="W81" s="53">
        <f>SUM(Q81:U81)</f>
        <v>19253692</v>
      </c>
      <c r="X81" s="51"/>
      <c r="Y81" s="51"/>
      <c r="Z81" s="35" t="s">
        <v>100</v>
      </c>
      <c r="AA81" s="53"/>
      <c r="AB81" s="35" t="s">
        <v>27</v>
      </c>
      <c r="AC81" s="51"/>
      <c r="AD81" s="53">
        <v>2089300</v>
      </c>
      <c r="AE81" s="53"/>
      <c r="AF81" s="53">
        <v>0</v>
      </c>
      <c r="AG81" s="53"/>
      <c r="AH81" s="53">
        <v>499762</v>
      </c>
      <c r="AI81" s="53"/>
      <c r="AJ81" s="45">
        <f t="shared" si="30"/>
        <v>1589538</v>
      </c>
      <c r="AK81" s="45"/>
      <c r="AL81" s="53">
        <v>-267239</v>
      </c>
      <c r="AM81" s="45"/>
      <c r="AN81" s="53">
        <v>0</v>
      </c>
      <c r="AO81" s="53"/>
      <c r="AP81" s="53">
        <v>990923</v>
      </c>
      <c r="AQ81" s="53"/>
      <c r="AR81" s="53">
        <v>1053139</v>
      </c>
      <c r="AS81" s="53"/>
      <c r="AT81" s="45">
        <f t="shared" si="31"/>
        <v>1384515</v>
      </c>
      <c r="AU81" s="45"/>
      <c r="AV81" s="53">
        <v>0</v>
      </c>
      <c r="AW81" s="53"/>
      <c r="AX81" s="53">
        <v>0</v>
      </c>
      <c r="AY81" s="53"/>
      <c r="AZ81" s="53">
        <f t="shared" si="27"/>
        <v>1651211</v>
      </c>
      <c r="BA81" s="51"/>
      <c r="BB81" s="35" t="s">
        <v>100</v>
      </c>
      <c r="BD81" s="35" t="s">
        <v>27</v>
      </c>
      <c r="BE81" s="53"/>
      <c r="BF81" s="53">
        <f>9159497+610000</f>
        <v>9769497</v>
      </c>
      <c r="BG81" s="53"/>
      <c r="BH81" s="53">
        <v>0</v>
      </c>
      <c r="BI81" s="53"/>
      <c r="BJ81" s="53">
        <f>3283804+168034</f>
        <v>3451838</v>
      </c>
      <c r="BK81" s="53"/>
      <c r="BL81" s="53">
        <v>0</v>
      </c>
      <c r="BM81" s="53"/>
      <c r="BN81" s="53">
        <f>SUM(BF81:BL81)</f>
        <v>13221335</v>
      </c>
      <c r="BO81" s="54"/>
      <c r="BS81" s="55"/>
      <c r="BT81" s="55"/>
      <c r="BU81" s="84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</row>
    <row r="82" spans="1:95" s="35" customFormat="1" ht="12.75" customHeight="1" x14ac:dyDescent="0.2">
      <c r="A82" s="35" t="s">
        <v>101</v>
      </c>
      <c r="B82" s="51"/>
      <c r="C82" s="35" t="s">
        <v>30</v>
      </c>
      <c r="D82" s="44"/>
      <c r="E82" s="53">
        <f t="shared" si="28"/>
        <v>6095989</v>
      </c>
      <c r="F82" s="53"/>
      <c r="G82" s="53">
        <v>7755832</v>
      </c>
      <c r="H82" s="53"/>
      <c r="I82" s="53">
        <v>13851821</v>
      </c>
      <c r="J82" s="53"/>
      <c r="K82" s="53">
        <f t="shared" si="29"/>
        <v>326247</v>
      </c>
      <c r="L82" s="53"/>
      <c r="M82" s="53">
        <v>6503565</v>
      </c>
      <c r="N82" s="53"/>
      <c r="O82" s="53">
        <v>6829812</v>
      </c>
      <c r="P82" s="53"/>
      <c r="Q82" s="53">
        <v>3708692</v>
      </c>
      <c r="R82" s="53"/>
      <c r="S82" s="53">
        <v>0</v>
      </c>
      <c r="T82" s="53"/>
      <c r="U82" s="53">
        <v>3313317</v>
      </c>
      <c r="V82" s="53"/>
      <c r="W82" s="53">
        <f>SUM(Q82:U82)</f>
        <v>7022009</v>
      </c>
      <c r="X82" s="51"/>
      <c r="Y82" s="51"/>
      <c r="Z82" s="35" t="s">
        <v>101</v>
      </c>
      <c r="AA82" s="53"/>
      <c r="AB82" s="35" t="s">
        <v>30</v>
      </c>
      <c r="AC82" s="65"/>
      <c r="AD82" s="53">
        <v>3976354</v>
      </c>
      <c r="AE82" s="53"/>
      <c r="AF82" s="53">
        <f>3096807-712574</f>
        <v>2384233</v>
      </c>
      <c r="AG82" s="53"/>
      <c r="AH82" s="53">
        <v>712574</v>
      </c>
      <c r="AI82" s="53"/>
      <c r="AJ82" s="45">
        <f t="shared" si="30"/>
        <v>879547</v>
      </c>
      <c r="AK82" s="45"/>
      <c r="AL82" s="53">
        <v>-100863</v>
      </c>
      <c r="AM82" s="45"/>
      <c r="AN82" s="53">
        <v>0</v>
      </c>
      <c r="AO82" s="53"/>
      <c r="AP82" s="53">
        <v>0</v>
      </c>
      <c r="AQ82" s="53"/>
      <c r="AR82" s="53">
        <v>43300</v>
      </c>
      <c r="AS82" s="53"/>
      <c r="AT82" s="45">
        <f t="shared" si="31"/>
        <v>821984</v>
      </c>
      <c r="AU82" s="45"/>
      <c r="AV82" s="53">
        <v>0</v>
      </c>
      <c r="AW82" s="53"/>
      <c r="AX82" s="53">
        <v>0</v>
      </c>
      <c r="AY82" s="53"/>
      <c r="AZ82" s="53">
        <f t="shared" si="27"/>
        <v>5769742</v>
      </c>
      <c r="BA82" s="51"/>
      <c r="BB82" s="35" t="s">
        <v>101</v>
      </c>
      <c r="BD82" s="35" t="s">
        <v>30</v>
      </c>
      <c r="BE82" s="53"/>
      <c r="BF82" s="53">
        <f>832650+52650</f>
        <v>885300</v>
      </c>
      <c r="BG82" s="53"/>
      <c r="BH82" s="53">
        <v>0</v>
      </c>
      <c r="BI82" s="53"/>
      <c r="BJ82" s="53">
        <f>58400+16686</f>
        <v>75086</v>
      </c>
      <c r="BK82" s="53"/>
      <c r="BL82" s="53">
        <f>32270+3245+5577000+525+44103</f>
        <v>5657143</v>
      </c>
      <c r="BM82" s="53"/>
      <c r="BN82" s="53">
        <f>SUM(BF82:BL82)</f>
        <v>6617529</v>
      </c>
      <c r="BO82" s="54"/>
      <c r="BS82" s="55"/>
      <c r="BT82" s="55"/>
      <c r="BU82" s="84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</row>
    <row r="83" spans="1:95" s="35" customFormat="1" ht="12.75" customHeight="1" x14ac:dyDescent="0.2">
      <c r="D83" s="44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 t="s">
        <v>484</v>
      </c>
      <c r="X83" s="51"/>
      <c r="Y83" s="51"/>
      <c r="AA83" s="53"/>
      <c r="AD83" s="53"/>
      <c r="AE83" s="53"/>
      <c r="AF83" s="53"/>
      <c r="AG83" s="53"/>
      <c r="AH83" s="53"/>
      <c r="AI83" s="53"/>
      <c r="AJ83" s="45"/>
      <c r="AK83" s="45"/>
      <c r="AL83" s="53"/>
      <c r="AM83" s="45"/>
      <c r="AN83" s="53"/>
      <c r="AO83" s="53"/>
      <c r="AP83" s="53"/>
      <c r="AQ83" s="53"/>
      <c r="AR83" s="53"/>
      <c r="AS83" s="53"/>
      <c r="AT83" s="45"/>
      <c r="AU83" s="45"/>
      <c r="AV83" s="53"/>
      <c r="AW83" s="53"/>
      <c r="AX83" s="53"/>
      <c r="AY83" s="53"/>
      <c r="AZ83" s="53" t="s">
        <v>484</v>
      </c>
      <c r="BA83" s="51"/>
      <c r="BE83" s="53"/>
      <c r="BF83" s="53"/>
      <c r="BG83" s="53"/>
      <c r="BH83" s="53"/>
      <c r="BI83" s="53"/>
      <c r="BJ83" s="53"/>
      <c r="BK83" s="53"/>
      <c r="BL83" s="53"/>
      <c r="BM83" s="53"/>
      <c r="BN83" s="53" t="s">
        <v>484</v>
      </c>
      <c r="BO83" s="54"/>
      <c r="BP83" s="55"/>
      <c r="BS83" s="55"/>
      <c r="BT83" s="55"/>
      <c r="BU83" s="84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</row>
    <row r="84" spans="1:95" s="64" customFormat="1" ht="12.75" customHeight="1" x14ac:dyDescent="0.2">
      <c r="A84" s="64" t="s">
        <v>102</v>
      </c>
      <c r="B84" s="66"/>
      <c r="C84" s="64" t="s">
        <v>103</v>
      </c>
      <c r="D84" s="46"/>
      <c r="E84" s="79">
        <f t="shared" si="28"/>
        <v>6745382</v>
      </c>
      <c r="F84" s="79"/>
      <c r="G84" s="79">
        <v>17656836</v>
      </c>
      <c r="H84" s="79"/>
      <c r="I84" s="79">
        <v>24402218</v>
      </c>
      <c r="J84" s="79"/>
      <c r="K84" s="79">
        <f t="shared" si="29"/>
        <v>778842</v>
      </c>
      <c r="L84" s="79"/>
      <c r="M84" s="79">
        <v>1670474</v>
      </c>
      <c r="N84" s="79"/>
      <c r="O84" s="79">
        <v>2449316</v>
      </c>
      <c r="P84" s="79"/>
      <c r="Q84" s="79">
        <v>15923396</v>
      </c>
      <c r="R84" s="79"/>
      <c r="S84" s="79">
        <v>1018291</v>
      </c>
      <c r="T84" s="79"/>
      <c r="U84" s="79">
        <v>5011215</v>
      </c>
      <c r="V84" s="79"/>
      <c r="W84" s="79">
        <f t="shared" ref="W84:W98" si="32">SUM(Q84:U84)</f>
        <v>21952902</v>
      </c>
      <c r="X84" s="66"/>
      <c r="Y84" s="66"/>
      <c r="Z84" s="64" t="s">
        <v>102</v>
      </c>
      <c r="AA84" s="79"/>
      <c r="AB84" s="64" t="s">
        <v>103</v>
      </c>
      <c r="AC84" s="66"/>
      <c r="AD84" s="79">
        <v>3863822</v>
      </c>
      <c r="AE84" s="79"/>
      <c r="AF84" s="79">
        <f>4567990-718671</f>
        <v>3849319</v>
      </c>
      <c r="AG84" s="79"/>
      <c r="AH84" s="79">
        <v>718671</v>
      </c>
      <c r="AI84" s="79"/>
      <c r="AJ84" s="94">
        <f t="shared" si="30"/>
        <v>-704168</v>
      </c>
      <c r="AK84" s="94"/>
      <c r="AL84" s="79">
        <v>3397</v>
      </c>
      <c r="AM84" s="94"/>
      <c r="AN84" s="79">
        <v>0</v>
      </c>
      <c r="AO84" s="79"/>
      <c r="AP84" s="79">
        <v>0</v>
      </c>
      <c r="AQ84" s="79"/>
      <c r="AR84" s="79">
        <v>0</v>
      </c>
      <c r="AS84" s="79"/>
      <c r="AT84" s="94">
        <f t="shared" si="31"/>
        <v>-700771</v>
      </c>
      <c r="AU84" s="94"/>
      <c r="AV84" s="79">
        <v>0</v>
      </c>
      <c r="AW84" s="79"/>
      <c r="AX84" s="79">
        <v>0</v>
      </c>
      <c r="AY84" s="79"/>
      <c r="AZ84" s="79">
        <f t="shared" ref="AZ84:AZ91" si="33">E84-K84</f>
        <v>5966540</v>
      </c>
      <c r="BA84" s="66"/>
      <c r="BB84" s="64" t="s">
        <v>102</v>
      </c>
      <c r="BD84" s="64" t="s">
        <v>103</v>
      </c>
      <c r="BE84" s="79"/>
      <c r="BF84" s="79">
        <f>1453867+265000</f>
        <v>1718867</v>
      </c>
      <c r="BG84" s="79"/>
      <c r="BH84" s="79">
        <v>0</v>
      </c>
      <c r="BI84" s="79"/>
      <c r="BJ84" s="79">
        <v>0</v>
      </c>
      <c r="BK84" s="79"/>
      <c r="BL84" s="79">
        <f>216607+16705</f>
        <v>233312</v>
      </c>
      <c r="BM84" s="79"/>
      <c r="BN84" s="79">
        <f t="shared" ref="BN84:BN149" si="34">SUM(BF84:BL84)</f>
        <v>1952179</v>
      </c>
      <c r="BO84" s="91"/>
      <c r="BS84" s="90"/>
      <c r="BT84" s="90"/>
      <c r="BU84" s="95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</row>
    <row r="85" spans="1:95" s="126" customFormat="1" ht="12.75" hidden="1" customHeight="1" x14ac:dyDescent="0.2">
      <c r="A85" s="126" t="s">
        <v>104</v>
      </c>
      <c r="B85" s="124"/>
      <c r="C85" s="126" t="s">
        <v>13</v>
      </c>
      <c r="D85" s="121"/>
      <c r="E85" s="53">
        <f t="shared" si="28"/>
        <v>0</v>
      </c>
      <c r="F85" s="53"/>
      <c r="G85" s="53"/>
      <c r="H85" s="53"/>
      <c r="I85" s="53"/>
      <c r="J85" s="53"/>
      <c r="K85" s="53">
        <f t="shared" si="29"/>
        <v>0</v>
      </c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137">
        <f t="shared" si="32"/>
        <v>0</v>
      </c>
      <c r="X85" s="124"/>
      <c r="Y85" s="124"/>
      <c r="Z85" s="126" t="s">
        <v>104</v>
      </c>
      <c r="AA85" s="137"/>
      <c r="AB85" s="126" t="s">
        <v>13</v>
      </c>
      <c r="AC85" s="124"/>
      <c r="AD85" s="53"/>
      <c r="AE85" s="53"/>
      <c r="AF85" s="53"/>
      <c r="AG85" s="53"/>
      <c r="AH85" s="53"/>
      <c r="AI85" s="53"/>
      <c r="AJ85" s="45">
        <f t="shared" si="30"/>
        <v>0</v>
      </c>
      <c r="AK85" s="45"/>
      <c r="AL85" s="53"/>
      <c r="AM85" s="45"/>
      <c r="AN85" s="53"/>
      <c r="AO85" s="53"/>
      <c r="AP85" s="53"/>
      <c r="AQ85" s="53"/>
      <c r="AR85" s="53"/>
      <c r="AS85" s="53"/>
      <c r="AT85" s="45">
        <f t="shared" si="31"/>
        <v>0</v>
      </c>
      <c r="AU85" s="127"/>
      <c r="AV85" s="137">
        <v>0</v>
      </c>
      <c r="AW85" s="137"/>
      <c r="AX85" s="137">
        <v>0</v>
      </c>
      <c r="AY85" s="137"/>
      <c r="AZ85" s="137">
        <f t="shared" si="33"/>
        <v>0</v>
      </c>
      <c r="BA85" s="124"/>
      <c r="BB85" s="126" t="s">
        <v>104</v>
      </c>
      <c r="BD85" s="126" t="s">
        <v>13</v>
      </c>
      <c r="BE85" s="137"/>
      <c r="BF85" s="53"/>
      <c r="BG85" s="53"/>
      <c r="BH85" s="53"/>
      <c r="BI85" s="53"/>
      <c r="BJ85" s="53"/>
      <c r="BK85" s="53"/>
      <c r="BL85" s="53"/>
      <c r="BM85" s="137"/>
      <c r="BN85" s="53">
        <f t="shared" si="34"/>
        <v>0</v>
      </c>
      <c r="BO85" s="139"/>
      <c r="BP85" s="140"/>
      <c r="BS85" s="140"/>
      <c r="BT85" s="140"/>
      <c r="BU85" s="141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0"/>
      <c r="CP85" s="140"/>
      <c r="CQ85" s="140"/>
    </row>
    <row r="86" spans="1:95" s="126" customFormat="1" ht="12.75" hidden="1" customHeight="1" x14ac:dyDescent="0.2">
      <c r="A86" s="126" t="s">
        <v>105</v>
      </c>
      <c r="B86" s="124"/>
      <c r="C86" s="126" t="s">
        <v>27</v>
      </c>
      <c r="D86" s="121"/>
      <c r="E86" s="53">
        <f t="shared" si="28"/>
        <v>0</v>
      </c>
      <c r="F86" s="53"/>
      <c r="G86" s="53"/>
      <c r="H86" s="53"/>
      <c r="I86" s="53"/>
      <c r="J86" s="53"/>
      <c r="K86" s="53">
        <f t="shared" si="29"/>
        <v>0</v>
      </c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137">
        <f t="shared" si="32"/>
        <v>0</v>
      </c>
      <c r="X86" s="124"/>
      <c r="Y86" s="124"/>
      <c r="Z86" s="126" t="s">
        <v>105</v>
      </c>
      <c r="AA86" s="137"/>
      <c r="AB86" s="126" t="s">
        <v>27</v>
      </c>
      <c r="AC86" s="124"/>
      <c r="AD86" s="53"/>
      <c r="AE86" s="53"/>
      <c r="AF86" s="53"/>
      <c r="AG86" s="53"/>
      <c r="AH86" s="53"/>
      <c r="AI86" s="53"/>
      <c r="AJ86" s="45">
        <f t="shared" si="30"/>
        <v>0</v>
      </c>
      <c r="AK86" s="45"/>
      <c r="AL86" s="53"/>
      <c r="AM86" s="45"/>
      <c r="AN86" s="53"/>
      <c r="AO86" s="53"/>
      <c r="AP86" s="53"/>
      <c r="AQ86" s="53"/>
      <c r="AR86" s="53"/>
      <c r="AS86" s="53"/>
      <c r="AT86" s="45">
        <f t="shared" si="31"/>
        <v>0</v>
      </c>
      <c r="AU86" s="127"/>
      <c r="AV86" s="137">
        <v>0</v>
      </c>
      <c r="AW86" s="137"/>
      <c r="AX86" s="137">
        <v>0</v>
      </c>
      <c r="AY86" s="137"/>
      <c r="AZ86" s="137">
        <f t="shared" si="33"/>
        <v>0</v>
      </c>
      <c r="BA86" s="124"/>
      <c r="BB86" s="126" t="s">
        <v>105</v>
      </c>
      <c r="BD86" s="126" t="s">
        <v>27</v>
      </c>
      <c r="BE86" s="137"/>
      <c r="BF86" s="53"/>
      <c r="BG86" s="53"/>
      <c r="BH86" s="53"/>
      <c r="BI86" s="53"/>
      <c r="BJ86" s="53"/>
      <c r="BK86" s="53"/>
      <c r="BL86" s="53"/>
      <c r="BM86" s="137"/>
      <c r="BN86" s="53">
        <f t="shared" si="34"/>
        <v>0</v>
      </c>
      <c r="BO86" s="139"/>
      <c r="BS86" s="140"/>
      <c r="BT86" s="140"/>
      <c r="BU86" s="141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</row>
    <row r="87" spans="1:95" s="35" customFormat="1" ht="12.75" customHeight="1" x14ac:dyDescent="0.2">
      <c r="A87" s="35" t="s">
        <v>106</v>
      </c>
      <c r="B87" s="51"/>
      <c r="C87" s="35" t="s">
        <v>107</v>
      </c>
      <c r="D87" s="44"/>
      <c r="E87" s="53">
        <f t="shared" si="28"/>
        <v>6758610</v>
      </c>
      <c r="F87" s="53"/>
      <c r="G87" s="53">
        <v>53313515</v>
      </c>
      <c r="H87" s="53"/>
      <c r="I87" s="53">
        <v>60072125</v>
      </c>
      <c r="J87" s="53"/>
      <c r="K87" s="53">
        <f t="shared" si="29"/>
        <v>2383601</v>
      </c>
      <c r="L87" s="53"/>
      <c r="M87" s="53">
        <v>7600140</v>
      </c>
      <c r="N87" s="53"/>
      <c r="O87" s="53">
        <v>9983741</v>
      </c>
      <c r="P87" s="53"/>
      <c r="Q87" s="53">
        <v>44297949</v>
      </c>
      <c r="R87" s="53"/>
      <c r="S87" s="53">
        <v>717301</v>
      </c>
      <c r="T87" s="53"/>
      <c r="U87" s="53">
        <v>5073134</v>
      </c>
      <c r="V87" s="53"/>
      <c r="W87" s="53">
        <f t="shared" si="32"/>
        <v>50088384</v>
      </c>
      <c r="Z87" s="35" t="s">
        <v>106</v>
      </c>
      <c r="AA87" s="53"/>
      <c r="AB87" s="35" t="s">
        <v>107</v>
      </c>
      <c r="AC87" s="51"/>
      <c r="AD87" s="53">
        <v>7434461</v>
      </c>
      <c r="AE87" s="53"/>
      <c r="AF87" s="53">
        <f>6058190-1215680</f>
        <v>4842510</v>
      </c>
      <c r="AG87" s="53"/>
      <c r="AH87" s="53">
        <v>1215680</v>
      </c>
      <c r="AI87" s="53"/>
      <c r="AJ87" s="45">
        <f t="shared" si="30"/>
        <v>1376271</v>
      </c>
      <c r="AK87" s="45"/>
      <c r="AL87" s="53">
        <v>-197348</v>
      </c>
      <c r="AM87" s="45"/>
      <c r="AN87" s="53">
        <v>0</v>
      </c>
      <c r="AO87" s="53"/>
      <c r="AP87" s="53">
        <v>0</v>
      </c>
      <c r="AQ87" s="53"/>
      <c r="AR87" s="53">
        <v>73851</v>
      </c>
      <c r="AS87" s="53"/>
      <c r="AT87" s="45">
        <f t="shared" si="31"/>
        <v>1252774</v>
      </c>
      <c r="AU87" s="45"/>
      <c r="AV87" s="53">
        <v>0</v>
      </c>
      <c r="AW87" s="53"/>
      <c r="AX87" s="53">
        <v>0</v>
      </c>
      <c r="AY87" s="53"/>
      <c r="AZ87" s="53">
        <f t="shared" si="33"/>
        <v>4375009</v>
      </c>
      <c r="BA87" s="65"/>
      <c r="BB87" s="35" t="s">
        <v>106</v>
      </c>
      <c r="BD87" s="35" t="s">
        <v>107</v>
      </c>
      <c r="BE87" s="53"/>
      <c r="BF87" s="53">
        <f>3677149+610000</f>
        <v>4287149</v>
      </c>
      <c r="BG87" s="53"/>
      <c r="BH87" s="53">
        <v>0</v>
      </c>
      <c r="BI87" s="53"/>
      <c r="BJ87" s="53">
        <f>3773948+237168</f>
        <v>4011116</v>
      </c>
      <c r="BK87" s="53"/>
      <c r="BL87" s="53">
        <f>149043+249277</f>
        <v>398320</v>
      </c>
      <c r="BM87" s="53"/>
      <c r="BN87" s="53">
        <f t="shared" si="34"/>
        <v>8696585</v>
      </c>
      <c r="BO87" s="54"/>
      <c r="BS87" s="55"/>
      <c r="BT87" s="55"/>
      <c r="BU87" s="84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</row>
    <row r="88" spans="1:95" s="126" customFormat="1" ht="12.75" hidden="1" customHeight="1" x14ac:dyDescent="0.2">
      <c r="A88" s="126" t="s">
        <v>108</v>
      </c>
      <c r="B88" s="124"/>
      <c r="C88" s="126" t="s">
        <v>45</v>
      </c>
      <c r="D88" s="121"/>
      <c r="E88" s="53">
        <f t="shared" si="28"/>
        <v>0</v>
      </c>
      <c r="F88" s="53"/>
      <c r="G88" s="53"/>
      <c r="H88" s="53"/>
      <c r="I88" s="53"/>
      <c r="J88" s="53"/>
      <c r="K88" s="53">
        <f t="shared" si="29"/>
        <v>0</v>
      </c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137">
        <f t="shared" si="32"/>
        <v>0</v>
      </c>
      <c r="X88" s="124"/>
      <c r="Y88" s="124"/>
      <c r="Z88" s="126" t="s">
        <v>108</v>
      </c>
      <c r="AA88" s="137"/>
      <c r="AB88" s="126" t="s">
        <v>45</v>
      </c>
      <c r="AC88" s="124"/>
      <c r="AD88" s="53"/>
      <c r="AE88" s="53"/>
      <c r="AF88" s="53"/>
      <c r="AG88" s="53"/>
      <c r="AH88" s="53"/>
      <c r="AI88" s="53"/>
      <c r="AJ88" s="45">
        <f t="shared" si="30"/>
        <v>0</v>
      </c>
      <c r="AK88" s="45"/>
      <c r="AL88" s="53"/>
      <c r="AM88" s="45"/>
      <c r="AN88" s="53"/>
      <c r="AO88" s="53"/>
      <c r="AP88" s="53"/>
      <c r="AQ88" s="53"/>
      <c r="AR88" s="53"/>
      <c r="AS88" s="53"/>
      <c r="AT88" s="45">
        <f t="shared" si="31"/>
        <v>0</v>
      </c>
      <c r="AU88" s="127"/>
      <c r="AV88" s="137">
        <v>0</v>
      </c>
      <c r="AW88" s="137"/>
      <c r="AX88" s="137">
        <v>0</v>
      </c>
      <c r="AY88" s="137"/>
      <c r="AZ88" s="137">
        <f t="shared" si="33"/>
        <v>0</v>
      </c>
      <c r="BA88" s="124"/>
      <c r="BB88" s="126" t="s">
        <v>108</v>
      </c>
      <c r="BD88" s="126" t="s">
        <v>45</v>
      </c>
      <c r="BE88" s="137"/>
      <c r="BF88" s="53"/>
      <c r="BG88" s="53"/>
      <c r="BH88" s="53"/>
      <c r="BI88" s="53"/>
      <c r="BJ88" s="53"/>
      <c r="BK88" s="53"/>
      <c r="BL88" s="53"/>
      <c r="BM88" s="137"/>
      <c r="BN88" s="53">
        <f t="shared" si="34"/>
        <v>0</v>
      </c>
      <c r="BO88" s="139"/>
      <c r="BS88" s="140"/>
      <c r="BT88" s="140"/>
      <c r="BU88" s="141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</row>
    <row r="89" spans="1:95" s="35" customFormat="1" ht="12.75" customHeight="1" x14ac:dyDescent="0.2">
      <c r="A89" s="35" t="s">
        <v>109</v>
      </c>
      <c r="C89" s="35" t="s">
        <v>110</v>
      </c>
      <c r="D89" s="44"/>
      <c r="E89" s="53">
        <f t="shared" si="28"/>
        <v>652241</v>
      </c>
      <c r="F89" s="53"/>
      <c r="G89" s="53">
        <v>18284865</v>
      </c>
      <c r="H89" s="53"/>
      <c r="I89" s="53">
        <v>18937106</v>
      </c>
      <c r="J89" s="53"/>
      <c r="K89" s="53">
        <f t="shared" si="29"/>
        <v>351970</v>
      </c>
      <c r="L89" s="53"/>
      <c r="M89" s="53">
        <v>1642262</v>
      </c>
      <c r="N89" s="53"/>
      <c r="O89" s="53">
        <v>1994232</v>
      </c>
      <c r="P89" s="53"/>
      <c r="Q89" s="53">
        <v>16610755</v>
      </c>
      <c r="R89" s="53"/>
      <c r="S89" s="53">
        <v>0</v>
      </c>
      <c r="T89" s="53"/>
      <c r="U89" s="53">
        <v>332119</v>
      </c>
      <c r="V89" s="53"/>
      <c r="W89" s="53">
        <f t="shared" si="32"/>
        <v>16942874</v>
      </c>
      <c r="X89" s="65"/>
      <c r="Y89" s="65"/>
      <c r="Z89" s="35" t="s">
        <v>109</v>
      </c>
      <c r="AA89" s="53"/>
      <c r="AB89" s="35" t="s">
        <v>110</v>
      </c>
      <c r="AD89" s="53">
        <v>2799201</v>
      </c>
      <c r="AE89" s="53"/>
      <c r="AF89" s="53">
        <f>2845163-361940</f>
        <v>2483223</v>
      </c>
      <c r="AG89" s="53"/>
      <c r="AH89" s="53">
        <v>361940</v>
      </c>
      <c r="AI89" s="53"/>
      <c r="AJ89" s="45">
        <f t="shared" si="30"/>
        <v>-45962</v>
      </c>
      <c r="AK89" s="45"/>
      <c r="AL89" s="53">
        <v>-21558</v>
      </c>
      <c r="AM89" s="45"/>
      <c r="AN89" s="53">
        <v>0</v>
      </c>
      <c r="AO89" s="53"/>
      <c r="AP89" s="53">
        <v>0</v>
      </c>
      <c r="AQ89" s="53"/>
      <c r="AR89" s="53">
        <v>0</v>
      </c>
      <c r="AS89" s="53"/>
      <c r="AT89" s="45">
        <f t="shared" si="31"/>
        <v>-67520</v>
      </c>
      <c r="AU89" s="45"/>
      <c r="AV89" s="53">
        <v>0</v>
      </c>
      <c r="AW89" s="53"/>
      <c r="AX89" s="53">
        <v>0</v>
      </c>
      <c r="AY89" s="53"/>
      <c r="AZ89" s="53">
        <f t="shared" si="33"/>
        <v>300271</v>
      </c>
      <c r="BA89" s="65"/>
      <c r="BB89" s="35" t="s">
        <v>109</v>
      </c>
      <c r="BD89" s="35" t="s">
        <v>110</v>
      </c>
      <c r="BE89" s="53"/>
      <c r="BF89" s="53">
        <v>0</v>
      </c>
      <c r="BG89" s="53"/>
      <c r="BH89" s="53">
        <v>0</v>
      </c>
      <c r="BI89" s="53"/>
      <c r="BJ89" s="53">
        <f>1527333+77136+56536+13105</f>
        <v>1674110</v>
      </c>
      <c r="BK89" s="53"/>
      <c r="BL89" s="53">
        <f>120372+37793</f>
        <v>158165</v>
      </c>
      <c r="BM89" s="53"/>
      <c r="BN89" s="53">
        <f t="shared" si="34"/>
        <v>1832275</v>
      </c>
      <c r="BO89" s="54"/>
      <c r="BS89" s="55"/>
      <c r="BT89" s="55"/>
      <c r="BU89" s="84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</row>
    <row r="90" spans="1:95" s="35" customFormat="1" ht="12.75" customHeight="1" x14ac:dyDescent="0.2">
      <c r="A90" s="35" t="s">
        <v>43</v>
      </c>
      <c r="B90" s="51"/>
      <c r="C90" s="35" t="s">
        <v>111</v>
      </c>
      <c r="D90" s="44"/>
      <c r="E90" s="53">
        <f t="shared" si="28"/>
        <v>1783377</v>
      </c>
      <c r="F90" s="53"/>
      <c r="G90" s="53">
        <v>10575400</v>
      </c>
      <c r="H90" s="53"/>
      <c r="I90" s="53">
        <v>12358777</v>
      </c>
      <c r="J90" s="53"/>
      <c r="K90" s="53">
        <f t="shared" si="29"/>
        <v>938486</v>
      </c>
      <c r="L90" s="53"/>
      <c r="M90" s="53">
        <v>6617814</v>
      </c>
      <c r="N90" s="53"/>
      <c r="O90" s="53">
        <v>7556300</v>
      </c>
      <c r="P90" s="53"/>
      <c r="Q90" s="53">
        <v>2927302</v>
      </c>
      <c r="R90" s="53"/>
      <c r="S90" s="53">
        <f>615677+262630</f>
        <v>878307</v>
      </c>
      <c r="T90" s="53"/>
      <c r="U90" s="53">
        <v>996868</v>
      </c>
      <c r="V90" s="53"/>
      <c r="W90" s="53">
        <f t="shared" si="32"/>
        <v>4802477</v>
      </c>
      <c r="Z90" s="35" t="s">
        <v>43</v>
      </c>
      <c r="AA90" s="53"/>
      <c r="AB90" s="35" t="s">
        <v>111</v>
      </c>
      <c r="AC90" s="51"/>
      <c r="AD90" s="53">
        <v>2609827</v>
      </c>
      <c r="AE90" s="53"/>
      <c r="AF90" s="53">
        <f>1753264-183464</f>
        <v>1569800</v>
      </c>
      <c r="AG90" s="53"/>
      <c r="AH90" s="53">
        <v>183464</v>
      </c>
      <c r="AI90" s="53"/>
      <c r="AJ90" s="45">
        <f t="shared" si="30"/>
        <v>856563</v>
      </c>
      <c r="AK90" s="45"/>
      <c r="AL90" s="53">
        <v>-349640</v>
      </c>
      <c r="AM90" s="45"/>
      <c r="AN90" s="53">
        <v>0</v>
      </c>
      <c r="AO90" s="53"/>
      <c r="AP90" s="53">
        <v>60000</v>
      </c>
      <c r="AQ90" s="53"/>
      <c r="AR90" s="53">
        <v>0</v>
      </c>
      <c r="AS90" s="53"/>
      <c r="AT90" s="45">
        <f t="shared" si="31"/>
        <v>446923</v>
      </c>
      <c r="AU90" s="45"/>
      <c r="AV90" s="53">
        <v>0</v>
      </c>
      <c r="AW90" s="53"/>
      <c r="AX90" s="53">
        <v>0</v>
      </c>
      <c r="AY90" s="53"/>
      <c r="AZ90" s="53">
        <f t="shared" si="33"/>
        <v>844891</v>
      </c>
      <c r="BA90" s="65"/>
      <c r="BB90" s="35" t="s">
        <v>43</v>
      </c>
      <c r="BD90" s="35" t="s">
        <v>111</v>
      </c>
      <c r="BE90" s="53"/>
      <c r="BF90" s="53">
        <v>0</v>
      </c>
      <c r="BG90" s="53"/>
      <c r="BH90" s="53">
        <f>3925200+415000</f>
        <v>4340200</v>
      </c>
      <c r="BI90" s="53"/>
      <c r="BJ90" s="53">
        <f>2598675+184862</f>
        <v>2783537</v>
      </c>
      <c r="BK90" s="53"/>
      <c r="BL90" s="53">
        <f>17655+32885+61054</f>
        <v>111594</v>
      </c>
      <c r="BM90" s="53"/>
      <c r="BN90" s="53">
        <f t="shared" si="34"/>
        <v>7235331</v>
      </c>
      <c r="BO90" s="54"/>
      <c r="BS90" s="55"/>
      <c r="BT90" s="55"/>
      <c r="BU90" s="84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</row>
    <row r="91" spans="1:95" s="35" customFormat="1" ht="12.75" customHeight="1" x14ac:dyDescent="0.2">
      <c r="A91" s="35" t="s">
        <v>112</v>
      </c>
      <c r="B91" s="65"/>
      <c r="C91" s="35" t="s">
        <v>76</v>
      </c>
      <c r="D91" s="44"/>
      <c r="E91" s="53">
        <f t="shared" ref="E91:E149" si="35">I91-G91</f>
        <v>5133430</v>
      </c>
      <c r="F91" s="53"/>
      <c r="G91" s="53">
        <v>59060434</v>
      </c>
      <c r="H91" s="53"/>
      <c r="I91" s="53">
        <v>64193864</v>
      </c>
      <c r="J91" s="53"/>
      <c r="K91" s="53">
        <f t="shared" ref="K91:K149" si="36">O91-M91</f>
        <v>1094336</v>
      </c>
      <c r="L91" s="53"/>
      <c r="M91" s="53">
        <v>21991853</v>
      </c>
      <c r="N91" s="53"/>
      <c r="O91" s="53">
        <v>23086189</v>
      </c>
      <c r="P91" s="53"/>
      <c r="Q91" s="53">
        <v>37112745</v>
      </c>
      <c r="R91" s="53"/>
      <c r="S91" s="53">
        <v>0</v>
      </c>
      <c r="T91" s="53"/>
      <c r="U91" s="53">
        <v>3994930</v>
      </c>
      <c r="V91" s="53"/>
      <c r="W91" s="53">
        <f t="shared" si="32"/>
        <v>41107675</v>
      </c>
      <c r="X91" s="65"/>
      <c r="Y91" s="65"/>
      <c r="Z91" s="35" t="s">
        <v>112</v>
      </c>
      <c r="AA91" s="53"/>
      <c r="AB91" s="35" t="s">
        <v>76</v>
      </c>
      <c r="AC91" s="65"/>
      <c r="AD91" s="53">
        <v>4876658</v>
      </c>
      <c r="AE91" s="53"/>
      <c r="AF91" s="53">
        <f>5238694-1406945</f>
        <v>3831749</v>
      </c>
      <c r="AG91" s="53"/>
      <c r="AH91" s="53">
        <v>1406945</v>
      </c>
      <c r="AI91" s="53"/>
      <c r="AJ91" s="45">
        <f t="shared" ref="AJ91:AJ144" si="37">+AD91-AF91-AH91</f>
        <v>-362036</v>
      </c>
      <c r="AK91" s="45"/>
      <c r="AL91" s="53">
        <v>-378960</v>
      </c>
      <c r="AM91" s="45"/>
      <c r="AN91" s="53">
        <v>304366</v>
      </c>
      <c r="AO91" s="53"/>
      <c r="AP91" s="53">
        <v>0</v>
      </c>
      <c r="AQ91" s="53"/>
      <c r="AR91" s="53">
        <v>2781945</v>
      </c>
      <c r="AS91" s="53"/>
      <c r="AT91" s="45">
        <f t="shared" ref="AT91:AT148" si="38">+AJ91+AL91+AN91-AP91+AR91</f>
        <v>2345315</v>
      </c>
      <c r="AU91" s="45"/>
      <c r="AV91" s="53">
        <v>0</v>
      </c>
      <c r="AW91" s="53"/>
      <c r="AX91" s="53">
        <v>0</v>
      </c>
      <c r="AY91" s="53"/>
      <c r="AZ91" s="53">
        <f t="shared" si="33"/>
        <v>4039094</v>
      </c>
      <c r="BA91" s="65"/>
      <c r="BB91" s="35" t="s">
        <v>112</v>
      </c>
      <c r="BD91" s="35" t="s">
        <v>76</v>
      </c>
      <c r="BE91" s="53"/>
      <c r="BF91" s="53">
        <f>7035000+455000</f>
        <v>7490000</v>
      </c>
      <c r="BG91" s="53"/>
      <c r="BH91" s="53">
        <v>0</v>
      </c>
      <c r="BI91" s="53"/>
      <c r="BJ91" s="53">
        <v>14762261</v>
      </c>
      <c r="BK91" s="53"/>
      <c r="BL91" s="53">
        <f>114592+45013</f>
        <v>159605</v>
      </c>
      <c r="BM91" s="53"/>
      <c r="BN91" s="53">
        <f t="shared" si="34"/>
        <v>22411866</v>
      </c>
      <c r="BO91" s="54"/>
      <c r="BS91" s="55"/>
      <c r="BT91" s="55"/>
      <c r="BU91" s="84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</row>
    <row r="92" spans="1:95" s="35" customFormat="1" ht="12.75" customHeight="1" x14ac:dyDescent="0.2">
      <c r="A92" s="35" t="s">
        <v>113</v>
      </c>
      <c r="B92" s="51"/>
      <c r="C92" s="35" t="s">
        <v>43</v>
      </c>
      <c r="D92" s="44"/>
      <c r="E92" s="53">
        <f t="shared" si="35"/>
        <v>6882094</v>
      </c>
      <c r="F92" s="53"/>
      <c r="G92" s="53">
        <v>25202654</v>
      </c>
      <c r="H92" s="53"/>
      <c r="I92" s="53">
        <v>32084748</v>
      </c>
      <c r="J92" s="53"/>
      <c r="K92" s="53">
        <f t="shared" si="36"/>
        <v>2112263</v>
      </c>
      <c r="L92" s="53"/>
      <c r="M92" s="53">
        <v>290479</v>
      </c>
      <c r="N92" s="53"/>
      <c r="O92" s="53">
        <v>2402742</v>
      </c>
      <c r="P92" s="53"/>
      <c r="Q92" s="53">
        <v>24899373</v>
      </c>
      <c r="R92" s="53"/>
      <c r="S92" s="53">
        <v>0</v>
      </c>
      <c r="T92" s="53"/>
      <c r="U92" s="53">
        <v>4782633</v>
      </c>
      <c r="V92" s="53"/>
      <c r="W92" s="53">
        <f t="shared" si="32"/>
        <v>29682006</v>
      </c>
      <c r="X92" s="66"/>
      <c r="Y92" s="66"/>
      <c r="Z92" s="35" t="s">
        <v>113</v>
      </c>
      <c r="AA92" s="53"/>
      <c r="AB92" s="35" t="s">
        <v>43</v>
      </c>
      <c r="AC92" s="51"/>
      <c r="AD92" s="53">
        <v>5880452</v>
      </c>
      <c r="AE92" s="53"/>
      <c r="AF92" s="53">
        <f>5916989-754660</f>
        <v>5162329</v>
      </c>
      <c r="AG92" s="53"/>
      <c r="AH92" s="53">
        <v>754660</v>
      </c>
      <c r="AI92" s="53"/>
      <c r="AJ92" s="45">
        <f t="shared" si="37"/>
        <v>-36537</v>
      </c>
      <c r="AK92" s="45"/>
      <c r="AL92" s="53">
        <v>-14458</v>
      </c>
      <c r="AM92" s="45"/>
      <c r="AN92" s="53">
        <v>0</v>
      </c>
      <c r="AO92" s="53"/>
      <c r="AP92" s="53">
        <v>0</v>
      </c>
      <c r="AQ92" s="53"/>
      <c r="AR92" s="53">
        <v>0</v>
      </c>
      <c r="AS92" s="53"/>
      <c r="AT92" s="45">
        <f t="shared" si="38"/>
        <v>-50995</v>
      </c>
      <c r="AU92" s="45"/>
      <c r="AV92" s="53">
        <v>0</v>
      </c>
      <c r="AW92" s="53"/>
      <c r="AX92" s="53">
        <v>0</v>
      </c>
      <c r="AY92" s="53"/>
      <c r="AZ92" s="53">
        <f t="shared" ref="AZ92:AZ157" si="39">E92-K92</f>
        <v>4769831</v>
      </c>
      <c r="BA92" s="66"/>
      <c r="BB92" s="35" t="s">
        <v>113</v>
      </c>
      <c r="BD92" s="35" t="s">
        <v>43</v>
      </c>
      <c r="BE92" s="53"/>
      <c r="BF92" s="53">
        <f>290479+12802</f>
        <v>303281</v>
      </c>
      <c r="BG92" s="53"/>
      <c r="BH92" s="53">
        <v>0</v>
      </c>
      <c r="BI92" s="53"/>
      <c r="BJ92" s="53">
        <v>0</v>
      </c>
      <c r="BK92" s="53"/>
      <c r="BL92" s="53">
        <v>0</v>
      </c>
      <c r="BM92" s="53"/>
      <c r="BN92" s="53">
        <f t="shared" si="34"/>
        <v>303281</v>
      </c>
      <c r="BO92" s="54"/>
      <c r="BS92" s="55"/>
      <c r="BT92" s="55"/>
      <c r="BU92" s="84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</row>
    <row r="93" spans="1:95" s="35" customFormat="1" ht="12.75" customHeight="1" x14ac:dyDescent="0.2">
      <c r="A93" s="35" t="s">
        <v>489</v>
      </c>
      <c r="B93" s="51"/>
      <c r="C93" s="35" t="s">
        <v>57</v>
      </c>
      <c r="D93" s="44"/>
      <c r="E93" s="53">
        <f t="shared" si="35"/>
        <v>3339034</v>
      </c>
      <c r="F93" s="53"/>
      <c r="G93" s="53">
        <v>8126990</v>
      </c>
      <c r="H93" s="53"/>
      <c r="I93" s="53">
        <v>11466024</v>
      </c>
      <c r="J93" s="53"/>
      <c r="K93" s="53">
        <f t="shared" si="36"/>
        <v>652230</v>
      </c>
      <c r="L93" s="53"/>
      <c r="M93" s="53">
        <v>6613191</v>
      </c>
      <c r="N93" s="53"/>
      <c r="O93" s="53">
        <v>7265421</v>
      </c>
      <c r="P93" s="53"/>
      <c r="Q93" s="53">
        <v>1371254</v>
      </c>
      <c r="R93" s="53"/>
      <c r="S93" s="53">
        <v>0</v>
      </c>
      <c r="T93" s="53"/>
      <c r="U93" s="53">
        <v>2829349</v>
      </c>
      <c r="V93" s="53"/>
      <c r="W93" s="53">
        <f>SUM(Q93:U93)</f>
        <v>4200603</v>
      </c>
      <c r="X93" s="51"/>
      <c r="Y93" s="66"/>
      <c r="Z93" s="35" t="s">
        <v>489</v>
      </c>
      <c r="AA93" s="53"/>
      <c r="AB93" s="35" t="s">
        <v>57</v>
      </c>
      <c r="AC93" s="51"/>
      <c r="AD93" s="53">
        <v>1993862</v>
      </c>
      <c r="AE93" s="53"/>
      <c r="AF93" s="53">
        <f>1521235-362850</f>
        <v>1158385</v>
      </c>
      <c r="AG93" s="53"/>
      <c r="AH93" s="53">
        <v>362850</v>
      </c>
      <c r="AI93" s="53"/>
      <c r="AJ93" s="45">
        <f t="shared" si="37"/>
        <v>472627</v>
      </c>
      <c r="AK93" s="45"/>
      <c r="AL93" s="53">
        <v>-213697</v>
      </c>
      <c r="AM93" s="45"/>
      <c r="AN93" s="53">
        <v>27286</v>
      </c>
      <c r="AO93" s="53"/>
      <c r="AP93" s="53">
        <v>27293</v>
      </c>
      <c r="AQ93" s="53"/>
      <c r="AR93" s="53">
        <v>0</v>
      </c>
      <c r="AS93" s="53"/>
      <c r="AT93" s="45">
        <f t="shared" si="38"/>
        <v>258923</v>
      </c>
      <c r="AU93" s="45"/>
      <c r="AV93" s="53">
        <v>0</v>
      </c>
      <c r="AW93" s="53"/>
      <c r="AX93" s="53">
        <v>0</v>
      </c>
      <c r="AY93" s="53"/>
      <c r="AZ93" s="53">
        <f>E93-K93</f>
        <v>2686804</v>
      </c>
      <c r="BA93" s="51"/>
      <c r="BB93" s="35" t="s">
        <v>489</v>
      </c>
      <c r="BD93" s="35" t="s">
        <v>57</v>
      </c>
      <c r="BE93" s="53"/>
      <c r="BF93" s="53">
        <v>0</v>
      </c>
      <c r="BG93" s="53"/>
      <c r="BH93" s="53">
        <v>0</v>
      </c>
      <c r="BI93" s="53"/>
      <c r="BJ93" s="53">
        <f>117775+6274743+10555+213014</f>
        <v>6616087</v>
      </c>
      <c r="BK93" s="53"/>
      <c r="BL93" s="53">
        <f>146628+16038+74045</f>
        <v>236711</v>
      </c>
      <c r="BM93" s="53"/>
      <c r="BN93" s="53">
        <f>SUM(BF93:BL93)</f>
        <v>6852798</v>
      </c>
      <c r="BO93" s="54"/>
      <c r="BS93" s="55"/>
      <c r="BT93" s="55"/>
      <c r="BU93" s="84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</row>
    <row r="94" spans="1:95" s="126" customFormat="1" ht="12.75" hidden="1" customHeight="1" x14ac:dyDescent="0.2">
      <c r="A94" s="126" t="s">
        <v>114</v>
      </c>
      <c r="B94" s="124"/>
      <c r="C94" s="126" t="s">
        <v>27</v>
      </c>
      <c r="D94" s="121"/>
      <c r="E94" s="53">
        <f t="shared" si="35"/>
        <v>0</v>
      </c>
      <c r="F94" s="53"/>
      <c r="G94" s="53"/>
      <c r="H94" s="53"/>
      <c r="I94" s="53"/>
      <c r="J94" s="53"/>
      <c r="K94" s="53">
        <f t="shared" si="36"/>
        <v>0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137">
        <f t="shared" si="32"/>
        <v>0</v>
      </c>
      <c r="X94" s="124"/>
      <c r="Y94" s="124"/>
      <c r="Z94" s="126" t="s">
        <v>114</v>
      </c>
      <c r="AA94" s="137"/>
      <c r="AB94" s="126" t="s">
        <v>27</v>
      </c>
      <c r="AC94" s="124"/>
      <c r="AD94" s="53"/>
      <c r="AE94" s="53"/>
      <c r="AF94" s="53"/>
      <c r="AG94" s="53"/>
      <c r="AH94" s="53"/>
      <c r="AI94" s="53"/>
      <c r="AJ94" s="45">
        <f t="shared" si="37"/>
        <v>0</v>
      </c>
      <c r="AK94" s="45"/>
      <c r="AL94" s="53"/>
      <c r="AM94" s="45"/>
      <c r="AN94" s="53"/>
      <c r="AO94" s="53"/>
      <c r="AP94" s="53"/>
      <c r="AQ94" s="53"/>
      <c r="AR94" s="53"/>
      <c r="AS94" s="53"/>
      <c r="AT94" s="45">
        <f t="shared" si="38"/>
        <v>0</v>
      </c>
      <c r="AU94" s="127"/>
      <c r="AV94" s="137">
        <v>0</v>
      </c>
      <c r="AW94" s="137"/>
      <c r="AX94" s="137">
        <v>0</v>
      </c>
      <c r="AY94" s="137"/>
      <c r="AZ94" s="137">
        <f t="shared" si="39"/>
        <v>0</v>
      </c>
      <c r="BA94" s="124"/>
      <c r="BB94" s="126" t="s">
        <v>114</v>
      </c>
      <c r="BD94" s="126" t="s">
        <v>27</v>
      </c>
      <c r="BE94" s="137"/>
      <c r="BF94" s="53"/>
      <c r="BG94" s="53"/>
      <c r="BH94" s="53"/>
      <c r="BI94" s="53"/>
      <c r="BJ94" s="53"/>
      <c r="BK94" s="53"/>
      <c r="BL94" s="53"/>
      <c r="BM94" s="137"/>
      <c r="BN94" s="137">
        <f t="shared" si="34"/>
        <v>0</v>
      </c>
      <c r="BO94" s="139"/>
      <c r="BS94" s="140"/>
      <c r="BT94" s="140"/>
      <c r="BU94" s="141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  <c r="CL94" s="140"/>
      <c r="CM94" s="140"/>
      <c r="CN94" s="140"/>
      <c r="CO94" s="140"/>
      <c r="CP94" s="140"/>
      <c r="CQ94" s="140"/>
    </row>
    <row r="95" spans="1:95" s="35" customFormat="1" ht="12.75" customHeight="1" x14ac:dyDescent="0.2">
      <c r="A95" s="35" t="s">
        <v>115</v>
      </c>
      <c r="C95" s="35" t="s">
        <v>19</v>
      </c>
      <c r="D95" s="44"/>
      <c r="E95" s="53">
        <f t="shared" si="35"/>
        <v>743502</v>
      </c>
      <c r="F95" s="53"/>
      <c r="G95" s="53">
        <v>6575465</v>
      </c>
      <c r="H95" s="53"/>
      <c r="I95" s="53">
        <v>7318967</v>
      </c>
      <c r="J95" s="53"/>
      <c r="K95" s="53">
        <f t="shared" si="36"/>
        <v>250287</v>
      </c>
      <c r="L95" s="53"/>
      <c r="M95" s="53">
        <v>5408741</v>
      </c>
      <c r="N95" s="53"/>
      <c r="O95" s="53">
        <v>5659028</v>
      </c>
      <c r="P95" s="53"/>
      <c r="Q95" s="53">
        <v>959143</v>
      </c>
      <c r="R95" s="53"/>
      <c r="S95" s="53">
        <v>0</v>
      </c>
      <c r="T95" s="53"/>
      <c r="U95" s="53">
        <v>700796</v>
      </c>
      <c r="V95" s="53"/>
      <c r="W95" s="53">
        <f t="shared" si="32"/>
        <v>1659939</v>
      </c>
      <c r="X95" s="51"/>
      <c r="Y95" s="51"/>
      <c r="Z95" s="35" t="s">
        <v>115</v>
      </c>
      <c r="AA95" s="53"/>
      <c r="AB95" s="35" t="s">
        <v>19</v>
      </c>
      <c r="AD95" s="53">
        <v>1389821</v>
      </c>
      <c r="AE95" s="53"/>
      <c r="AF95" s="53">
        <f>954378-150293</f>
        <v>804085</v>
      </c>
      <c r="AG95" s="53"/>
      <c r="AH95" s="53">
        <v>150293</v>
      </c>
      <c r="AI95" s="53"/>
      <c r="AJ95" s="45">
        <f t="shared" si="37"/>
        <v>435443</v>
      </c>
      <c r="AK95" s="45"/>
      <c r="AL95" s="53">
        <v>-259007</v>
      </c>
      <c r="AM95" s="45"/>
      <c r="AN95" s="53">
        <v>40000</v>
      </c>
      <c r="AO95" s="53"/>
      <c r="AP95" s="53">
        <v>0</v>
      </c>
      <c r="AQ95" s="53"/>
      <c r="AR95" s="53">
        <v>142717</v>
      </c>
      <c r="AS95" s="53"/>
      <c r="AT95" s="45">
        <f t="shared" si="38"/>
        <v>359153</v>
      </c>
      <c r="AU95" s="45"/>
      <c r="AV95" s="53">
        <v>0</v>
      </c>
      <c r="AW95" s="53"/>
      <c r="AX95" s="53">
        <v>0</v>
      </c>
      <c r="AY95" s="53"/>
      <c r="AZ95" s="53">
        <f t="shared" si="39"/>
        <v>493215</v>
      </c>
      <c r="BA95" s="51"/>
      <c r="BB95" s="35" t="s">
        <v>115</v>
      </c>
      <c r="BD95" s="35" t="s">
        <v>19</v>
      </c>
      <c r="BE95" s="53"/>
      <c r="BF95" s="53">
        <v>0</v>
      </c>
      <c r="BG95" s="53"/>
      <c r="BH95" s="53">
        <v>0</v>
      </c>
      <c r="BI95" s="53"/>
      <c r="BJ95" s="53">
        <f>2300+205281+43700+5365041</f>
        <v>5616322</v>
      </c>
      <c r="BK95" s="53"/>
      <c r="BL95" s="53">
        <v>0</v>
      </c>
      <c r="BM95" s="53"/>
      <c r="BN95" s="53">
        <f t="shared" si="34"/>
        <v>5616322</v>
      </c>
      <c r="BO95" s="54"/>
      <c r="BP95" s="55"/>
      <c r="BS95" s="55"/>
      <c r="BT95" s="55"/>
      <c r="BU95" s="84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</row>
    <row r="96" spans="1:95" s="35" customFormat="1" ht="12.75" customHeight="1" x14ac:dyDescent="0.2">
      <c r="A96" s="35" t="s">
        <v>116</v>
      </c>
      <c r="B96" s="65"/>
      <c r="C96" s="35" t="s">
        <v>80</v>
      </c>
      <c r="D96" s="44"/>
      <c r="E96" s="53">
        <f t="shared" si="35"/>
        <v>1014555</v>
      </c>
      <c r="F96" s="53"/>
      <c r="G96" s="53">
        <v>3610803</v>
      </c>
      <c r="H96" s="53"/>
      <c r="I96" s="53">
        <v>4625358</v>
      </c>
      <c r="J96" s="53"/>
      <c r="K96" s="53">
        <f t="shared" si="36"/>
        <v>305409</v>
      </c>
      <c r="L96" s="53"/>
      <c r="M96" s="53">
        <v>930554</v>
      </c>
      <c r="N96" s="53"/>
      <c r="O96" s="53">
        <v>1235963</v>
      </c>
      <c r="P96" s="53"/>
      <c r="Q96" s="53">
        <v>2493963</v>
      </c>
      <c r="R96" s="53"/>
      <c r="S96" s="53">
        <v>0</v>
      </c>
      <c r="T96" s="53"/>
      <c r="U96" s="53">
        <v>895432</v>
      </c>
      <c r="V96" s="53"/>
      <c r="W96" s="53">
        <f t="shared" si="32"/>
        <v>3389395</v>
      </c>
      <c r="X96" s="65"/>
      <c r="Y96" s="65"/>
      <c r="Z96" s="35" t="s">
        <v>116</v>
      </c>
      <c r="AA96" s="53"/>
      <c r="AB96" s="35" t="s">
        <v>80</v>
      </c>
      <c r="AC96" s="65"/>
      <c r="AD96" s="53">
        <v>3340942</v>
      </c>
      <c r="AE96" s="53"/>
      <c r="AF96" s="53">
        <f>2598909-36147</f>
        <v>2562762</v>
      </c>
      <c r="AG96" s="53"/>
      <c r="AH96" s="53">
        <v>36147</v>
      </c>
      <c r="AI96" s="53"/>
      <c r="AJ96" s="45">
        <f t="shared" si="37"/>
        <v>742033</v>
      </c>
      <c r="AK96" s="45"/>
      <c r="AL96" s="53">
        <v>-380150</v>
      </c>
      <c r="AM96" s="45"/>
      <c r="AN96" s="53">
        <v>0</v>
      </c>
      <c r="AO96" s="53"/>
      <c r="AP96" s="53">
        <v>0</v>
      </c>
      <c r="AQ96" s="53"/>
      <c r="AR96" s="53">
        <v>0</v>
      </c>
      <c r="AS96" s="53"/>
      <c r="AT96" s="45">
        <f t="shared" si="38"/>
        <v>361883</v>
      </c>
      <c r="AU96" s="45"/>
      <c r="AV96" s="53">
        <v>0</v>
      </c>
      <c r="AW96" s="53"/>
      <c r="AX96" s="53">
        <v>0</v>
      </c>
      <c r="AY96" s="53"/>
      <c r="AZ96" s="53">
        <f t="shared" si="39"/>
        <v>709146</v>
      </c>
      <c r="BA96" s="65"/>
      <c r="BB96" s="35" t="s">
        <v>116</v>
      </c>
      <c r="BD96" s="35" t="s">
        <v>80</v>
      </c>
      <c r="BE96" s="53"/>
      <c r="BF96" s="53">
        <v>0</v>
      </c>
      <c r="BG96" s="53"/>
      <c r="BH96" s="53">
        <v>0</v>
      </c>
      <c r="BI96" s="53"/>
      <c r="BJ96" s="53">
        <f>227614+889226</f>
        <v>1116840</v>
      </c>
      <c r="BK96" s="53"/>
      <c r="BL96" s="53">
        <f>3444+41328</f>
        <v>44772</v>
      </c>
      <c r="BM96" s="53"/>
      <c r="BN96" s="53">
        <f t="shared" si="34"/>
        <v>1161612</v>
      </c>
      <c r="BO96" s="54"/>
      <c r="BS96" s="55"/>
      <c r="BT96" s="55"/>
      <c r="BU96" s="84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</row>
    <row r="97" spans="1:95" s="126" customFormat="1" ht="12.75" hidden="1" customHeight="1" x14ac:dyDescent="0.2">
      <c r="A97" s="121" t="s">
        <v>117</v>
      </c>
      <c r="B97" s="124"/>
      <c r="C97" s="126" t="s">
        <v>43</v>
      </c>
      <c r="D97" s="121"/>
      <c r="E97" s="53">
        <f t="shared" si="35"/>
        <v>0</v>
      </c>
      <c r="F97" s="53"/>
      <c r="G97" s="53"/>
      <c r="H97" s="53"/>
      <c r="I97" s="53"/>
      <c r="J97" s="53"/>
      <c r="K97" s="53">
        <f t="shared" si="36"/>
        <v>0</v>
      </c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137">
        <f t="shared" si="32"/>
        <v>0</v>
      </c>
      <c r="X97" s="124"/>
      <c r="Y97" s="124"/>
      <c r="Z97" s="121" t="s">
        <v>117</v>
      </c>
      <c r="AA97" s="137"/>
      <c r="AB97" s="126" t="s">
        <v>43</v>
      </c>
      <c r="AC97" s="124"/>
      <c r="AD97" s="53"/>
      <c r="AE97" s="53"/>
      <c r="AF97" s="53"/>
      <c r="AG97" s="53"/>
      <c r="AH97" s="53"/>
      <c r="AI97" s="53"/>
      <c r="AJ97" s="45">
        <f t="shared" si="37"/>
        <v>0</v>
      </c>
      <c r="AK97" s="45"/>
      <c r="AL97" s="53"/>
      <c r="AM97" s="45"/>
      <c r="AN97" s="53"/>
      <c r="AO97" s="53"/>
      <c r="AP97" s="53"/>
      <c r="AQ97" s="53"/>
      <c r="AR97" s="53"/>
      <c r="AS97" s="53"/>
      <c r="AT97" s="45">
        <f t="shared" si="38"/>
        <v>0</v>
      </c>
      <c r="AU97" s="127"/>
      <c r="AV97" s="137">
        <v>0</v>
      </c>
      <c r="AW97" s="137"/>
      <c r="AX97" s="137">
        <v>0</v>
      </c>
      <c r="AY97" s="137"/>
      <c r="AZ97" s="137">
        <f t="shared" si="39"/>
        <v>0</v>
      </c>
      <c r="BA97" s="124"/>
      <c r="BB97" s="121" t="s">
        <v>117</v>
      </c>
      <c r="BD97" s="126" t="s">
        <v>43</v>
      </c>
      <c r="BE97" s="137"/>
      <c r="BF97" s="53"/>
      <c r="BG97" s="53"/>
      <c r="BH97" s="53"/>
      <c r="BI97" s="53"/>
      <c r="BJ97" s="53"/>
      <c r="BK97" s="53"/>
      <c r="BL97" s="53"/>
      <c r="BM97" s="137"/>
      <c r="BN97" s="137">
        <f t="shared" si="34"/>
        <v>0</v>
      </c>
      <c r="BO97" s="139"/>
      <c r="BS97" s="140"/>
      <c r="BT97" s="140"/>
      <c r="BU97" s="141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</row>
    <row r="98" spans="1:95" s="126" customFormat="1" ht="12.75" hidden="1" customHeight="1" x14ac:dyDescent="0.2">
      <c r="A98" s="126" t="s">
        <v>118</v>
      </c>
      <c r="B98" s="124"/>
      <c r="C98" s="126" t="s">
        <v>13</v>
      </c>
      <c r="D98" s="121"/>
      <c r="E98" s="53">
        <f t="shared" si="35"/>
        <v>0</v>
      </c>
      <c r="F98" s="53"/>
      <c r="G98" s="53"/>
      <c r="H98" s="53"/>
      <c r="I98" s="53"/>
      <c r="J98" s="53"/>
      <c r="K98" s="53">
        <f t="shared" si="36"/>
        <v>0</v>
      </c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137">
        <f t="shared" si="32"/>
        <v>0</v>
      </c>
      <c r="X98" s="124"/>
      <c r="Y98" s="124"/>
      <c r="Z98" s="126" t="s">
        <v>118</v>
      </c>
      <c r="AA98" s="137"/>
      <c r="AB98" s="126" t="s">
        <v>13</v>
      </c>
      <c r="AC98" s="124"/>
      <c r="AD98" s="53"/>
      <c r="AE98" s="53"/>
      <c r="AF98" s="53"/>
      <c r="AG98" s="53"/>
      <c r="AH98" s="53"/>
      <c r="AI98" s="53"/>
      <c r="AJ98" s="45">
        <f t="shared" si="37"/>
        <v>0</v>
      </c>
      <c r="AK98" s="45"/>
      <c r="AL98" s="53"/>
      <c r="AM98" s="45"/>
      <c r="AN98" s="53"/>
      <c r="AO98" s="53"/>
      <c r="AP98" s="53"/>
      <c r="AQ98" s="53"/>
      <c r="AR98" s="53"/>
      <c r="AS98" s="53"/>
      <c r="AT98" s="45">
        <f t="shared" si="38"/>
        <v>0</v>
      </c>
      <c r="AU98" s="127"/>
      <c r="AV98" s="137">
        <v>0</v>
      </c>
      <c r="AW98" s="137"/>
      <c r="AX98" s="137">
        <v>0</v>
      </c>
      <c r="AY98" s="137"/>
      <c r="AZ98" s="137">
        <f t="shared" si="39"/>
        <v>0</v>
      </c>
      <c r="BA98" s="124"/>
      <c r="BB98" s="126" t="s">
        <v>118</v>
      </c>
      <c r="BD98" s="126" t="s">
        <v>13</v>
      </c>
      <c r="BE98" s="137"/>
      <c r="BF98" s="53"/>
      <c r="BG98" s="53"/>
      <c r="BH98" s="53"/>
      <c r="BI98" s="53"/>
      <c r="BJ98" s="53"/>
      <c r="BK98" s="53"/>
      <c r="BL98" s="53"/>
      <c r="BM98" s="137"/>
      <c r="BN98" s="137">
        <f t="shared" si="34"/>
        <v>0</v>
      </c>
      <c r="BO98" s="139"/>
      <c r="BS98" s="140"/>
      <c r="BT98" s="140"/>
      <c r="BU98" s="141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</row>
    <row r="99" spans="1:95" s="35" customFormat="1" ht="12.75" customHeight="1" x14ac:dyDescent="0.2">
      <c r="A99" s="35" t="s">
        <v>120</v>
      </c>
      <c r="B99" s="51"/>
      <c r="C99" s="35" t="s">
        <v>121</v>
      </c>
      <c r="D99" s="44"/>
      <c r="E99" s="53">
        <f t="shared" si="35"/>
        <v>2716923</v>
      </c>
      <c r="F99" s="53"/>
      <c r="G99" s="53">
        <v>7790382</v>
      </c>
      <c r="H99" s="53"/>
      <c r="I99" s="53">
        <v>10507305</v>
      </c>
      <c r="J99" s="53"/>
      <c r="K99" s="53">
        <f t="shared" si="36"/>
        <v>110271</v>
      </c>
      <c r="L99" s="53"/>
      <c r="M99" s="53">
        <v>55436</v>
      </c>
      <c r="N99" s="53"/>
      <c r="O99" s="53">
        <v>165707</v>
      </c>
      <c r="P99" s="53"/>
      <c r="Q99" s="53">
        <v>7790382</v>
      </c>
      <c r="R99" s="53"/>
      <c r="S99" s="53">
        <v>0</v>
      </c>
      <c r="T99" s="53"/>
      <c r="U99" s="53">
        <v>2551216</v>
      </c>
      <c r="V99" s="53"/>
      <c r="W99" s="53">
        <f t="shared" ref="W99:W165" si="40">SUM(Q99:U99)</f>
        <v>10341598</v>
      </c>
      <c r="X99" s="51"/>
      <c r="Y99" s="51"/>
      <c r="Z99" s="35" t="s">
        <v>120</v>
      </c>
      <c r="AA99" s="53"/>
      <c r="AB99" s="35" t="s">
        <v>121</v>
      </c>
      <c r="AC99" s="51"/>
      <c r="AD99" s="53">
        <v>1778830</v>
      </c>
      <c r="AE99" s="53"/>
      <c r="AF99" s="53">
        <f>1823888-323855</f>
        <v>1500033</v>
      </c>
      <c r="AG99" s="53"/>
      <c r="AH99" s="53">
        <v>323855</v>
      </c>
      <c r="AI99" s="53"/>
      <c r="AJ99" s="45">
        <f t="shared" si="37"/>
        <v>-45058</v>
      </c>
      <c r="AK99" s="45"/>
      <c r="AL99" s="53">
        <v>575</v>
      </c>
      <c r="AM99" s="45"/>
      <c r="AN99" s="53">
        <v>0</v>
      </c>
      <c r="AO99" s="53"/>
      <c r="AP99" s="53">
        <v>0</v>
      </c>
      <c r="AQ99" s="53"/>
      <c r="AR99" s="53">
        <v>123420</v>
      </c>
      <c r="AS99" s="53"/>
      <c r="AT99" s="45">
        <f t="shared" si="38"/>
        <v>78937</v>
      </c>
      <c r="AU99" s="45"/>
      <c r="AV99" s="53">
        <v>0</v>
      </c>
      <c r="AW99" s="53"/>
      <c r="AX99" s="53">
        <v>0</v>
      </c>
      <c r="AY99" s="53"/>
      <c r="AZ99" s="53">
        <f t="shared" si="39"/>
        <v>2606652</v>
      </c>
      <c r="BA99" s="51"/>
      <c r="BB99" s="35" t="s">
        <v>120</v>
      </c>
      <c r="BD99" s="35" t="s">
        <v>121</v>
      </c>
      <c r="BE99" s="53"/>
      <c r="BF99" s="53">
        <v>0</v>
      </c>
      <c r="BG99" s="53"/>
      <c r="BH99" s="53">
        <v>0</v>
      </c>
      <c r="BI99" s="53"/>
      <c r="BJ99" s="53">
        <v>0</v>
      </c>
      <c r="BK99" s="53"/>
      <c r="BL99" s="53">
        <f>55436+5698</f>
        <v>61134</v>
      </c>
      <c r="BM99" s="53"/>
      <c r="BN99" s="53">
        <f t="shared" si="34"/>
        <v>61134</v>
      </c>
      <c r="BO99" s="54"/>
      <c r="BS99" s="55"/>
      <c r="BT99" s="55"/>
      <c r="BU99" s="84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</row>
    <row r="100" spans="1:95" s="35" customFormat="1" ht="12.75" customHeight="1" x14ac:dyDescent="0.2">
      <c r="A100" s="35" t="s">
        <v>122</v>
      </c>
      <c r="B100" s="51"/>
      <c r="C100" s="35" t="s">
        <v>43</v>
      </c>
      <c r="D100" s="44"/>
      <c r="E100" s="53">
        <f t="shared" si="35"/>
        <v>2596615</v>
      </c>
      <c r="F100" s="53"/>
      <c r="G100" s="53">
        <v>25212231</v>
      </c>
      <c r="H100" s="53"/>
      <c r="I100" s="53">
        <v>27808846</v>
      </c>
      <c r="J100" s="53"/>
      <c r="K100" s="53">
        <f t="shared" si="36"/>
        <v>323033</v>
      </c>
      <c r="L100" s="53"/>
      <c r="M100" s="53">
        <v>2511035</v>
      </c>
      <c r="N100" s="53"/>
      <c r="O100" s="53">
        <v>2834068</v>
      </c>
      <c r="P100" s="53"/>
      <c r="Q100" s="53">
        <v>22656372</v>
      </c>
      <c r="R100" s="53"/>
      <c r="S100" s="53">
        <v>0</v>
      </c>
      <c r="T100" s="53"/>
      <c r="U100" s="53">
        <v>2318406</v>
      </c>
      <c r="V100" s="53"/>
      <c r="W100" s="53">
        <f t="shared" si="40"/>
        <v>24974778</v>
      </c>
      <c r="X100" s="51"/>
      <c r="Y100" s="51"/>
      <c r="Z100" s="35" t="s">
        <v>122</v>
      </c>
      <c r="AA100" s="53"/>
      <c r="AB100" s="35" t="s">
        <v>43</v>
      </c>
      <c r="AC100" s="51"/>
      <c r="AD100" s="53">
        <v>522772</v>
      </c>
      <c r="AE100" s="53"/>
      <c r="AF100" s="53">
        <f>807462-611345</f>
        <v>196117</v>
      </c>
      <c r="AG100" s="53"/>
      <c r="AH100" s="53">
        <v>611345</v>
      </c>
      <c r="AI100" s="53"/>
      <c r="AJ100" s="45">
        <f t="shared" si="37"/>
        <v>-284690</v>
      </c>
      <c r="AK100" s="45"/>
      <c r="AL100" s="53">
        <v>-103451</v>
      </c>
      <c r="AM100" s="45"/>
      <c r="AN100" s="53">
        <v>0</v>
      </c>
      <c r="AO100" s="53"/>
      <c r="AP100" s="53">
        <v>0</v>
      </c>
      <c r="AQ100" s="53"/>
      <c r="AR100" s="53">
        <v>671825</v>
      </c>
      <c r="AS100" s="53"/>
      <c r="AT100" s="45">
        <f t="shared" si="38"/>
        <v>283684</v>
      </c>
      <c r="AU100" s="45"/>
      <c r="AV100" s="53">
        <v>0</v>
      </c>
      <c r="AW100" s="53"/>
      <c r="AX100" s="53">
        <v>0</v>
      </c>
      <c r="AY100" s="53"/>
      <c r="AZ100" s="53">
        <f t="shared" si="39"/>
        <v>2273582</v>
      </c>
      <c r="BA100" s="51"/>
      <c r="BB100" s="35" t="s">
        <v>122</v>
      </c>
      <c r="BD100" s="35" t="s">
        <v>43</v>
      </c>
      <c r="BE100" s="53"/>
      <c r="BF100" s="53">
        <v>0</v>
      </c>
      <c r="BG100" s="53"/>
      <c r="BH100" s="53">
        <v>0</v>
      </c>
      <c r="BI100" s="53"/>
      <c r="BJ100" s="53">
        <f>63615+2447420+20836+23988</f>
        <v>2555859</v>
      </c>
      <c r="BK100" s="53"/>
      <c r="BL100" s="53">
        <v>0</v>
      </c>
      <c r="BM100" s="53"/>
      <c r="BN100" s="53">
        <f t="shared" si="34"/>
        <v>2555859</v>
      </c>
      <c r="BO100" s="54"/>
      <c r="BS100" s="55"/>
      <c r="BT100" s="55"/>
      <c r="BU100" s="84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</row>
    <row r="101" spans="1:95" s="35" customFormat="1" ht="12.75" customHeight="1" x14ac:dyDescent="0.2">
      <c r="A101" s="35" t="s">
        <v>507</v>
      </c>
      <c r="B101" s="51"/>
      <c r="C101" s="35" t="s">
        <v>43</v>
      </c>
      <c r="D101" s="44"/>
      <c r="E101" s="53">
        <f t="shared" si="35"/>
        <v>655889</v>
      </c>
      <c r="F101" s="53"/>
      <c r="G101" s="53">
        <v>6026718</v>
      </c>
      <c r="H101" s="53"/>
      <c r="I101" s="53">
        <v>6682607</v>
      </c>
      <c r="J101" s="53"/>
      <c r="K101" s="53">
        <f t="shared" si="36"/>
        <v>484623</v>
      </c>
      <c r="L101" s="53"/>
      <c r="M101" s="53">
        <v>27158</v>
      </c>
      <c r="N101" s="53"/>
      <c r="O101" s="53">
        <v>511781</v>
      </c>
      <c r="P101" s="53"/>
      <c r="Q101" s="53">
        <v>5576718</v>
      </c>
      <c r="R101" s="53"/>
      <c r="S101" s="53">
        <v>0</v>
      </c>
      <c r="T101" s="53"/>
      <c r="U101" s="53">
        <v>594108</v>
      </c>
      <c r="V101" s="53"/>
      <c r="W101" s="53">
        <f t="shared" si="40"/>
        <v>6170826</v>
      </c>
      <c r="X101" s="51"/>
      <c r="Y101" s="51"/>
      <c r="Z101" s="35" t="s">
        <v>507</v>
      </c>
      <c r="AA101" s="51"/>
      <c r="AB101" s="35" t="s">
        <v>43</v>
      </c>
      <c r="AC101" s="51"/>
      <c r="AD101" s="53">
        <v>412076</v>
      </c>
      <c r="AE101" s="53"/>
      <c r="AF101" s="53">
        <f>497502-166798</f>
        <v>330704</v>
      </c>
      <c r="AG101" s="53"/>
      <c r="AH101" s="53">
        <v>166798</v>
      </c>
      <c r="AI101" s="53"/>
      <c r="AJ101" s="45">
        <f t="shared" si="37"/>
        <v>-85426</v>
      </c>
      <c r="AK101" s="45"/>
      <c r="AL101" s="53">
        <v>-9509</v>
      </c>
      <c r="AM101" s="45"/>
      <c r="AN101" s="53">
        <v>179967</v>
      </c>
      <c r="AO101" s="53"/>
      <c r="AP101" s="53">
        <v>0</v>
      </c>
      <c r="AQ101" s="53"/>
      <c r="AR101" s="53">
        <v>0</v>
      </c>
      <c r="AS101" s="53"/>
      <c r="AT101" s="45">
        <f t="shared" si="38"/>
        <v>85032</v>
      </c>
      <c r="AU101" s="45"/>
      <c r="AV101" s="53"/>
      <c r="AW101" s="53"/>
      <c r="AX101" s="53"/>
      <c r="AY101" s="53"/>
      <c r="AZ101" s="53">
        <f t="shared" si="39"/>
        <v>171266</v>
      </c>
      <c r="BA101" s="51"/>
      <c r="BB101" s="35" t="s">
        <v>507</v>
      </c>
      <c r="BC101" s="51"/>
      <c r="BD101" s="35" t="s">
        <v>43</v>
      </c>
      <c r="BE101" s="53"/>
      <c r="BF101" s="53">
        <v>0</v>
      </c>
      <c r="BG101" s="53"/>
      <c r="BH101" s="53">
        <v>0</v>
      </c>
      <c r="BI101" s="53"/>
      <c r="BJ101" s="53">
        <v>0</v>
      </c>
      <c r="BK101" s="53"/>
      <c r="BL101" s="53">
        <f>27158+26127</f>
        <v>53285</v>
      </c>
      <c r="BM101" s="53"/>
      <c r="BN101" s="53">
        <f t="shared" si="34"/>
        <v>53285</v>
      </c>
      <c r="BO101" s="54"/>
      <c r="BS101" s="55"/>
      <c r="BT101" s="55"/>
      <c r="BU101" s="84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</row>
    <row r="102" spans="1:95" s="35" customFormat="1" ht="12.75" customHeight="1" x14ac:dyDescent="0.2">
      <c r="A102" s="44" t="s">
        <v>45</v>
      </c>
      <c r="B102" s="51"/>
      <c r="C102" s="35" t="s">
        <v>103</v>
      </c>
      <c r="D102" s="44"/>
      <c r="E102" s="53">
        <f t="shared" si="35"/>
        <v>15740684</v>
      </c>
      <c r="F102" s="53"/>
      <c r="G102" s="53">
        <v>98790961</v>
      </c>
      <c r="H102" s="53"/>
      <c r="I102" s="53">
        <v>114531645</v>
      </c>
      <c r="J102" s="53"/>
      <c r="K102" s="53">
        <f t="shared" si="36"/>
        <v>8252384</v>
      </c>
      <c r="L102" s="53"/>
      <c r="M102" s="53">
        <v>24221219</v>
      </c>
      <c r="N102" s="53"/>
      <c r="O102" s="53">
        <v>32473603</v>
      </c>
      <c r="P102" s="53"/>
      <c r="Q102" s="53">
        <v>75147364</v>
      </c>
      <c r="R102" s="53"/>
      <c r="S102" s="53">
        <f>663646+1000000</f>
        <v>1663646</v>
      </c>
      <c r="T102" s="53"/>
      <c r="U102" s="53">
        <v>5247032</v>
      </c>
      <c r="V102" s="53"/>
      <c r="W102" s="53">
        <f t="shared" si="40"/>
        <v>82058042</v>
      </c>
      <c r="X102" s="51"/>
      <c r="Y102" s="51"/>
      <c r="Z102" s="44" t="s">
        <v>45</v>
      </c>
      <c r="AA102" s="53"/>
      <c r="AB102" s="35" t="s">
        <v>103</v>
      </c>
      <c r="AC102" s="51"/>
      <c r="AD102" s="53">
        <v>14948140</v>
      </c>
      <c r="AE102" s="53"/>
      <c r="AF102" s="53">
        <f>13528864-2733227</f>
        <v>10795637</v>
      </c>
      <c r="AG102" s="53"/>
      <c r="AH102" s="53">
        <v>2733227</v>
      </c>
      <c r="AI102" s="53"/>
      <c r="AJ102" s="45">
        <f t="shared" si="37"/>
        <v>1419276</v>
      </c>
      <c r="AK102" s="45"/>
      <c r="AL102" s="53">
        <v>-1387238</v>
      </c>
      <c r="AM102" s="45"/>
      <c r="AN102" s="53">
        <v>0</v>
      </c>
      <c r="AO102" s="53"/>
      <c r="AP102" s="53">
        <v>0</v>
      </c>
      <c r="AQ102" s="53"/>
      <c r="AR102" s="53">
        <v>0</v>
      </c>
      <c r="AS102" s="53"/>
      <c r="AT102" s="45">
        <f t="shared" si="38"/>
        <v>32038</v>
      </c>
      <c r="AU102" s="45"/>
      <c r="AV102" s="53">
        <v>0</v>
      </c>
      <c r="AW102" s="53"/>
      <c r="AX102" s="53">
        <v>0</v>
      </c>
      <c r="AY102" s="53"/>
      <c r="AZ102" s="53">
        <f t="shared" si="39"/>
        <v>7488300</v>
      </c>
      <c r="BA102" s="51"/>
      <c r="BB102" s="44" t="s">
        <v>45</v>
      </c>
      <c r="BD102" s="35" t="s">
        <v>103</v>
      </c>
      <c r="BE102" s="53"/>
      <c r="BF102" s="53">
        <v>0</v>
      </c>
      <c r="BG102" s="53"/>
      <c r="BH102" s="53">
        <f>23775415+1035000</f>
        <v>24810415</v>
      </c>
      <c r="BI102" s="53"/>
      <c r="BJ102" s="53">
        <v>0</v>
      </c>
      <c r="BK102" s="53"/>
      <c r="BL102" s="53">
        <f>445804+245952</f>
        <v>691756</v>
      </c>
      <c r="BM102" s="53"/>
      <c r="BN102" s="53">
        <f t="shared" si="34"/>
        <v>25502171</v>
      </c>
      <c r="BO102" s="54"/>
      <c r="BS102" s="55"/>
      <c r="BT102" s="55"/>
      <c r="BU102" s="84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</row>
    <row r="103" spans="1:95" s="35" customFormat="1" ht="12.75" customHeight="1" x14ac:dyDescent="0.2">
      <c r="A103" s="44" t="s">
        <v>123</v>
      </c>
      <c r="B103" s="51"/>
      <c r="C103" s="35" t="s">
        <v>45</v>
      </c>
      <c r="D103" s="44"/>
      <c r="E103" s="53">
        <f t="shared" si="35"/>
        <v>1652425</v>
      </c>
      <c r="F103" s="53"/>
      <c r="G103" s="53">
        <v>14827084</v>
      </c>
      <c r="H103" s="53"/>
      <c r="I103" s="53">
        <v>16479509</v>
      </c>
      <c r="J103" s="53"/>
      <c r="K103" s="53">
        <f t="shared" si="36"/>
        <v>543009</v>
      </c>
      <c r="L103" s="53"/>
      <c r="M103" s="53">
        <v>5341977</v>
      </c>
      <c r="N103" s="53"/>
      <c r="O103" s="53">
        <v>5884986</v>
      </c>
      <c r="P103" s="53"/>
      <c r="Q103" s="53">
        <v>9195988</v>
      </c>
      <c r="R103" s="53"/>
      <c r="S103" s="53">
        <v>0</v>
      </c>
      <c r="T103" s="53"/>
      <c r="U103" s="53">
        <v>1398535</v>
      </c>
      <c r="V103" s="53"/>
      <c r="W103" s="53">
        <f t="shared" si="40"/>
        <v>10594523</v>
      </c>
      <c r="X103" s="51"/>
      <c r="Y103" s="51"/>
      <c r="Z103" s="44" t="s">
        <v>123</v>
      </c>
      <c r="AA103" s="53"/>
      <c r="AB103" s="35" t="s">
        <v>45</v>
      </c>
      <c r="AC103" s="51"/>
      <c r="AD103" s="53">
        <v>1353556</v>
      </c>
      <c r="AE103" s="53"/>
      <c r="AF103" s="53">
        <f>1311748-390532</f>
        <v>921216</v>
      </c>
      <c r="AG103" s="53"/>
      <c r="AH103" s="53">
        <v>390532</v>
      </c>
      <c r="AI103" s="53"/>
      <c r="AJ103" s="45">
        <f t="shared" si="37"/>
        <v>41808</v>
      </c>
      <c r="AK103" s="45"/>
      <c r="AL103" s="53">
        <v>-215878</v>
      </c>
      <c r="AM103" s="45"/>
      <c r="AN103" s="53">
        <v>0</v>
      </c>
      <c r="AO103" s="53"/>
      <c r="AP103" s="53">
        <v>0</v>
      </c>
      <c r="AQ103" s="53"/>
      <c r="AR103" s="53">
        <v>0</v>
      </c>
      <c r="AS103" s="53"/>
      <c r="AT103" s="45">
        <f t="shared" si="38"/>
        <v>-174070</v>
      </c>
      <c r="AU103" s="45"/>
      <c r="AV103" s="53">
        <v>0</v>
      </c>
      <c r="AW103" s="53"/>
      <c r="AX103" s="53">
        <v>0</v>
      </c>
      <c r="AY103" s="53"/>
      <c r="AZ103" s="53">
        <f t="shared" si="39"/>
        <v>1109416</v>
      </c>
      <c r="BA103" s="51"/>
      <c r="BB103" s="44" t="s">
        <v>123</v>
      </c>
      <c r="BD103" s="35" t="s">
        <v>45</v>
      </c>
      <c r="BE103" s="53"/>
      <c r="BF103" s="53">
        <v>0</v>
      </c>
      <c r="BG103" s="53"/>
      <c r="BH103" s="53">
        <v>0</v>
      </c>
      <c r="BI103" s="53"/>
      <c r="BJ103" s="53">
        <f>5291565+339531</f>
        <v>5631096</v>
      </c>
      <c r="BK103" s="53"/>
      <c r="BL103" s="53">
        <f>3727+50412</f>
        <v>54139</v>
      </c>
      <c r="BM103" s="53"/>
      <c r="BN103" s="53">
        <f t="shared" si="34"/>
        <v>5685235</v>
      </c>
      <c r="BO103" s="54"/>
      <c r="BS103" s="55"/>
      <c r="BT103" s="55"/>
      <c r="BU103" s="84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</row>
    <row r="104" spans="1:95" s="35" customFormat="1" ht="12.75" customHeight="1" x14ac:dyDescent="0.2">
      <c r="A104" s="35" t="s">
        <v>124</v>
      </c>
      <c r="B104" s="51"/>
      <c r="C104" s="35" t="s">
        <v>125</v>
      </c>
      <c r="D104" s="44"/>
      <c r="E104" s="53">
        <f t="shared" si="35"/>
        <v>1450488</v>
      </c>
      <c r="F104" s="53"/>
      <c r="G104" s="53">
        <v>10292143</v>
      </c>
      <c r="H104" s="53"/>
      <c r="I104" s="53">
        <v>11742631</v>
      </c>
      <c r="J104" s="53"/>
      <c r="K104" s="53">
        <f t="shared" si="36"/>
        <v>1378313</v>
      </c>
      <c r="L104" s="53"/>
      <c r="M104" s="53">
        <v>1340939</v>
      </c>
      <c r="N104" s="53"/>
      <c r="O104" s="53">
        <v>2719252</v>
      </c>
      <c r="P104" s="53"/>
      <c r="Q104" s="53">
        <v>7672143</v>
      </c>
      <c r="R104" s="53"/>
      <c r="S104" s="53">
        <v>0</v>
      </c>
      <c r="T104" s="53"/>
      <c r="U104" s="53">
        <v>1351236</v>
      </c>
      <c r="V104" s="53"/>
      <c r="W104" s="53">
        <f t="shared" si="40"/>
        <v>9023379</v>
      </c>
      <c r="X104" s="51"/>
      <c r="Y104" s="51"/>
      <c r="Z104" s="35" t="s">
        <v>124</v>
      </c>
      <c r="AA104" s="53"/>
      <c r="AB104" s="35" t="s">
        <v>125</v>
      </c>
      <c r="AC104" s="51"/>
      <c r="AD104" s="53">
        <v>1794547</v>
      </c>
      <c r="AE104" s="53"/>
      <c r="AF104" s="53">
        <f>1537763-363547</f>
        <v>1174216</v>
      </c>
      <c r="AG104" s="53"/>
      <c r="AH104" s="53">
        <v>363547</v>
      </c>
      <c r="AI104" s="53"/>
      <c r="AJ104" s="45">
        <f t="shared" si="37"/>
        <v>256784</v>
      </c>
      <c r="AK104" s="45"/>
      <c r="AL104" s="53">
        <v>-58110</v>
      </c>
      <c r="AM104" s="45"/>
      <c r="AN104" s="53">
        <v>0</v>
      </c>
      <c r="AO104" s="53"/>
      <c r="AP104" s="53">
        <v>0</v>
      </c>
      <c r="AQ104" s="53"/>
      <c r="AR104" s="53">
        <v>252530</v>
      </c>
      <c r="AS104" s="53"/>
      <c r="AT104" s="45">
        <f t="shared" si="38"/>
        <v>451204</v>
      </c>
      <c r="AU104" s="45"/>
      <c r="AV104" s="53">
        <v>0</v>
      </c>
      <c r="AW104" s="53"/>
      <c r="AX104" s="53">
        <v>0</v>
      </c>
      <c r="AY104" s="53"/>
      <c r="AZ104" s="53">
        <f t="shared" si="39"/>
        <v>72175</v>
      </c>
      <c r="BA104" s="51"/>
      <c r="BB104" s="35" t="s">
        <v>124</v>
      </c>
      <c r="BD104" s="35" t="s">
        <v>125</v>
      </c>
      <c r="BE104" s="53"/>
      <c r="BF104" s="53">
        <f>1315000+205000</f>
        <v>1520000</v>
      </c>
      <c r="BG104" s="53"/>
      <c r="BH104" s="53">
        <v>0</v>
      </c>
      <c r="BI104" s="53"/>
      <c r="BJ104" s="53">
        <v>0</v>
      </c>
      <c r="BK104" s="53"/>
      <c r="BL104" s="53">
        <f>6776+25939</f>
        <v>32715</v>
      </c>
      <c r="BM104" s="53"/>
      <c r="BN104" s="53">
        <f t="shared" si="34"/>
        <v>1552715</v>
      </c>
      <c r="BO104" s="54"/>
      <c r="BS104" s="55"/>
      <c r="BT104" s="55"/>
      <c r="BU104" s="84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</row>
    <row r="105" spans="1:95" s="126" customFormat="1" ht="12.75" hidden="1" customHeight="1" x14ac:dyDescent="0.2">
      <c r="A105" s="126" t="s">
        <v>126</v>
      </c>
      <c r="B105" s="124"/>
      <c r="C105" s="126" t="s">
        <v>27</v>
      </c>
      <c r="D105" s="121"/>
      <c r="E105" s="53">
        <f t="shared" si="35"/>
        <v>0</v>
      </c>
      <c r="F105" s="53"/>
      <c r="G105" s="53"/>
      <c r="H105" s="53"/>
      <c r="I105" s="53"/>
      <c r="J105" s="53"/>
      <c r="K105" s="53">
        <f t="shared" si="36"/>
        <v>0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>
        <f t="shared" si="40"/>
        <v>0</v>
      </c>
      <c r="X105" s="124"/>
      <c r="Y105" s="124"/>
      <c r="Z105" s="126" t="s">
        <v>126</v>
      </c>
      <c r="AA105" s="137"/>
      <c r="AB105" s="126" t="s">
        <v>27</v>
      </c>
      <c r="AC105" s="124"/>
      <c r="AD105" s="53"/>
      <c r="AE105" s="53"/>
      <c r="AF105" s="53"/>
      <c r="AG105" s="53"/>
      <c r="AH105" s="53"/>
      <c r="AI105" s="53"/>
      <c r="AJ105" s="45">
        <f t="shared" si="37"/>
        <v>0</v>
      </c>
      <c r="AK105" s="45"/>
      <c r="AL105" s="53"/>
      <c r="AM105" s="45"/>
      <c r="AN105" s="53"/>
      <c r="AO105" s="53"/>
      <c r="AP105" s="53"/>
      <c r="AQ105" s="53"/>
      <c r="AR105" s="53"/>
      <c r="AS105" s="53"/>
      <c r="AT105" s="45">
        <f t="shared" si="38"/>
        <v>0</v>
      </c>
      <c r="AU105" s="45"/>
      <c r="AV105" s="53">
        <v>0</v>
      </c>
      <c r="AW105" s="53"/>
      <c r="AX105" s="53">
        <v>0</v>
      </c>
      <c r="AY105" s="53"/>
      <c r="AZ105" s="53">
        <f t="shared" si="39"/>
        <v>0</v>
      </c>
      <c r="BA105" s="124"/>
      <c r="BB105" s="126" t="s">
        <v>126</v>
      </c>
      <c r="BD105" s="126" t="s">
        <v>27</v>
      </c>
      <c r="BE105" s="137"/>
      <c r="BF105" s="53"/>
      <c r="BG105" s="53"/>
      <c r="BH105" s="53"/>
      <c r="BI105" s="53"/>
      <c r="BJ105" s="53"/>
      <c r="BK105" s="53"/>
      <c r="BL105" s="53"/>
      <c r="BM105" s="137"/>
      <c r="BN105" s="137">
        <f t="shared" si="34"/>
        <v>0</v>
      </c>
      <c r="BO105" s="139"/>
      <c r="BS105" s="140"/>
      <c r="BT105" s="140"/>
      <c r="BU105" s="141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</row>
    <row r="106" spans="1:95" s="126" customFormat="1" ht="12.75" hidden="1" customHeight="1" x14ac:dyDescent="0.2">
      <c r="A106" s="126" t="s">
        <v>127</v>
      </c>
      <c r="B106" s="124"/>
      <c r="C106" s="126" t="s">
        <v>43</v>
      </c>
      <c r="D106" s="121"/>
      <c r="E106" s="53">
        <f t="shared" si="35"/>
        <v>0</v>
      </c>
      <c r="F106" s="53"/>
      <c r="G106" s="53"/>
      <c r="H106" s="53"/>
      <c r="I106" s="53"/>
      <c r="J106" s="53"/>
      <c r="K106" s="53">
        <f t="shared" si="36"/>
        <v>0</v>
      </c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>
        <f t="shared" si="40"/>
        <v>0</v>
      </c>
      <c r="X106" s="124"/>
      <c r="Y106" s="124"/>
      <c r="Z106" s="126" t="s">
        <v>127</v>
      </c>
      <c r="AA106" s="137"/>
      <c r="AB106" s="126" t="s">
        <v>43</v>
      </c>
      <c r="AC106" s="124"/>
      <c r="AD106" s="53"/>
      <c r="AE106" s="53"/>
      <c r="AF106" s="53"/>
      <c r="AG106" s="53"/>
      <c r="AH106" s="53"/>
      <c r="AI106" s="53"/>
      <c r="AJ106" s="45">
        <f t="shared" si="37"/>
        <v>0</v>
      </c>
      <c r="AK106" s="45"/>
      <c r="AL106" s="53"/>
      <c r="AM106" s="45"/>
      <c r="AN106" s="53"/>
      <c r="AO106" s="53"/>
      <c r="AP106" s="53"/>
      <c r="AQ106" s="53"/>
      <c r="AR106" s="53"/>
      <c r="AS106" s="53"/>
      <c r="AT106" s="45">
        <f t="shared" si="38"/>
        <v>0</v>
      </c>
      <c r="AU106" s="45"/>
      <c r="AV106" s="53">
        <v>0</v>
      </c>
      <c r="AW106" s="53"/>
      <c r="AX106" s="53">
        <v>0</v>
      </c>
      <c r="AY106" s="53"/>
      <c r="AZ106" s="53">
        <f t="shared" si="39"/>
        <v>0</v>
      </c>
      <c r="BA106" s="124"/>
      <c r="BB106" s="126" t="s">
        <v>127</v>
      </c>
      <c r="BD106" s="126" t="s">
        <v>43</v>
      </c>
      <c r="BE106" s="137"/>
      <c r="BF106" s="53"/>
      <c r="BG106" s="53"/>
      <c r="BH106" s="53"/>
      <c r="BI106" s="53"/>
      <c r="BJ106" s="53"/>
      <c r="BK106" s="53"/>
      <c r="BL106" s="53"/>
      <c r="BM106" s="137"/>
      <c r="BN106" s="137">
        <f t="shared" si="34"/>
        <v>0</v>
      </c>
      <c r="BO106" s="139"/>
      <c r="BS106" s="140"/>
      <c r="BT106" s="140"/>
      <c r="BU106" s="141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</row>
    <row r="107" spans="1:95" s="35" customFormat="1" ht="12.75" customHeight="1" x14ac:dyDescent="0.2">
      <c r="A107" s="35" t="s">
        <v>128</v>
      </c>
      <c r="B107" s="51"/>
      <c r="C107" s="35" t="s">
        <v>119</v>
      </c>
      <c r="D107" s="44"/>
      <c r="E107" s="53">
        <f t="shared" si="35"/>
        <v>828823</v>
      </c>
      <c r="F107" s="53"/>
      <c r="G107" s="53">
        <v>7300720</v>
      </c>
      <c r="H107" s="53"/>
      <c r="I107" s="53">
        <v>8129543</v>
      </c>
      <c r="J107" s="53"/>
      <c r="K107" s="53">
        <f t="shared" si="36"/>
        <v>246635</v>
      </c>
      <c r="L107" s="53"/>
      <c r="M107" s="53">
        <v>5470665</v>
      </c>
      <c r="N107" s="53"/>
      <c r="O107" s="53">
        <v>5717300</v>
      </c>
      <c r="P107" s="53"/>
      <c r="Q107" s="53">
        <v>1774465</v>
      </c>
      <c r="R107" s="53"/>
      <c r="S107" s="53">
        <v>0</v>
      </c>
      <c r="T107" s="53"/>
      <c r="U107" s="53">
        <v>637778</v>
      </c>
      <c r="V107" s="53"/>
      <c r="W107" s="53">
        <f t="shared" si="40"/>
        <v>2412243</v>
      </c>
      <c r="Z107" s="35" t="s">
        <v>128</v>
      </c>
      <c r="AA107" s="53"/>
      <c r="AB107" s="35" t="s">
        <v>119</v>
      </c>
      <c r="AC107" s="51"/>
      <c r="AD107" s="53">
        <v>1531375</v>
      </c>
      <c r="AE107" s="53"/>
      <c r="AF107" s="53">
        <f>1272636-199228</f>
        <v>1073408</v>
      </c>
      <c r="AG107" s="53"/>
      <c r="AH107" s="53">
        <v>199228</v>
      </c>
      <c r="AI107" s="53"/>
      <c r="AJ107" s="45">
        <f t="shared" si="37"/>
        <v>258739</v>
      </c>
      <c r="AK107" s="45"/>
      <c r="AL107" s="53">
        <v>-202396</v>
      </c>
      <c r="AM107" s="45"/>
      <c r="AN107" s="53">
        <v>0</v>
      </c>
      <c r="AO107" s="53"/>
      <c r="AP107" s="53">
        <v>0</v>
      </c>
      <c r="AQ107" s="53"/>
      <c r="AR107" s="53">
        <v>0</v>
      </c>
      <c r="AS107" s="53"/>
      <c r="AT107" s="45">
        <f t="shared" si="38"/>
        <v>56343</v>
      </c>
      <c r="AU107" s="45"/>
      <c r="AV107" s="53">
        <v>0</v>
      </c>
      <c r="AW107" s="53"/>
      <c r="AX107" s="53">
        <v>0</v>
      </c>
      <c r="AY107" s="53"/>
      <c r="AZ107" s="53">
        <f t="shared" si="39"/>
        <v>582188</v>
      </c>
      <c r="BA107" s="51"/>
      <c r="BB107" s="35" t="s">
        <v>128</v>
      </c>
      <c r="BD107" s="35" t="s">
        <v>119</v>
      </c>
      <c r="BE107" s="53"/>
      <c r="BF107" s="53">
        <v>0</v>
      </c>
      <c r="BG107" s="53"/>
      <c r="BH107" s="53">
        <f>5359164+69003+127000+3833</f>
        <v>5559000</v>
      </c>
      <c r="BI107" s="53"/>
      <c r="BJ107" s="53">
        <v>0</v>
      </c>
      <c r="BK107" s="53"/>
      <c r="BL107" s="53">
        <f>17888+24610+15481</f>
        <v>57979</v>
      </c>
      <c r="BM107" s="53"/>
      <c r="BN107" s="53">
        <f t="shared" si="34"/>
        <v>5616979</v>
      </c>
      <c r="BO107" s="54"/>
      <c r="BS107" s="55"/>
      <c r="BT107" s="55"/>
      <c r="BU107" s="84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</row>
    <row r="108" spans="1:95" s="35" customFormat="1" ht="12.75" customHeight="1" x14ac:dyDescent="0.2">
      <c r="A108" s="35" t="s">
        <v>129</v>
      </c>
      <c r="B108" s="51"/>
      <c r="C108" s="35" t="s">
        <v>80</v>
      </c>
      <c r="D108" s="44"/>
      <c r="E108" s="53">
        <f t="shared" si="35"/>
        <v>1220731</v>
      </c>
      <c r="F108" s="53"/>
      <c r="G108" s="53">
        <v>4852392</v>
      </c>
      <c r="H108" s="53"/>
      <c r="I108" s="53">
        <v>6073123</v>
      </c>
      <c r="J108" s="53"/>
      <c r="K108" s="53">
        <f t="shared" si="36"/>
        <v>334836</v>
      </c>
      <c r="L108" s="53"/>
      <c r="M108" s="53">
        <v>1730160</v>
      </c>
      <c r="N108" s="53"/>
      <c r="O108" s="53">
        <v>2064996</v>
      </c>
      <c r="P108" s="53"/>
      <c r="Q108" s="53">
        <v>2972588</v>
      </c>
      <c r="R108" s="53"/>
      <c r="S108" s="53">
        <v>0</v>
      </c>
      <c r="T108" s="53"/>
      <c r="U108" s="53">
        <v>1035539</v>
      </c>
      <c r="V108" s="53"/>
      <c r="W108" s="53">
        <f t="shared" si="40"/>
        <v>4008127</v>
      </c>
      <c r="X108" s="51"/>
      <c r="Y108" s="51"/>
      <c r="Z108" s="35" t="s">
        <v>129</v>
      </c>
      <c r="AA108" s="53"/>
      <c r="AB108" s="35" t="s">
        <v>80</v>
      </c>
      <c r="AC108" s="51"/>
      <c r="AD108" s="53">
        <v>1705983</v>
      </c>
      <c r="AE108" s="53"/>
      <c r="AF108" s="53">
        <f>1455365-151468</f>
        <v>1303897</v>
      </c>
      <c r="AG108" s="53"/>
      <c r="AH108" s="53">
        <v>151468</v>
      </c>
      <c r="AI108" s="53"/>
      <c r="AJ108" s="45">
        <f t="shared" si="37"/>
        <v>250618</v>
      </c>
      <c r="AK108" s="45"/>
      <c r="AL108" s="53">
        <v>-98818</v>
      </c>
      <c r="AM108" s="45"/>
      <c r="AN108" s="53">
        <v>0</v>
      </c>
      <c r="AO108" s="53"/>
      <c r="AP108" s="53">
        <v>0</v>
      </c>
      <c r="AQ108" s="53"/>
      <c r="AR108" s="53">
        <v>0</v>
      </c>
      <c r="AS108" s="53"/>
      <c r="AT108" s="45">
        <f t="shared" si="38"/>
        <v>151800</v>
      </c>
      <c r="AU108" s="45"/>
      <c r="AV108" s="53">
        <v>0</v>
      </c>
      <c r="AW108" s="53"/>
      <c r="AX108" s="53">
        <v>0</v>
      </c>
      <c r="AY108" s="53"/>
      <c r="AZ108" s="53">
        <f t="shared" si="39"/>
        <v>885895</v>
      </c>
      <c r="BA108" s="51"/>
      <c r="BB108" s="35" t="s">
        <v>129</v>
      </c>
      <c r="BD108" s="35" t="s">
        <v>80</v>
      </c>
      <c r="BE108" s="53"/>
      <c r="BF108" s="53">
        <v>0</v>
      </c>
      <c r="BG108" s="53"/>
      <c r="BH108" s="53">
        <v>0</v>
      </c>
      <c r="BI108" s="53"/>
      <c r="BJ108" s="53">
        <f>1256157+452701+126729+44217</f>
        <v>1879804</v>
      </c>
      <c r="BK108" s="53"/>
      <c r="BL108" s="53">
        <f>21302+14824</f>
        <v>36126</v>
      </c>
      <c r="BM108" s="53"/>
      <c r="BN108" s="53">
        <f t="shared" si="34"/>
        <v>1915930</v>
      </c>
      <c r="BO108" s="54"/>
      <c r="BS108" s="55"/>
      <c r="BT108" s="55"/>
      <c r="BU108" s="84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</row>
    <row r="109" spans="1:95" s="35" customFormat="1" ht="12.75" customHeight="1" x14ac:dyDescent="0.2">
      <c r="A109" s="35" t="s">
        <v>130</v>
      </c>
      <c r="B109" s="51"/>
      <c r="C109" s="35" t="s">
        <v>66</v>
      </c>
      <c r="D109" s="44"/>
      <c r="E109" s="53">
        <f t="shared" si="35"/>
        <v>9874021</v>
      </c>
      <c r="F109" s="53"/>
      <c r="G109" s="53">
        <v>29739208</v>
      </c>
      <c r="H109" s="53"/>
      <c r="I109" s="53">
        <v>39613229</v>
      </c>
      <c r="J109" s="53"/>
      <c r="K109" s="53">
        <f t="shared" si="36"/>
        <v>1473962</v>
      </c>
      <c r="L109" s="53"/>
      <c r="M109" s="53">
        <v>18641235</v>
      </c>
      <c r="N109" s="53"/>
      <c r="O109" s="53">
        <v>20115197</v>
      </c>
      <c r="P109" s="53"/>
      <c r="Q109" s="53">
        <v>16221467</v>
      </c>
      <c r="R109" s="53"/>
      <c r="S109" s="53">
        <f>60000+1140000</f>
        <v>1200000</v>
      </c>
      <c r="T109" s="53"/>
      <c r="U109" s="53">
        <v>2076565</v>
      </c>
      <c r="V109" s="53"/>
      <c r="W109" s="53">
        <f t="shared" si="40"/>
        <v>19498032</v>
      </c>
      <c r="Z109" s="35" t="s">
        <v>130</v>
      </c>
      <c r="AA109" s="53"/>
      <c r="AB109" s="35" t="s">
        <v>66</v>
      </c>
      <c r="AC109" s="51"/>
      <c r="AD109" s="53">
        <v>4477229</v>
      </c>
      <c r="AE109" s="53"/>
      <c r="AF109" s="53">
        <f>2925461-880569</f>
        <v>2044892</v>
      </c>
      <c r="AG109" s="53"/>
      <c r="AH109" s="53">
        <v>880569</v>
      </c>
      <c r="AI109" s="53"/>
      <c r="AJ109" s="45">
        <f t="shared" si="37"/>
        <v>1551768</v>
      </c>
      <c r="AK109" s="45"/>
      <c r="AL109" s="53">
        <v>-1084326</v>
      </c>
      <c r="AM109" s="45"/>
      <c r="AN109" s="53">
        <v>0</v>
      </c>
      <c r="AO109" s="53"/>
      <c r="AP109" s="53">
        <v>90366</v>
      </c>
      <c r="AQ109" s="53"/>
      <c r="AR109" s="53">
        <v>477602</v>
      </c>
      <c r="AS109" s="53"/>
      <c r="AT109" s="45">
        <f t="shared" si="38"/>
        <v>854678</v>
      </c>
      <c r="AU109" s="45"/>
      <c r="AV109" s="53">
        <v>0</v>
      </c>
      <c r="AW109" s="53"/>
      <c r="AX109" s="53">
        <v>0</v>
      </c>
      <c r="AY109" s="53"/>
      <c r="AZ109" s="53">
        <f t="shared" si="39"/>
        <v>8400059</v>
      </c>
      <c r="BA109" s="51"/>
      <c r="BB109" s="35" t="s">
        <v>130</v>
      </c>
      <c r="BD109" s="35" t="s">
        <v>66</v>
      </c>
      <c r="BE109" s="53"/>
      <c r="BF109" s="53">
        <f>18639680+1240000</f>
        <v>19879680</v>
      </c>
      <c r="BG109" s="53"/>
      <c r="BH109" s="53">
        <v>0</v>
      </c>
      <c r="BI109" s="53"/>
      <c r="BJ109" s="53">
        <v>0</v>
      </c>
      <c r="BK109" s="53"/>
      <c r="BL109" s="53">
        <f>1555+2753</f>
        <v>4308</v>
      </c>
      <c r="BM109" s="53"/>
      <c r="BN109" s="53">
        <f t="shared" si="34"/>
        <v>19883988</v>
      </c>
      <c r="BO109" s="54"/>
      <c r="BP109" s="55"/>
      <c r="BS109" s="55"/>
      <c r="BT109" s="55"/>
      <c r="BU109" s="84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</row>
    <row r="110" spans="1:95" s="35" customFormat="1" ht="12.75" customHeight="1" x14ac:dyDescent="0.2">
      <c r="A110" s="35" t="s">
        <v>131</v>
      </c>
      <c r="C110" s="35" t="s">
        <v>13</v>
      </c>
      <c r="D110" s="44"/>
      <c r="E110" s="53">
        <f t="shared" si="35"/>
        <v>808157</v>
      </c>
      <c r="F110" s="53"/>
      <c r="G110" s="53">
        <v>9206017</v>
      </c>
      <c r="H110" s="53"/>
      <c r="I110" s="53">
        <v>10014174</v>
      </c>
      <c r="J110" s="53"/>
      <c r="K110" s="53">
        <f t="shared" si="36"/>
        <v>653140</v>
      </c>
      <c r="L110" s="53"/>
      <c r="M110" s="53">
        <v>5048901</v>
      </c>
      <c r="N110" s="53"/>
      <c r="O110" s="53">
        <v>5702041</v>
      </c>
      <c r="P110" s="53"/>
      <c r="Q110" s="53">
        <v>3871533</v>
      </c>
      <c r="R110" s="53"/>
      <c r="S110" s="53">
        <v>0</v>
      </c>
      <c r="T110" s="53"/>
      <c r="U110" s="53">
        <v>440600</v>
      </c>
      <c r="V110" s="53"/>
      <c r="W110" s="53">
        <f t="shared" si="40"/>
        <v>4312133</v>
      </c>
      <c r="X110" s="51"/>
      <c r="Y110" s="51"/>
      <c r="Z110" s="35" t="s">
        <v>131</v>
      </c>
      <c r="AA110" s="53"/>
      <c r="AB110" s="35" t="s">
        <v>13</v>
      </c>
      <c r="AD110" s="53">
        <v>1542034</v>
      </c>
      <c r="AE110" s="53"/>
      <c r="AF110" s="53">
        <f>1390993-338583</f>
        <v>1052410</v>
      </c>
      <c r="AG110" s="53"/>
      <c r="AH110" s="53">
        <v>338583</v>
      </c>
      <c r="AI110" s="53"/>
      <c r="AJ110" s="45">
        <f t="shared" si="37"/>
        <v>151041</v>
      </c>
      <c r="AK110" s="45"/>
      <c r="AL110" s="53">
        <v>-184012</v>
      </c>
      <c r="AM110" s="45"/>
      <c r="AN110" s="53">
        <v>0</v>
      </c>
      <c r="AO110" s="53"/>
      <c r="AP110" s="53">
        <v>0</v>
      </c>
      <c r="AQ110" s="53"/>
      <c r="AR110" s="53">
        <v>0</v>
      </c>
      <c r="AS110" s="53"/>
      <c r="AT110" s="45">
        <f t="shared" si="38"/>
        <v>-32971</v>
      </c>
      <c r="AU110" s="45"/>
      <c r="AV110" s="53">
        <v>0</v>
      </c>
      <c r="AW110" s="53"/>
      <c r="AX110" s="53">
        <v>0</v>
      </c>
      <c r="AY110" s="53"/>
      <c r="AZ110" s="53">
        <f t="shared" si="39"/>
        <v>155017</v>
      </c>
      <c r="BA110" s="51"/>
      <c r="BB110" s="35" t="s">
        <v>131</v>
      </c>
      <c r="BD110" s="35" t="s">
        <v>13</v>
      </c>
      <c r="BE110" s="53"/>
      <c r="BF110" s="53">
        <f>4886331+394038</f>
        <v>5280369</v>
      </c>
      <c r="BG110" s="53"/>
      <c r="BH110" s="53">
        <v>0</v>
      </c>
      <c r="BI110" s="53"/>
      <c r="BJ110" s="53">
        <v>0</v>
      </c>
      <c r="BK110" s="53"/>
      <c r="BL110" s="53">
        <f>162570+139444</f>
        <v>302014</v>
      </c>
      <c r="BM110" s="53"/>
      <c r="BN110" s="53">
        <f t="shared" si="34"/>
        <v>5582383</v>
      </c>
      <c r="BO110" s="54"/>
      <c r="BS110" s="55"/>
      <c r="BT110" s="55"/>
      <c r="BU110" s="84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</row>
    <row r="111" spans="1:95" s="35" customFormat="1" ht="12.75" customHeight="1" x14ac:dyDescent="0.2">
      <c r="A111" s="35" t="s">
        <v>38</v>
      </c>
      <c r="B111" s="51"/>
      <c r="C111" s="35" t="s">
        <v>132</v>
      </c>
      <c r="D111" s="44"/>
      <c r="E111" s="53">
        <f t="shared" si="35"/>
        <v>2579711</v>
      </c>
      <c r="F111" s="53"/>
      <c r="G111" s="53">
        <v>5998651</v>
      </c>
      <c r="H111" s="53"/>
      <c r="I111" s="53">
        <v>8578362</v>
      </c>
      <c r="J111" s="53"/>
      <c r="K111" s="53">
        <f t="shared" si="36"/>
        <v>636806</v>
      </c>
      <c r="L111" s="53"/>
      <c r="M111" s="53">
        <v>2203216</v>
      </c>
      <c r="N111" s="53"/>
      <c r="O111" s="53">
        <v>2840022</v>
      </c>
      <c r="P111" s="53"/>
      <c r="Q111" s="53">
        <v>3321894</v>
      </c>
      <c r="R111" s="53"/>
      <c r="S111" s="53">
        <v>0</v>
      </c>
      <c r="T111" s="53"/>
      <c r="U111" s="53">
        <v>2416446</v>
      </c>
      <c r="V111" s="53"/>
      <c r="W111" s="53">
        <f t="shared" si="40"/>
        <v>5738340</v>
      </c>
      <c r="X111" s="51"/>
      <c r="Y111" s="51"/>
      <c r="Z111" s="35" t="s">
        <v>38</v>
      </c>
      <c r="AA111" s="53"/>
      <c r="AB111" s="35" t="s">
        <v>132</v>
      </c>
      <c r="AC111" s="51"/>
      <c r="AD111" s="53">
        <v>2150831</v>
      </c>
      <c r="AE111" s="53"/>
      <c r="AF111" s="53">
        <f>1883991-165347</f>
        <v>1718644</v>
      </c>
      <c r="AG111" s="53"/>
      <c r="AH111" s="53">
        <v>165347</v>
      </c>
      <c r="AI111" s="53"/>
      <c r="AJ111" s="45">
        <f t="shared" si="37"/>
        <v>266840</v>
      </c>
      <c r="AK111" s="45"/>
      <c r="AL111" s="53">
        <v>-155687</v>
      </c>
      <c r="AM111" s="45"/>
      <c r="AN111" s="53">
        <v>0</v>
      </c>
      <c r="AO111" s="53"/>
      <c r="AP111" s="53">
        <v>0</v>
      </c>
      <c r="AQ111" s="53"/>
      <c r="AR111" s="53">
        <v>0</v>
      </c>
      <c r="AS111" s="53"/>
      <c r="AT111" s="45">
        <f t="shared" si="38"/>
        <v>111153</v>
      </c>
      <c r="AU111" s="45"/>
      <c r="AV111" s="53">
        <v>0</v>
      </c>
      <c r="AW111" s="53"/>
      <c r="AX111" s="53">
        <v>0</v>
      </c>
      <c r="AY111" s="53"/>
      <c r="AZ111" s="53">
        <f t="shared" si="39"/>
        <v>1942905</v>
      </c>
      <c r="BA111" s="51"/>
      <c r="BB111" s="35" t="s">
        <v>38</v>
      </c>
      <c r="BD111" s="35" t="s">
        <v>132</v>
      </c>
      <c r="BE111" s="53"/>
      <c r="BF111" s="53">
        <f>1132445+351500</f>
        <v>1483945</v>
      </c>
      <c r="BG111" s="53"/>
      <c r="BH111" s="53">
        <v>0</v>
      </c>
      <c r="BI111" s="53"/>
      <c r="BJ111" s="53">
        <f>968798+168131</f>
        <v>1136929</v>
      </c>
      <c r="BK111" s="53"/>
      <c r="BL111" s="53">
        <f>52685+49288+6595+43136</f>
        <v>151704</v>
      </c>
      <c r="BM111" s="53"/>
      <c r="BN111" s="53">
        <f t="shared" si="34"/>
        <v>2772578</v>
      </c>
      <c r="BO111" s="54"/>
      <c r="BS111" s="55"/>
      <c r="BT111" s="55"/>
      <c r="BU111" s="84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</row>
    <row r="112" spans="1:95" s="126" customFormat="1" ht="12.75" hidden="1" customHeight="1" x14ac:dyDescent="0.2">
      <c r="A112" s="126" t="s">
        <v>133</v>
      </c>
      <c r="B112" s="124"/>
      <c r="C112" s="126" t="s">
        <v>27</v>
      </c>
      <c r="D112" s="121"/>
      <c r="E112" s="53">
        <f t="shared" si="35"/>
        <v>0</v>
      </c>
      <c r="F112" s="53"/>
      <c r="G112" s="53"/>
      <c r="H112" s="53"/>
      <c r="I112" s="53"/>
      <c r="J112" s="53"/>
      <c r="K112" s="53">
        <f t="shared" si="36"/>
        <v>0</v>
      </c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>
        <f t="shared" si="40"/>
        <v>0</v>
      </c>
      <c r="X112" s="124"/>
      <c r="Y112" s="124"/>
      <c r="Z112" s="126" t="s">
        <v>133</v>
      </c>
      <c r="AA112" s="137"/>
      <c r="AB112" s="126" t="s">
        <v>27</v>
      </c>
      <c r="AC112" s="124"/>
      <c r="AD112" s="53"/>
      <c r="AE112" s="53"/>
      <c r="AF112" s="53"/>
      <c r="AG112" s="53"/>
      <c r="AH112" s="53"/>
      <c r="AI112" s="53"/>
      <c r="AJ112" s="45">
        <f t="shared" si="37"/>
        <v>0</v>
      </c>
      <c r="AK112" s="45"/>
      <c r="AL112" s="53"/>
      <c r="AM112" s="45"/>
      <c r="AN112" s="53"/>
      <c r="AO112" s="53"/>
      <c r="AP112" s="53"/>
      <c r="AQ112" s="53"/>
      <c r="AR112" s="53"/>
      <c r="AS112" s="53"/>
      <c r="AT112" s="45">
        <f t="shared" si="38"/>
        <v>0</v>
      </c>
      <c r="AU112" s="45"/>
      <c r="AV112" s="53">
        <v>0</v>
      </c>
      <c r="AW112" s="53"/>
      <c r="AX112" s="53">
        <v>0</v>
      </c>
      <c r="AY112" s="53"/>
      <c r="AZ112" s="53">
        <f t="shared" si="39"/>
        <v>0</v>
      </c>
      <c r="BA112" s="124"/>
      <c r="BB112" s="126" t="s">
        <v>133</v>
      </c>
      <c r="BD112" s="126" t="s">
        <v>27</v>
      </c>
      <c r="BE112" s="137"/>
      <c r="BF112" s="53"/>
      <c r="BG112" s="53"/>
      <c r="BH112" s="53"/>
      <c r="BI112" s="53"/>
      <c r="BJ112" s="53"/>
      <c r="BK112" s="53"/>
      <c r="BL112" s="53"/>
      <c r="BM112" s="137"/>
      <c r="BN112" s="137">
        <f t="shared" si="34"/>
        <v>0</v>
      </c>
      <c r="BO112" s="139"/>
      <c r="BS112" s="140"/>
      <c r="BT112" s="140"/>
      <c r="BU112" s="141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</row>
    <row r="113" spans="1:95" s="35" customFormat="1" ht="12.75" customHeight="1" x14ac:dyDescent="0.2">
      <c r="A113" s="35" t="s">
        <v>477</v>
      </c>
      <c r="B113" s="51"/>
      <c r="C113" s="35" t="s">
        <v>45</v>
      </c>
      <c r="D113" s="44"/>
      <c r="E113" s="53">
        <f t="shared" si="35"/>
        <v>4333324</v>
      </c>
      <c r="F113" s="53"/>
      <c r="G113" s="53">
        <v>13628275</v>
      </c>
      <c r="H113" s="53"/>
      <c r="I113" s="53">
        <v>17961599</v>
      </c>
      <c r="J113" s="53"/>
      <c r="K113" s="53">
        <f t="shared" si="36"/>
        <v>779145</v>
      </c>
      <c r="L113" s="53"/>
      <c r="M113" s="53">
        <v>3694076</v>
      </c>
      <c r="N113" s="53"/>
      <c r="O113" s="53">
        <v>4473221</v>
      </c>
      <c r="P113" s="53"/>
      <c r="Q113" s="53">
        <v>9863450</v>
      </c>
      <c r="R113" s="53"/>
      <c r="S113" s="53">
        <v>0</v>
      </c>
      <c r="T113" s="53"/>
      <c r="U113" s="53">
        <v>3624928</v>
      </c>
      <c r="V113" s="53"/>
      <c r="W113" s="53">
        <f t="shared" si="40"/>
        <v>13488378</v>
      </c>
      <c r="X113" s="51"/>
      <c r="Y113" s="51"/>
      <c r="Z113" s="35" t="s">
        <v>477</v>
      </c>
      <c r="AA113" s="53"/>
      <c r="AB113" s="35" t="s">
        <v>45</v>
      </c>
      <c r="AC113" s="51"/>
      <c r="AD113" s="53">
        <v>4610379</v>
      </c>
      <c r="AE113" s="53"/>
      <c r="AF113" s="53">
        <f>3700675-433000</f>
        <v>3267675</v>
      </c>
      <c r="AG113" s="53"/>
      <c r="AH113" s="53">
        <v>433000</v>
      </c>
      <c r="AI113" s="53"/>
      <c r="AJ113" s="45">
        <f t="shared" si="37"/>
        <v>909704</v>
      </c>
      <c r="AK113" s="45"/>
      <c r="AL113" s="53">
        <v>-67950</v>
      </c>
      <c r="AM113" s="45"/>
      <c r="AN113" s="53">
        <v>0</v>
      </c>
      <c r="AO113" s="53"/>
      <c r="AP113" s="53">
        <v>0</v>
      </c>
      <c r="AQ113" s="53"/>
      <c r="AR113" s="53">
        <v>0</v>
      </c>
      <c r="AS113" s="53"/>
      <c r="AT113" s="45">
        <f t="shared" si="38"/>
        <v>841754</v>
      </c>
      <c r="AU113" s="45"/>
      <c r="AV113" s="53">
        <v>0</v>
      </c>
      <c r="AW113" s="53"/>
      <c r="AX113" s="53">
        <v>0</v>
      </c>
      <c r="AY113" s="53"/>
      <c r="AZ113" s="53">
        <f t="shared" si="39"/>
        <v>3554179</v>
      </c>
      <c r="BA113" s="51"/>
      <c r="BB113" s="35" t="s">
        <v>477</v>
      </c>
      <c r="BD113" s="35" t="s">
        <v>45</v>
      </c>
      <c r="BE113" s="53"/>
      <c r="BF113" s="53">
        <f>3508165+256660</f>
        <v>3764825</v>
      </c>
      <c r="BG113" s="53"/>
      <c r="BH113" s="53">
        <v>0</v>
      </c>
      <c r="BI113" s="53"/>
      <c r="BJ113" s="53">
        <v>0</v>
      </c>
      <c r="BK113" s="53"/>
      <c r="BL113" s="53">
        <f>185911+36275</f>
        <v>222186</v>
      </c>
      <c r="BM113" s="53"/>
      <c r="BN113" s="53">
        <f t="shared" si="34"/>
        <v>3987011</v>
      </c>
      <c r="BO113" s="54"/>
      <c r="BS113" s="55"/>
      <c r="BT113" s="55"/>
      <c r="BU113" s="84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</row>
    <row r="114" spans="1:95" s="35" customFormat="1" ht="12.75" customHeight="1" x14ac:dyDescent="0.2">
      <c r="A114" s="35" t="s">
        <v>134</v>
      </c>
      <c r="B114" s="55"/>
      <c r="C114" s="35" t="s">
        <v>135</v>
      </c>
      <c r="D114" s="44"/>
      <c r="E114" s="53">
        <f t="shared" si="35"/>
        <v>313255</v>
      </c>
      <c r="F114" s="53"/>
      <c r="G114" s="53">
        <f>481030+5634730</f>
        <v>6115760</v>
      </c>
      <c r="H114" s="53"/>
      <c r="I114" s="53">
        <v>6429015</v>
      </c>
      <c r="J114" s="53"/>
      <c r="K114" s="53">
        <f t="shared" si="36"/>
        <v>780775</v>
      </c>
      <c r="L114" s="53"/>
      <c r="M114" s="53">
        <f>26500+1103000+7815+2443927+255000</f>
        <v>3836242</v>
      </c>
      <c r="N114" s="53"/>
      <c r="O114" s="53">
        <v>4617017</v>
      </c>
      <c r="P114" s="53"/>
      <c r="Q114" s="53">
        <v>2128010</v>
      </c>
      <c r="R114" s="53"/>
      <c r="S114" s="53">
        <v>0</v>
      </c>
      <c r="T114" s="53"/>
      <c r="U114" s="53">
        <v>-316012</v>
      </c>
      <c r="V114" s="53"/>
      <c r="W114" s="53">
        <f t="shared" si="40"/>
        <v>1811998</v>
      </c>
      <c r="X114" s="51"/>
      <c r="Y114" s="51"/>
      <c r="Z114" s="35" t="s">
        <v>134</v>
      </c>
      <c r="AA114" s="55"/>
      <c r="AB114" s="35" t="s">
        <v>135</v>
      </c>
      <c r="AC114" s="51"/>
      <c r="AD114" s="53">
        <v>1674549</v>
      </c>
      <c r="AE114" s="53"/>
      <c r="AF114" s="53">
        <v>2475789</v>
      </c>
      <c r="AG114" s="53"/>
      <c r="AH114" s="53">
        <v>0</v>
      </c>
      <c r="AI114" s="53"/>
      <c r="AJ114" s="45">
        <f t="shared" si="37"/>
        <v>-801240</v>
      </c>
      <c r="AK114" s="45"/>
      <c r="AL114" s="53">
        <v>-122606</v>
      </c>
      <c r="AM114" s="45"/>
      <c r="AN114" s="53">
        <v>50000</v>
      </c>
      <c r="AO114" s="53"/>
      <c r="AP114" s="53">
        <v>0</v>
      </c>
      <c r="AQ114" s="53"/>
      <c r="AR114" s="53">
        <v>397224</v>
      </c>
      <c r="AS114" s="53"/>
      <c r="AT114" s="45">
        <f t="shared" si="38"/>
        <v>-476622</v>
      </c>
      <c r="AU114" s="45"/>
      <c r="AV114" s="53"/>
      <c r="AW114" s="53"/>
      <c r="AX114" s="53"/>
      <c r="AY114" s="53"/>
      <c r="AZ114" s="53">
        <f t="shared" si="39"/>
        <v>-467520</v>
      </c>
      <c r="BA114" s="51"/>
      <c r="BB114" s="35" t="s">
        <v>134</v>
      </c>
      <c r="BC114" s="55"/>
      <c r="BD114" s="35" t="s">
        <v>135</v>
      </c>
      <c r="BE114" s="53"/>
      <c r="BF114" s="53">
        <f>1103000+73000</f>
        <v>1176000</v>
      </c>
      <c r="BG114" s="53"/>
      <c r="BH114" s="53">
        <v>0</v>
      </c>
      <c r="BI114" s="53"/>
      <c r="BJ114" s="53">
        <f>7815+2443927+255000+275099+15000</f>
        <v>2996841</v>
      </c>
      <c r="BK114" s="53"/>
      <c r="BL114" s="53">
        <f>26500+35180</f>
        <v>61680</v>
      </c>
      <c r="BM114" s="53"/>
      <c r="BN114" s="53">
        <f t="shared" si="34"/>
        <v>4234521</v>
      </c>
      <c r="BO114" s="54"/>
      <c r="BS114" s="55"/>
      <c r="BT114" s="55"/>
      <c r="BU114" s="84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</row>
    <row r="115" spans="1:95" s="35" customFormat="1" ht="12.75" customHeight="1" x14ac:dyDescent="0.2">
      <c r="A115" s="35" t="s">
        <v>136</v>
      </c>
      <c r="B115" s="51"/>
      <c r="C115" s="35" t="s">
        <v>136</v>
      </c>
      <c r="D115" s="44"/>
      <c r="E115" s="53">
        <f t="shared" si="35"/>
        <v>2585800</v>
      </c>
      <c r="F115" s="53"/>
      <c r="G115" s="53">
        <v>6594483</v>
      </c>
      <c r="H115" s="53"/>
      <c r="I115" s="53">
        <v>9180283</v>
      </c>
      <c r="J115" s="53"/>
      <c r="K115" s="53">
        <f t="shared" si="36"/>
        <v>415179</v>
      </c>
      <c r="L115" s="53"/>
      <c r="M115" s="53">
        <v>2973329</v>
      </c>
      <c r="N115" s="53"/>
      <c r="O115" s="53">
        <v>3388508</v>
      </c>
      <c r="P115" s="53"/>
      <c r="Q115" s="53">
        <v>3426768</v>
      </c>
      <c r="R115" s="53"/>
      <c r="S115" s="53">
        <v>0</v>
      </c>
      <c r="T115" s="53"/>
      <c r="U115" s="53">
        <v>2365007</v>
      </c>
      <c r="V115" s="53"/>
      <c r="W115" s="53">
        <f t="shared" si="40"/>
        <v>5791775</v>
      </c>
      <c r="X115" s="51"/>
      <c r="Y115" s="51"/>
      <c r="Z115" s="35" t="s">
        <v>136</v>
      </c>
      <c r="AA115" s="53"/>
      <c r="AB115" s="35" t="s">
        <v>136</v>
      </c>
      <c r="AC115" s="51"/>
      <c r="AD115" s="53">
        <v>2248037</v>
      </c>
      <c r="AE115" s="53"/>
      <c r="AF115" s="53">
        <f>1827028-241550</f>
        <v>1585478</v>
      </c>
      <c r="AG115" s="53"/>
      <c r="AH115" s="53">
        <v>241550</v>
      </c>
      <c r="AI115" s="53"/>
      <c r="AJ115" s="45">
        <f t="shared" si="37"/>
        <v>421009</v>
      </c>
      <c r="AK115" s="45"/>
      <c r="AL115" s="53">
        <v>-85035</v>
      </c>
      <c r="AM115" s="45"/>
      <c r="AN115" s="53">
        <v>0</v>
      </c>
      <c r="AO115" s="53"/>
      <c r="AP115" s="53">
        <v>0</v>
      </c>
      <c r="AQ115" s="53"/>
      <c r="AR115" s="53">
        <v>0</v>
      </c>
      <c r="AS115" s="53"/>
      <c r="AT115" s="45">
        <f t="shared" si="38"/>
        <v>335974</v>
      </c>
      <c r="AU115" s="45"/>
      <c r="AV115" s="53">
        <v>0</v>
      </c>
      <c r="AW115" s="53"/>
      <c r="AX115" s="53">
        <v>0</v>
      </c>
      <c r="AY115" s="53"/>
      <c r="AZ115" s="53">
        <f t="shared" si="39"/>
        <v>2170621</v>
      </c>
      <c r="BA115" s="51"/>
      <c r="BB115" s="35" t="s">
        <v>136</v>
      </c>
      <c r="BD115" s="35" t="s">
        <v>136</v>
      </c>
      <c r="BE115" s="53"/>
      <c r="BF115" s="53">
        <v>0</v>
      </c>
      <c r="BG115" s="53"/>
      <c r="BH115" s="53">
        <v>1584140</v>
      </c>
      <c r="BI115" s="53"/>
      <c r="BJ115" s="53">
        <f>1164861+74702</f>
        <v>1239563</v>
      </c>
      <c r="BK115" s="53"/>
      <c r="BL115" s="53">
        <f>149958+74370+19054+35083</f>
        <v>278465</v>
      </c>
      <c r="BM115" s="53"/>
      <c r="BN115" s="53">
        <f t="shared" si="34"/>
        <v>3102168</v>
      </c>
      <c r="BO115" s="54"/>
      <c r="BS115" s="55"/>
      <c r="BT115" s="55"/>
      <c r="BU115" s="84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</row>
    <row r="116" spans="1:95" s="35" customFormat="1" ht="12.75" customHeight="1" x14ac:dyDescent="0.2">
      <c r="A116" s="35" t="s">
        <v>137</v>
      </c>
      <c r="B116" s="65"/>
      <c r="C116" s="35" t="s">
        <v>22</v>
      </c>
      <c r="D116" s="44"/>
      <c r="E116" s="53">
        <f t="shared" si="35"/>
        <v>3460426</v>
      </c>
      <c r="F116" s="53"/>
      <c r="G116" s="53">
        <v>14740052</v>
      </c>
      <c r="H116" s="53"/>
      <c r="I116" s="53">
        <v>18200478</v>
      </c>
      <c r="J116" s="53"/>
      <c r="K116" s="53">
        <f t="shared" si="36"/>
        <v>759309</v>
      </c>
      <c r="L116" s="53"/>
      <c r="M116" s="53">
        <v>521006</v>
      </c>
      <c r="N116" s="53"/>
      <c r="O116" s="53">
        <v>1280315</v>
      </c>
      <c r="P116" s="53"/>
      <c r="Q116" s="53">
        <v>14188574</v>
      </c>
      <c r="R116" s="53"/>
      <c r="S116" s="53">
        <v>0</v>
      </c>
      <c r="T116" s="53"/>
      <c r="U116" s="53">
        <v>2731589</v>
      </c>
      <c r="V116" s="53"/>
      <c r="W116" s="53">
        <f t="shared" si="40"/>
        <v>16920163</v>
      </c>
      <c r="X116" s="65"/>
      <c r="Y116" s="65"/>
      <c r="Z116" s="35" t="s">
        <v>137</v>
      </c>
      <c r="AA116" s="53"/>
      <c r="AB116" s="35" t="s">
        <v>22</v>
      </c>
      <c r="AC116" s="65"/>
      <c r="AD116" s="53">
        <v>2844878</v>
      </c>
      <c r="AE116" s="53"/>
      <c r="AF116" s="53">
        <f>3114416-525806</f>
        <v>2588610</v>
      </c>
      <c r="AG116" s="53"/>
      <c r="AH116" s="53">
        <v>525806</v>
      </c>
      <c r="AI116" s="53"/>
      <c r="AJ116" s="45">
        <f t="shared" si="37"/>
        <v>-269538</v>
      </c>
      <c r="AK116" s="45"/>
      <c r="AL116" s="53">
        <v>-4600</v>
      </c>
      <c r="AM116" s="45"/>
      <c r="AN116" s="53">
        <v>0</v>
      </c>
      <c r="AO116" s="53"/>
      <c r="AP116" s="53">
        <v>0</v>
      </c>
      <c r="AQ116" s="53"/>
      <c r="AR116" s="53">
        <f>104204+30091</f>
        <v>134295</v>
      </c>
      <c r="AS116" s="53"/>
      <c r="AT116" s="45">
        <f t="shared" si="38"/>
        <v>-139843</v>
      </c>
      <c r="AU116" s="45"/>
      <c r="AV116" s="53">
        <v>0</v>
      </c>
      <c r="AW116" s="53"/>
      <c r="AX116" s="53">
        <v>0</v>
      </c>
      <c r="AY116" s="53"/>
      <c r="AZ116" s="53">
        <f t="shared" si="39"/>
        <v>2701117</v>
      </c>
      <c r="BA116" s="65"/>
      <c r="BB116" s="35" t="s">
        <v>137</v>
      </c>
      <c r="BD116" s="35" t="s">
        <v>22</v>
      </c>
      <c r="BE116" s="53"/>
      <c r="BF116" s="53">
        <v>0</v>
      </c>
      <c r="BG116" s="53"/>
      <c r="BH116" s="53">
        <v>0</v>
      </c>
      <c r="BI116" s="53"/>
      <c r="BJ116" s="53">
        <f>516766+34712</f>
        <v>551478</v>
      </c>
      <c r="BK116" s="53"/>
      <c r="BL116" s="53">
        <f>4240+74683</f>
        <v>78923</v>
      </c>
      <c r="BM116" s="53"/>
      <c r="BN116" s="53">
        <f t="shared" si="34"/>
        <v>630401</v>
      </c>
      <c r="BO116" s="54"/>
      <c r="BS116" s="55"/>
      <c r="BT116" s="55"/>
      <c r="BU116" s="84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</row>
    <row r="117" spans="1:95" s="126" customFormat="1" ht="12" hidden="1" customHeight="1" x14ac:dyDescent="0.2">
      <c r="A117" s="126" t="s">
        <v>138</v>
      </c>
      <c r="B117" s="124"/>
      <c r="C117" s="126" t="s">
        <v>139</v>
      </c>
      <c r="D117" s="121"/>
      <c r="E117" s="53">
        <f t="shared" si="35"/>
        <v>0</v>
      </c>
      <c r="F117" s="53"/>
      <c r="G117" s="53"/>
      <c r="H117" s="53"/>
      <c r="I117" s="53"/>
      <c r="J117" s="53"/>
      <c r="K117" s="53">
        <f t="shared" si="36"/>
        <v>0</v>
      </c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>
        <f t="shared" si="40"/>
        <v>0</v>
      </c>
      <c r="X117" s="124"/>
      <c r="Y117" s="124"/>
      <c r="Z117" s="126" t="s">
        <v>138</v>
      </c>
      <c r="AA117" s="137"/>
      <c r="AB117" s="126" t="s">
        <v>139</v>
      </c>
      <c r="AC117" s="124"/>
      <c r="AD117" s="53"/>
      <c r="AE117" s="53"/>
      <c r="AF117" s="53"/>
      <c r="AG117" s="53"/>
      <c r="AH117" s="53"/>
      <c r="AI117" s="53"/>
      <c r="AJ117" s="45">
        <f t="shared" si="37"/>
        <v>0</v>
      </c>
      <c r="AK117" s="45"/>
      <c r="AL117" s="53"/>
      <c r="AM117" s="45"/>
      <c r="AN117" s="53"/>
      <c r="AO117" s="53"/>
      <c r="AP117" s="53"/>
      <c r="AQ117" s="53"/>
      <c r="AR117" s="53"/>
      <c r="AS117" s="53"/>
      <c r="AT117" s="45">
        <f t="shared" si="38"/>
        <v>0</v>
      </c>
      <c r="AU117" s="45"/>
      <c r="AV117" s="53">
        <v>0</v>
      </c>
      <c r="AW117" s="53"/>
      <c r="AX117" s="53">
        <v>0</v>
      </c>
      <c r="AY117" s="53"/>
      <c r="AZ117" s="53">
        <f t="shared" si="39"/>
        <v>0</v>
      </c>
      <c r="BA117" s="124"/>
      <c r="BB117" s="126" t="s">
        <v>138</v>
      </c>
      <c r="BD117" s="126" t="s">
        <v>139</v>
      </c>
      <c r="BE117" s="137"/>
      <c r="BF117" s="53"/>
      <c r="BG117" s="53"/>
      <c r="BH117" s="53"/>
      <c r="BI117" s="53"/>
      <c r="BJ117" s="53"/>
      <c r="BK117" s="53"/>
      <c r="BL117" s="53"/>
      <c r="BM117" s="137"/>
      <c r="BN117" s="137">
        <f t="shared" si="34"/>
        <v>0</v>
      </c>
      <c r="BO117" s="139"/>
      <c r="BS117" s="140"/>
      <c r="BT117" s="140"/>
      <c r="BU117" s="141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</row>
    <row r="118" spans="1:95" s="126" customFormat="1" ht="12.75" hidden="1" customHeight="1" x14ac:dyDescent="0.2">
      <c r="A118" s="126" t="s">
        <v>140</v>
      </c>
      <c r="B118" s="124"/>
      <c r="C118" s="126" t="s">
        <v>66</v>
      </c>
      <c r="D118" s="121"/>
      <c r="E118" s="53">
        <f t="shared" si="35"/>
        <v>0</v>
      </c>
      <c r="F118" s="53"/>
      <c r="G118" s="53"/>
      <c r="H118" s="53"/>
      <c r="I118" s="53"/>
      <c r="J118" s="53"/>
      <c r="K118" s="53">
        <f t="shared" si="36"/>
        <v>0</v>
      </c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>
        <f t="shared" si="40"/>
        <v>0</v>
      </c>
      <c r="X118" s="124"/>
      <c r="Y118" s="124"/>
      <c r="Z118" s="126" t="s">
        <v>140</v>
      </c>
      <c r="AA118" s="137"/>
      <c r="AB118" s="126" t="s">
        <v>66</v>
      </c>
      <c r="AC118" s="124"/>
      <c r="AD118" s="53"/>
      <c r="AE118" s="53"/>
      <c r="AF118" s="53"/>
      <c r="AG118" s="53"/>
      <c r="AH118" s="53"/>
      <c r="AI118" s="53"/>
      <c r="AJ118" s="45">
        <f t="shared" si="37"/>
        <v>0</v>
      </c>
      <c r="AK118" s="45"/>
      <c r="AL118" s="53"/>
      <c r="AM118" s="45"/>
      <c r="AN118" s="53"/>
      <c r="AO118" s="53"/>
      <c r="AP118" s="53"/>
      <c r="AQ118" s="53"/>
      <c r="AR118" s="53"/>
      <c r="AS118" s="53"/>
      <c r="AT118" s="45">
        <f t="shared" si="38"/>
        <v>0</v>
      </c>
      <c r="AU118" s="45"/>
      <c r="AV118" s="53">
        <v>0</v>
      </c>
      <c r="AW118" s="53"/>
      <c r="AX118" s="53">
        <v>0</v>
      </c>
      <c r="AY118" s="53"/>
      <c r="AZ118" s="53">
        <f t="shared" si="39"/>
        <v>0</v>
      </c>
      <c r="BA118" s="124"/>
      <c r="BB118" s="126" t="s">
        <v>140</v>
      </c>
      <c r="BD118" s="126" t="s">
        <v>66</v>
      </c>
      <c r="BE118" s="137"/>
      <c r="BF118" s="53"/>
      <c r="BG118" s="53"/>
      <c r="BH118" s="53"/>
      <c r="BI118" s="53"/>
      <c r="BJ118" s="53"/>
      <c r="BK118" s="53"/>
      <c r="BL118" s="53"/>
      <c r="BM118" s="137"/>
      <c r="BN118" s="137">
        <f t="shared" si="34"/>
        <v>0</v>
      </c>
      <c r="BO118" s="139"/>
      <c r="BS118" s="140"/>
      <c r="BT118" s="140"/>
      <c r="BU118" s="141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</row>
    <row r="119" spans="1:95" s="35" customFormat="1" ht="12.75" hidden="1" customHeight="1" x14ac:dyDescent="0.2">
      <c r="A119" s="35" t="s">
        <v>478</v>
      </c>
      <c r="B119" s="51"/>
      <c r="C119" s="35" t="s">
        <v>92</v>
      </c>
      <c r="D119" s="44"/>
      <c r="E119" s="53">
        <f t="shared" si="35"/>
        <v>0</v>
      </c>
      <c r="F119" s="53"/>
      <c r="G119" s="53"/>
      <c r="H119" s="53"/>
      <c r="I119" s="53"/>
      <c r="J119" s="53"/>
      <c r="K119" s="53">
        <f t="shared" si="36"/>
        <v>0</v>
      </c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>
        <f t="shared" si="40"/>
        <v>0</v>
      </c>
      <c r="X119" s="51"/>
      <c r="Y119" s="51"/>
      <c r="Z119" s="35" t="s">
        <v>478</v>
      </c>
      <c r="AA119" s="53"/>
      <c r="AB119" s="35" t="s">
        <v>92</v>
      </c>
      <c r="AC119" s="51"/>
      <c r="AD119" s="53"/>
      <c r="AE119" s="53"/>
      <c r="AF119" s="53"/>
      <c r="AG119" s="53"/>
      <c r="AH119" s="53"/>
      <c r="AI119" s="53"/>
      <c r="AJ119" s="45">
        <f t="shared" si="37"/>
        <v>0</v>
      </c>
      <c r="AK119" s="45"/>
      <c r="AL119" s="53"/>
      <c r="AM119" s="45"/>
      <c r="AN119" s="53"/>
      <c r="AO119" s="53"/>
      <c r="AP119" s="53"/>
      <c r="AQ119" s="53"/>
      <c r="AR119" s="53"/>
      <c r="AS119" s="53"/>
      <c r="AT119" s="45">
        <f t="shared" si="38"/>
        <v>0</v>
      </c>
      <c r="AU119" s="45"/>
      <c r="AV119" s="53">
        <v>0</v>
      </c>
      <c r="AW119" s="53"/>
      <c r="AX119" s="53">
        <v>0</v>
      </c>
      <c r="AY119" s="53"/>
      <c r="AZ119" s="53">
        <f t="shared" si="39"/>
        <v>0</v>
      </c>
      <c r="BA119" s="51"/>
      <c r="BB119" s="35" t="s">
        <v>480</v>
      </c>
      <c r="BD119" s="35" t="s">
        <v>92</v>
      </c>
      <c r="BE119" s="53"/>
      <c r="BF119" s="53"/>
      <c r="BG119" s="53"/>
      <c r="BH119" s="53"/>
      <c r="BI119" s="53"/>
      <c r="BJ119" s="53"/>
      <c r="BK119" s="53"/>
      <c r="BL119" s="53"/>
      <c r="BM119" s="53"/>
      <c r="BN119" s="53">
        <f>SUM(BF119:BL119)</f>
        <v>0</v>
      </c>
      <c r="BO119" s="54"/>
      <c r="BS119" s="55"/>
      <c r="BT119" s="55"/>
      <c r="BU119" s="84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</row>
    <row r="120" spans="1:95" s="64" customFormat="1" ht="12.75" customHeight="1" x14ac:dyDescent="0.2">
      <c r="A120" s="35" t="s">
        <v>141</v>
      </c>
      <c r="B120" s="35"/>
      <c r="C120" s="35" t="s">
        <v>27</v>
      </c>
      <c r="D120" s="44"/>
      <c r="E120" s="53">
        <f t="shared" si="35"/>
        <v>6628788</v>
      </c>
      <c r="F120" s="53"/>
      <c r="G120" s="53">
        <v>41074260</v>
      </c>
      <c r="H120" s="53"/>
      <c r="I120" s="53">
        <v>47703048</v>
      </c>
      <c r="J120" s="53"/>
      <c r="K120" s="53">
        <f t="shared" si="36"/>
        <v>1866290</v>
      </c>
      <c r="L120" s="53"/>
      <c r="M120" s="53">
        <v>13949577</v>
      </c>
      <c r="N120" s="53"/>
      <c r="O120" s="53">
        <v>15815867</v>
      </c>
      <c r="P120" s="53"/>
      <c r="Q120" s="53">
        <v>25445783</v>
      </c>
      <c r="R120" s="53"/>
      <c r="S120" s="53">
        <f>550673+195493</f>
        <v>746166</v>
      </c>
      <c r="T120" s="53"/>
      <c r="U120" s="53">
        <v>5695232</v>
      </c>
      <c r="V120" s="53"/>
      <c r="W120" s="53">
        <f t="shared" si="40"/>
        <v>31887181</v>
      </c>
      <c r="X120" s="51"/>
      <c r="Y120" s="51"/>
      <c r="Z120" s="35" t="s">
        <v>141</v>
      </c>
      <c r="AA120" s="53"/>
      <c r="AB120" s="35" t="s">
        <v>27</v>
      </c>
      <c r="AC120" s="35"/>
      <c r="AD120" s="53">
        <v>10692405</v>
      </c>
      <c r="AE120" s="53"/>
      <c r="AF120" s="53">
        <f>9036142-907711</f>
        <v>8128431</v>
      </c>
      <c r="AG120" s="53"/>
      <c r="AH120" s="53">
        <v>907711</v>
      </c>
      <c r="AI120" s="53"/>
      <c r="AJ120" s="45">
        <f t="shared" si="37"/>
        <v>1656263</v>
      </c>
      <c r="AK120" s="45"/>
      <c r="AL120" s="53">
        <v>-533402</v>
      </c>
      <c r="AM120" s="45"/>
      <c r="AN120" s="53">
        <v>0</v>
      </c>
      <c r="AO120" s="53"/>
      <c r="AP120" s="53">
        <v>15252</v>
      </c>
      <c r="AQ120" s="53"/>
      <c r="AR120" s="53">
        <v>0</v>
      </c>
      <c r="AS120" s="53"/>
      <c r="AT120" s="45">
        <f t="shared" si="38"/>
        <v>1107609</v>
      </c>
      <c r="AU120" s="45"/>
      <c r="AV120" s="53">
        <v>0</v>
      </c>
      <c r="AW120" s="53"/>
      <c r="AX120" s="53">
        <v>0</v>
      </c>
      <c r="AY120" s="53"/>
      <c r="AZ120" s="53">
        <f t="shared" si="39"/>
        <v>4762498</v>
      </c>
      <c r="BA120" s="51"/>
      <c r="BB120" s="35" t="s">
        <v>141</v>
      </c>
      <c r="BC120" s="35"/>
      <c r="BD120" s="35" t="s">
        <v>27</v>
      </c>
      <c r="BE120" s="53"/>
      <c r="BF120" s="53">
        <f>10521142+465464</f>
        <v>10986606</v>
      </c>
      <c r="BG120" s="53"/>
      <c r="BH120" s="53">
        <v>0</v>
      </c>
      <c r="BI120" s="53"/>
      <c r="BJ120" s="53">
        <f>2789216+313229</f>
        <v>3102445</v>
      </c>
      <c r="BK120" s="53"/>
      <c r="BL120" s="53">
        <f>576580+62639+62785+57317</f>
        <v>759321</v>
      </c>
      <c r="BM120" s="53"/>
      <c r="BN120" s="53">
        <f t="shared" si="34"/>
        <v>14848372</v>
      </c>
      <c r="BO120" s="91"/>
      <c r="BS120" s="90"/>
      <c r="BT120" s="90"/>
      <c r="BU120" s="95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</row>
    <row r="121" spans="1:95" s="35" customFormat="1" ht="12.75" customHeight="1" x14ac:dyDescent="0.2">
      <c r="A121" s="35" t="s">
        <v>142</v>
      </c>
      <c r="B121" s="51"/>
      <c r="C121" s="35" t="s">
        <v>102</v>
      </c>
      <c r="D121" s="44"/>
      <c r="E121" s="53">
        <f t="shared" si="35"/>
        <v>8385555</v>
      </c>
      <c r="F121" s="53"/>
      <c r="G121" s="53">
        <v>35877274</v>
      </c>
      <c r="H121" s="53"/>
      <c r="I121" s="53">
        <v>44262829</v>
      </c>
      <c r="J121" s="53"/>
      <c r="K121" s="53">
        <f t="shared" si="36"/>
        <v>2365887</v>
      </c>
      <c r="L121" s="53"/>
      <c r="M121" s="53">
        <v>23467773</v>
      </c>
      <c r="N121" s="53"/>
      <c r="O121" s="53">
        <v>25833660</v>
      </c>
      <c r="P121" s="53"/>
      <c r="Q121" s="53">
        <v>10624550</v>
      </c>
      <c r="R121" s="53"/>
      <c r="S121" s="53">
        <v>613320</v>
      </c>
      <c r="T121" s="53"/>
      <c r="U121" s="53">
        <v>7191299</v>
      </c>
      <c r="V121" s="53"/>
      <c r="W121" s="53">
        <f t="shared" si="40"/>
        <v>18429169</v>
      </c>
      <c r="X121" s="51"/>
      <c r="Y121" s="51"/>
      <c r="Z121" s="35" t="s">
        <v>142</v>
      </c>
      <c r="AA121" s="53"/>
      <c r="AB121" s="35" t="s">
        <v>102</v>
      </c>
      <c r="AC121" s="51"/>
      <c r="AD121" s="53">
        <v>7917801</v>
      </c>
      <c r="AE121" s="53"/>
      <c r="AF121" s="53">
        <f>7899084-2102560</f>
        <v>5796524</v>
      </c>
      <c r="AG121" s="53"/>
      <c r="AH121" s="53">
        <v>2102560</v>
      </c>
      <c r="AI121" s="53"/>
      <c r="AJ121" s="45">
        <f t="shared" si="37"/>
        <v>18717</v>
      </c>
      <c r="AK121" s="45"/>
      <c r="AL121" s="53">
        <v>-985196</v>
      </c>
      <c r="AM121" s="45"/>
      <c r="AN121" s="53">
        <v>0</v>
      </c>
      <c r="AO121" s="53"/>
      <c r="AP121" s="53">
        <v>0</v>
      </c>
      <c r="AQ121" s="53"/>
      <c r="AR121" s="53">
        <v>0</v>
      </c>
      <c r="AS121" s="53"/>
      <c r="AT121" s="45">
        <f t="shared" si="38"/>
        <v>-966479</v>
      </c>
      <c r="AU121" s="45"/>
      <c r="AV121" s="53">
        <v>0</v>
      </c>
      <c r="AW121" s="53"/>
      <c r="AX121" s="53">
        <v>0</v>
      </c>
      <c r="AY121" s="53"/>
      <c r="AZ121" s="53">
        <f t="shared" si="39"/>
        <v>6019668</v>
      </c>
      <c r="BA121" s="51"/>
      <c r="BB121" s="35" t="s">
        <v>142</v>
      </c>
      <c r="BD121" s="35" t="s">
        <v>102</v>
      </c>
      <c r="BE121" s="53"/>
      <c r="BF121" s="53">
        <v>0</v>
      </c>
      <c r="BG121" s="53"/>
      <c r="BH121" s="53">
        <f>6526970+245000</f>
        <v>6771970</v>
      </c>
      <c r="BI121" s="53"/>
      <c r="BJ121" s="53">
        <f>16392521+1272915</f>
        <v>17665436</v>
      </c>
      <c r="BK121" s="53"/>
      <c r="BL121" s="53">
        <f>4567+543715+171361+7316</f>
        <v>726959</v>
      </c>
      <c r="BM121" s="53"/>
      <c r="BN121" s="53">
        <f t="shared" si="34"/>
        <v>25164365</v>
      </c>
      <c r="BO121" s="54"/>
      <c r="BS121" s="55"/>
      <c r="BT121" s="55"/>
      <c r="BU121" s="84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</row>
    <row r="122" spans="1:95" s="35" customFormat="1" ht="12.75" customHeight="1" x14ac:dyDescent="0.2">
      <c r="A122" s="35" t="s">
        <v>143</v>
      </c>
      <c r="B122" s="51"/>
      <c r="C122" s="35" t="s">
        <v>111</v>
      </c>
      <c r="D122" s="44"/>
      <c r="E122" s="53">
        <f t="shared" si="35"/>
        <v>6417953</v>
      </c>
      <c r="F122" s="53"/>
      <c r="G122" s="53">
        <v>31030545</v>
      </c>
      <c r="H122" s="53"/>
      <c r="I122" s="53">
        <v>37448498</v>
      </c>
      <c r="J122" s="53"/>
      <c r="K122" s="53">
        <f t="shared" si="36"/>
        <v>679339</v>
      </c>
      <c r="L122" s="53"/>
      <c r="M122" s="53">
        <v>13084495</v>
      </c>
      <c r="N122" s="53"/>
      <c r="O122" s="53">
        <v>13763834</v>
      </c>
      <c r="P122" s="53"/>
      <c r="Q122" s="53">
        <v>17041256</v>
      </c>
      <c r="R122" s="53"/>
      <c r="S122" s="53">
        <f>200000+606850</f>
        <v>806850</v>
      </c>
      <c r="T122" s="53"/>
      <c r="U122" s="53">
        <v>5836558</v>
      </c>
      <c r="V122" s="53"/>
      <c r="W122" s="53">
        <f t="shared" si="40"/>
        <v>23684664</v>
      </c>
      <c r="X122" s="51"/>
      <c r="Y122" s="51"/>
      <c r="Z122" s="35" t="s">
        <v>143</v>
      </c>
      <c r="AA122" s="53"/>
      <c r="AB122" s="35" t="s">
        <v>111</v>
      </c>
      <c r="AC122" s="51"/>
      <c r="AD122" s="53">
        <v>2806897</v>
      </c>
      <c r="AE122" s="53"/>
      <c r="AF122" s="53">
        <f>2698682-871165</f>
        <v>1827517</v>
      </c>
      <c r="AG122" s="53"/>
      <c r="AH122" s="53">
        <v>871165</v>
      </c>
      <c r="AI122" s="53"/>
      <c r="AJ122" s="45">
        <f t="shared" si="37"/>
        <v>108215</v>
      </c>
      <c r="AK122" s="45"/>
      <c r="AL122" s="53">
        <v>-405755</v>
      </c>
      <c r="AM122" s="45"/>
      <c r="AN122" s="53">
        <v>0</v>
      </c>
      <c r="AO122" s="53"/>
      <c r="AP122" s="53">
        <v>0</v>
      </c>
      <c r="AQ122" s="53"/>
      <c r="AR122" s="53">
        <v>8742</v>
      </c>
      <c r="AS122" s="53"/>
      <c r="AT122" s="45">
        <f t="shared" si="38"/>
        <v>-288798</v>
      </c>
      <c r="AU122" s="45"/>
      <c r="AV122" s="53">
        <v>0</v>
      </c>
      <c r="AW122" s="53"/>
      <c r="AX122" s="53">
        <v>0</v>
      </c>
      <c r="AY122" s="53"/>
      <c r="AZ122" s="53">
        <f t="shared" si="39"/>
        <v>5738614</v>
      </c>
      <c r="BA122" s="51"/>
      <c r="BB122" s="35" t="s">
        <v>143</v>
      </c>
      <c r="BD122" s="35" t="s">
        <v>111</v>
      </c>
      <c r="BE122" s="53"/>
      <c r="BF122" s="53">
        <v>0</v>
      </c>
      <c r="BG122" s="53"/>
      <c r="BH122" s="53">
        <f>5500000+330000</f>
        <v>5830000</v>
      </c>
      <c r="BI122" s="53"/>
      <c r="BJ122" s="53">
        <v>0</v>
      </c>
      <c r="BK122" s="53"/>
      <c r="BL122" s="53">
        <f>7500000+43550+40945+8938</f>
        <v>7593433</v>
      </c>
      <c r="BM122" s="53"/>
      <c r="BN122" s="53">
        <f t="shared" si="34"/>
        <v>13423433</v>
      </c>
      <c r="BO122" s="54"/>
      <c r="BS122" s="55"/>
      <c r="BT122" s="55"/>
      <c r="BU122" s="84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</row>
    <row r="123" spans="1:95" s="35" customFormat="1" ht="12.75" customHeight="1" x14ac:dyDescent="0.2">
      <c r="A123" s="35" t="s">
        <v>144</v>
      </c>
      <c r="B123" s="51"/>
      <c r="C123" s="35" t="s">
        <v>88</v>
      </c>
      <c r="D123" s="44"/>
      <c r="E123" s="53">
        <f t="shared" si="35"/>
        <v>581513</v>
      </c>
      <c r="F123" s="53"/>
      <c r="G123" s="53">
        <v>77072041</v>
      </c>
      <c r="H123" s="53"/>
      <c r="I123" s="53">
        <v>77653554</v>
      </c>
      <c r="J123" s="53"/>
      <c r="K123" s="53">
        <f t="shared" si="36"/>
        <v>4528370</v>
      </c>
      <c r="L123" s="53"/>
      <c r="M123" s="53">
        <v>49549051</v>
      </c>
      <c r="N123" s="53"/>
      <c r="O123" s="53">
        <v>54077421</v>
      </c>
      <c r="P123" s="53"/>
      <c r="Q123" s="53">
        <v>19378353</v>
      </c>
      <c r="R123" s="53"/>
      <c r="S123" s="53">
        <v>0</v>
      </c>
      <c r="T123" s="53"/>
      <c r="U123" s="53">
        <v>4197780</v>
      </c>
      <c r="V123" s="53"/>
      <c r="W123" s="53">
        <f t="shared" si="40"/>
        <v>23576133</v>
      </c>
      <c r="X123" s="51"/>
      <c r="Y123" s="51"/>
      <c r="Z123" s="35" t="s">
        <v>144</v>
      </c>
      <c r="AA123" s="53"/>
      <c r="AB123" s="35" t="s">
        <v>88</v>
      </c>
      <c r="AC123" s="51"/>
      <c r="AD123" s="53">
        <v>11093380</v>
      </c>
      <c r="AE123" s="53"/>
      <c r="AF123" s="53">
        <f>9878234-1158943</f>
        <v>8719291</v>
      </c>
      <c r="AG123" s="53"/>
      <c r="AH123" s="53">
        <v>1158943</v>
      </c>
      <c r="AI123" s="53"/>
      <c r="AJ123" s="45">
        <f t="shared" si="37"/>
        <v>1215146</v>
      </c>
      <c r="AK123" s="45"/>
      <c r="AL123" s="53">
        <v>-265738</v>
      </c>
      <c r="AM123" s="45"/>
      <c r="AN123" s="53">
        <v>0</v>
      </c>
      <c r="AO123" s="53"/>
      <c r="AP123" s="53">
        <v>0</v>
      </c>
      <c r="AQ123" s="53"/>
      <c r="AR123" s="53">
        <v>0</v>
      </c>
      <c r="AS123" s="53"/>
      <c r="AT123" s="45">
        <f t="shared" si="38"/>
        <v>949408</v>
      </c>
      <c r="AU123" s="45"/>
      <c r="AV123" s="53">
        <v>0</v>
      </c>
      <c r="AW123" s="53"/>
      <c r="AX123" s="53">
        <v>0</v>
      </c>
      <c r="AY123" s="53"/>
      <c r="AZ123" s="53">
        <f t="shared" si="39"/>
        <v>-3946857</v>
      </c>
      <c r="BA123" s="51"/>
      <c r="BB123" s="35" t="s">
        <v>144</v>
      </c>
      <c r="BD123" s="35" t="s">
        <v>88</v>
      </c>
      <c r="BE123" s="53"/>
      <c r="BF123" s="53">
        <v>0</v>
      </c>
      <c r="BG123" s="53"/>
      <c r="BH123" s="53">
        <v>6134184</v>
      </c>
      <c r="BI123" s="53"/>
      <c r="BJ123" s="53">
        <f>41491388+513024</f>
        <v>42004412</v>
      </c>
      <c r="BK123" s="53"/>
      <c r="BL123" s="53">
        <f>473567+29086+1420826+25571+142082+20213</f>
        <v>2111345</v>
      </c>
      <c r="BM123" s="53"/>
      <c r="BN123" s="53">
        <f t="shared" si="34"/>
        <v>50249941</v>
      </c>
      <c r="BO123" s="54"/>
      <c r="BS123" s="55"/>
      <c r="BT123" s="55"/>
      <c r="BU123" s="84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</row>
    <row r="124" spans="1:95" s="35" customFormat="1" ht="12.75" customHeight="1" x14ac:dyDescent="0.2">
      <c r="A124" s="35" t="s">
        <v>36</v>
      </c>
      <c r="B124" s="51"/>
      <c r="C124" s="35" t="s">
        <v>145</v>
      </c>
      <c r="D124" s="44"/>
      <c r="E124" s="53">
        <f t="shared" si="35"/>
        <v>601905</v>
      </c>
      <c r="F124" s="53"/>
      <c r="G124" s="53">
        <v>3621217</v>
      </c>
      <c r="H124" s="53"/>
      <c r="I124" s="53">
        <v>4223122</v>
      </c>
      <c r="J124" s="53"/>
      <c r="K124" s="53">
        <f t="shared" si="36"/>
        <v>252900</v>
      </c>
      <c r="L124" s="53"/>
      <c r="M124" s="53">
        <v>436995</v>
      </c>
      <c r="N124" s="53"/>
      <c r="O124" s="53">
        <v>689895</v>
      </c>
      <c r="P124" s="53"/>
      <c r="Q124" s="53">
        <v>3075484</v>
      </c>
      <c r="R124" s="53"/>
      <c r="S124" s="53">
        <v>0</v>
      </c>
      <c r="T124" s="53"/>
      <c r="U124" s="53">
        <v>457743</v>
      </c>
      <c r="V124" s="53"/>
      <c r="W124" s="53">
        <f t="shared" si="40"/>
        <v>3533227</v>
      </c>
      <c r="X124" s="51"/>
      <c r="Y124" s="51"/>
      <c r="Z124" s="35" t="s">
        <v>36</v>
      </c>
      <c r="AA124" s="53"/>
      <c r="AB124" s="35" t="s">
        <v>145</v>
      </c>
      <c r="AC124" s="51"/>
      <c r="AD124" s="53">
        <v>1351220</v>
      </c>
      <c r="AE124" s="53"/>
      <c r="AF124" s="53">
        <f>1228713-143572</f>
        <v>1085141</v>
      </c>
      <c r="AG124" s="53"/>
      <c r="AH124" s="53">
        <v>143572</v>
      </c>
      <c r="AI124" s="53"/>
      <c r="AJ124" s="45">
        <f t="shared" si="37"/>
        <v>122507</v>
      </c>
      <c r="AK124" s="45"/>
      <c r="AL124" s="53">
        <v>-65423</v>
      </c>
      <c r="AM124" s="45"/>
      <c r="AN124" s="53">
        <v>0</v>
      </c>
      <c r="AO124" s="53"/>
      <c r="AP124" s="53">
        <v>0</v>
      </c>
      <c r="AQ124" s="53"/>
      <c r="AR124" s="53">
        <v>12608</v>
      </c>
      <c r="AS124" s="53"/>
      <c r="AT124" s="45">
        <f t="shared" si="38"/>
        <v>69692</v>
      </c>
      <c r="AU124" s="45"/>
      <c r="AV124" s="53">
        <v>0</v>
      </c>
      <c r="AW124" s="53"/>
      <c r="AX124" s="53">
        <v>0</v>
      </c>
      <c r="AY124" s="53"/>
      <c r="AZ124" s="53">
        <f t="shared" si="39"/>
        <v>349005</v>
      </c>
      <c r="BA124" s="51"/>
      <c r="BB124" s="35" t="s">
        <v>36</v>
      </c>
      <c r="BD124" s="35" t="s">
        <v>145</v>
      </c>
      <c r="BE124" s="53"/>
      <c r="BF124" s="53">
        <f>97827+10806</f>
        <v>108633</v>
      </c>
      <c r="BG124" s="53"/>
      <c r="BH124" s="53">
        <f>298400+138700</f>
        <v>437100</v>
      </c>
      <c r="BI124" s="53"/>
      <c r="BJ124" s="53">
        <v>0</v>
      </c>
      <c r="BK124" s="53"/>
      <c r="BL124" s="53">
        <f>40768+23605</f>
        <v>64373</v>
      </c>
      <c r="BM124" s="53"/>
      <c r="BN124" s="53">
        <f t="shared" si="34"/>
        <v>610106</v>
      </c>
      <c r="BO124" s="54"/>
      <c r="BS124" s="55"/>
      <c r="BT124" s="55"/>
      <c r="BU124" s="84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</row>
    <row r="125" spans="1:95" s="35" customFormat="1" ht="12.75" customHeight="1" x14ac:dyDescent="0.2">
      <c r="A125" s="35" t="s">
        <v>146</v>
      </c>
      <c r="C125" s="35" t="s">
        <v>147</v>
      </c>
      <c r="D125" s="44"/>
      <c r="E125" s="53">
        <f t="shared" si="35"/>
        <v>1669649</v>
      </c>
      <c r="F125" s="53"/>
      <c r="G125" s="53">
        <v>3547484</v>
      </c>
      <c r="H125" s="53"/>
      <c r="I125" s="53">
        <v>5217133</v>
      </c>
      <c r="J125" s="53"/>
      <c r="K125" s="53">
        <f t="shared" si="36"/>
        <v>318136</v>
      </c>
      <c r="L125" s="53"/>
      <c r="M125" s="53">
        <v>956628</v>
      </c>
      <c r="N125" s="53"/>
      <c r="O125" s="53">
        <v>1274764</v>
      </c>
      <c r="P125" s="53"/>
      <c r="Q125" s="53">
        <v>2421928</v>
      </c>
      <c r="R125" s="53"/>
      <c r="S125" s="53">
        <v>0</v>
      </c>
      <c r="T125" s="53"/>
      <c r="U125" s="53">
        <v>1520441</v>
      </c>
      <c r="V125" s="53"/>
      <c r="W125" s="53">
        <f t="shared" si="40"/>
        <v>3942369</v>
      </c>
      <c r="Z125" s="35" t="s">
        <v>146</v>
      </c>
      <c r="AA125" s="53"/>
      <c r="AB125" s="35" t="s">
        <v>147</v>
      </c>
      <c r="AD125" s="53">
        <v>1352708</v>
      </c>
      <c r="AE125" s="53"/>
      <c r="AF125" s="53">
        <f>1267374-160008</f>
        <v>1107366</v>
      </c>
      <c r="AG125" s="53"/>
      <c r="AH125" s="53">
        <v>160008</v>
      </c>
      <c r="AI125" s="53"/>
      <c r="AJ125" s="45">
        <f t="shared" si="37"/>
        <v>85334</v>
      </c>
      <c r="AK125" s="45"/>
      <c r="AL125" s="53">
        <v>-42549</v>
      </c>
      <c r="AM125" s="45"/>
      <c r="AN125" s="53">
        <v>0</v>
      </c>
      <c r="AO125" s="53"/>
      <c r="AP125" s="53">
        <v>0</v>
      </c>
      <c r="AQ125" s="53"/>
      <c r="AR125" s="53">
        <v>0</v>
      </c>
      <c r="AS125" s="53"/>
      <c r="AT125" s="45">
        <f t="shared" si="38"/>
        <v>42785</v>
      </c>
      <c r="AU125" s="45"/>
      <c r="AV125" s="53">
        <v>0</v>
      </c>
      <c r="AW125" s="53"/>
      <c r="AX125" s="53">
        <v>0</v>
      </c>
      <c r="AY125" s="53"/>
      <c r="AZ125" s="53">
        <f t="shared" si="39"/>
        <v>1351513</v>
      </c>
      <c r="BA125" s="51"/>
      <c r="BB125" s="35" t="s">
        <v>146</v>
      </c>
      <c r="BD125" s="35" t="s">
        <v>147</v>
      </c>
      <c r="BE125" s="53"/>
      <c r="BF125" s="53">
        <v>0</v>
      </c>
      <c r="BG125" s="53"/>
      <c r="BH125" s="53">
        <v>0</v>
      </c>
      <c r="BI125" s="53"/>
      <c r="BJ125" s="53">
        <f>884708+106189</f>
        <v>990897</v>
      </c>
      <c r="BK125" s="53"/>
      <c r="BL125" s="53">
        <f>71920+18070</f>
        <v>89990</v>
      </c>
      <c r="BM125" s="53"/>
      <c r="BN125" s="53">
        <f t="shared" si="34"/>
        <v>1080887</v>
      </c>
      <c r="BO125" s="54"/>
      <c r="BS125" s="55"/>
      <c r="BT125" s="55"/>
      <c r="BU125" s="84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</row>
    <row r="126" spans="1:95" s="35" customFormat="1" ht="12.75" customHeight="1" x14ac:dyDescent="0.2">
      <c r="A126" s="35" t="s">
        <v>17</v>
      </c>
      <c r="C126" s="35" t="s">
        <v>17</v>
      </c>
      <c r="D126" s="44"/>
      <c r="E126" s="53">
        <f t="shared" si="35"/>
        <v>3567487</v>
      </c>
      <c r="F126" s="53"/>
      <c r="G126" s="53">
        <v>27175796</v>
      </c>
      <c r="H126" s="53"/>
      <c r="I126" s="53">
        <v>30743283</v>
      </c>
      <c r="J126" s="53"/>
      <c r="K126" s="53">
        <f t="shared" si="36"/>
        <v>1857075</v>
      </c>
      <c r="L126" s="53"/>
      <c r="M126" s="53">
        <v>13320059</v>
      </c>
      <c r="N126" s="53"/>
      <c r="O126" s="53">
        <v>15177134</v>
      </c>
      <c r="P126" s="53"/>
      <c r="Q126" s="53">
        <v>12964749</v>
      </c>
      <c r="R126" s="53"/>
      <c r="S126" s="53">
        <v>357652</v>
      </c>
      <c r="T126" s="53"/>
      <c r="U126" s="53">
        <v>2243748</v>
      </c>
      <c r="V126" s="53"/>
      <c r="W126" s="53">
        <f t="shared" si="40"/>
        <v>15566149</v>
      </c>
      <c r="X126" s="51"/>
      <c r="Y126" s="51"/>
      <c r="Z126" s="35" t="s">
        <v>17</v>
      </c>
      <c r="AA126" s="53"/>
      <c r="AB126" s="35" t="s">
        <v>17</v>
      </c>
      <c r="AD126" s="53">
        <v>8019772</v>
      </c>
      <c r="AE126" s="53"/>
      <c r="AF126" s="53">
        <f>6585802-807864</f>
        <v>5777938</v>
      </c>
      <c r="AG126" s="53"/>
      <c r="AH126" s="53">
        <v>807864</v>
      </c>
      <c r="AI126" s="53"/>
      <c r="AJ126" s="45">
        <f t="shared" si="37"/>
        <v>1433970</v>
      </c>
      <c r="AK126" s="45"/>
      <c r="AL126" s="53">
        <v>-819293</v>
      </c>
      <c r="AM126" s="45"/>
      <c r="AN126" s="53">
        <v>0</v>
      </c>
      <c r="AO126" s="53"/>
      <c r="AP126" s="53">
        <v>50000</v>
      </c>
      <c r="AQ126" s="53"/>
      <c r="AR126" s="53">
        <v>0</v>
      </c>
      <c r="AS126" s="53"/>
      <c r="AT126" s="45">
        <f t="shared" si="38"/>
        <v>564677</v>
      </c>
      <c r="AU126" s="45"/>
      <c r="AV126" s="53">
        <v>0</v>
      </c>
      <c r="AW126" s="53"/>
      <c r="AX126" s="53">
        <v>0</v>
      </c>
      <c r="AY126" s="53"/>
      <c r="AZ126" s="53">
        <f t="shared" si="39"/>
        <v>1710412</v>
      </c>
      <c r="BA126" s="51"/>
      <c r="BB126" s="35" t="s">
        <v>17</v>
      </c>
      <c r="BD126" s="35" t="s">
        <v>17</v>
      </c>
      <c r="BE126" s="53"/>
      <c r="BF126" s="53">
        <f>2494470+698319</f>
        <v>3192789</v>
      </c>
      <c r="BG126" s="53"/>
      <c r="BH126" s="53">
        <v>0</v>
      </c>
      <c r="BI126" s="53"/>
      <c r="BJ126" s="53">
        <f>10378870+645402</f>
        <v>11024272</v>
      </c>
      <c r="BK126" s="53"/>
      <c r="BL126" s="53">
        <f>8377+438342+3829+43256</f>
        <v>493804</v>
      </c>
      <c r="BM126" s="53"/>
      <c r="BN126" s="53">
        <f t="shared" si="34"/>
        <v>14710865</v>
      </c>
      <c r="BO126" s="54"/>
      <c r="BS126" s="55"/>
      <c r="BT126" s="55"/>
      <c r="BU126" s="84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</row>
    <row r="127" spans="1:95" s="35" customFormat="1" ht="12.75" customHeight="1" x14ac:dyDescent="0.2">
      <c r="A127" s="35" t="s">
        <v>148</v>
      </c>
      <c r="C127" s="35" t="s">
        <v>15</v>
      </c>
      <c r="D127" s="44"/>
      <c r="E127" s="53">
        <f t="shared" si="35"/>
        <v>925783</v>
      </c>
      <c r="F127" s="53"/>
      <c r="G127" s="53">
        <v>5680908</v>
      </c>
      <c r="H127" s="53"/>
      <c r="I127" s="53">
        <v>6606691</v>
      </c>
      <c r="J127" s="53"/>
      <c r="K127" s="53">
        <f t="shared" si="36"/>
        <v>247852</v>
      </c>
      <c r="L127" s="53"/>
      <c r="M127" s="53">
        <f>13731+32168+385004+42666+985269</f>
        <v>1458838</v>
      </c>
      <c r="N127" s="53"/>
      <c r="O127" s="53">
        <v>1706690</v>
      </c>
      <c r="P127" s="53"/>
      <c r="Q127" s="53">
        <v>4099130</v>
      </c>
      <c r="R127" s="53"/>
      <c r="S127" s="53">
        <v>0</v>
      </c>
      <c r="T127" s="53"/>
      <c r="U127" s="53">
        <v>800871</v>
      </c>
      <c r="V127" s="53"/>
      <c r="W127" s="53">
        <f t="shared" si="40"/>
        <v>4900001</v>
      </c>
      <c r="Z127" s="35" t="s">
        <v>148</v>
      </c>
      <c r="AA127" s="53"/>
      <c r="AB127" s="35" t="s">
        <v>15</v>
      </c>
      <c r="AD127" s="53">
        <v>872181</v>
      </c>
      <c r="AE127" s="53"/>
      <c r="AF127" s="53">
        <f>1136669-202743</f>
        <v>933926</v>
      </c>
      <c r="AG127" s="53"/>
      <c r="AH127" s="53">
        <v>202743</v>
      </c>
      <c r="AI127" s="53"/>
      <c r="AJ127" s="45">
        <f t="shared" si="37"/>
        <v>-264488</v>
      </c>
      <c r="AK127" s="45"/>
      <c r="AL127" s="53">
        <v>153176</v>
      </c>
      <c r="AM127" s="45"/>
      <c r="AN127" s="53">
        <v>0</v>
      </c>
      <c r="AO127" s="53"/>
      <c r="AP127" s="53">
        <v>0</v>
      </c>
      <c r="AQ127" s="53"/>
      <c r="AR127" s="53">
        <v>0</v>
      </c>
      <c r="AS127" s="53"/>
      <c r="AT127" s="45">
        <f t="shared" si="38"/>
        <v>-111312</v>
      </c>
      <c r="AU127" s="45"/>
      <c r="AV127" s="53">
        <v>0</v>
      </c>
      <c r="AW127" s="53"/>
      <c r="AX127" s="53">
        <v>0</v>
      </c>
      <c r="AY127" s="53"/>
      <c r="AZ127" s="53">
        <f t="shared" si="39"/>
        <v>677931</v>
      </c>
      <c r="BA127" s="51"/>
      <c r="BB127" s="35" t="s">
        <v>148</v>
      </c>
      <c r="BD127" s="35" t="s">
        <v>15</v>
      </c>
      <c r="BE127" s="53"/>
      <c r="BF127" s="53">
        <f>985269+118200</f>
        <v>1103469</v>
      </c>
      <c r="BG127" s="53"/>
      <c r="BH127" s="53">
        <v>0</v>
      </c>
      <c r="BI127" s="53"/>
      <c r="BJ127" s="53">
        <f>385004+42666+2347+48292</f>
        <v>478309</v>
      </c>
      <c r="BK127" s="53"/>
      <c r="BL127" s="53">
        <f>13731+32168+15216+17786</f>
        <v>78901</v>
      </c>
      <c r="BM127" s="53"/>
      <c r="BN127" s="53">
        <f t="shared" si="34"/>
        <v>1660679</v>
      </c>
      <c r="BO127" s="54"/>
      <c r="BS127" s="55"/>
      <c r="BT127" s="55"/>
      <c r="BU127" s="84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</row>
    <row r="128" spans="1:95" s="35" customFormat="1" ht="12.75" customHeight="1" x14ac:dyDescent="0.2">
      <c r="A128" s="35" t="s">
        <v>149</v>
      </c>
      <c r="B128" s="51"/>
      <c r="C128" s="35" t="s">
        <v>45</v>
      </c>
      <c r="D128" s="44"/>
      <c r="E128" s="53">
        <f t="shared" si="35"/>
        <v>1222005</v>
      </c>
      <c r="F128" s="53"/>
      <c r="G128" s="53">
        <f>661773+9292208</f>
        <v>9953981</v>
      </c>
      <c r="H128" s="53"/>
      <c r="I128" s="53">
        <v>11175986</v>
      </c>
      <c r="J128" s="53"/>
      <c r="K128" s="53">
        <f t="shared" si="36"/>
        <v>184085</v>
      </c>
      <c r="L128" s="53"/>
      <c r="M128" s="53">
        <f>54113+809193+444220</f>
        <v>1307526</v>
      </c>
      <c r="N128" s="53"/>
      <c r="O128" s="53">
        <v>1491611</v>
      </c>
      <c r="P128" s="53"/>
      <c r="Q128" s="53">
        <v>8552188</v>
      </c>
      <c r="R128" s="53"/>
      <c r="S128" s="53">
        <v>0</v>
      </c>
      <c r="T128" s="53"/>
      <c r="U128" s="53">
        <v>1132187</v>
      </c>
      <c r="V128" s="53"/>
      <c r="W128" s="53">
        <f t="shared" si="40"/>
        <v>9684375</v>
      </c>
      <c r="X128" s="51"/>
      <c r="Y128" s="51"/>
      <c r="Z128" s="35" t="s">
        <v>149</v>
      </c>
      <c r="AA128" s="53"/>
      <c r="AB128" s="35" t="s">
        <v>45</v>
      </c>
      <c r="AC128" s="51"/>
      <c r="AD128" s="53">
        <v>1534373</v>
      </c>
      <c r="AE128" s="53"/>
      <c r="AF128" s="53">
        <f>1453020-318414</f>
        <v>1134606</v>
      </c>
      <c r="AG128" s="53"/>
      <c r="AH128" s="53">
        <v>318414</v>
      </c>
      <c r="AI128" s="53"/>
      <c r="AJ128" s="45">
        <f t="shared" si="37"/>
        <v>81353</v>
      </c>
      <c r="AK128" s="45"/>
      <c r="AL128" s="53">
        <v>-30461</v>
      </c>
      <c r="AM128" s="45"/>
      <c r="AN128" s="53">
        <v>135000</v>
      </c>
      <c r="AO128" s="53"/>
      <c r="AP128" s="53">
        <v>460814</v>
      </c>
      <c r="AQ128" s="53"/>
      <c r="AR128" s="53">
        <v>0</v>
      </c>
      <c r="AS128" s="53"/>
      <c r="AT128" s="45">
        <f t="shared" si="38"/>
        <v>-274922</v>
      </c>
      <c r="AU128" s="45"/>
      <c r="AV128" s="53">
        <v>0</v>
      </c>
      <c r="AW128" s="53"/>
      <c r="AX128" s="53">
        <v>0</v>
      </c>
      <c r="AY128" s="53"/>
      <c r="AZ128" s="53">
        <f t="shared" si="39"/>
        <v>1037920</v>
      </c>
      <c r="BA128" s="51"/>
      <c r="BB128" s="35" t="s">
        <v>149</v>
      </c>
      <c r="BD128" s="35" t="s">
        <v>45</v>
      </c>
      <c r="BE128" s="53"/>
      <c r="BF128" s="53">
        <f>809193+125000</f>
        <v>934193</v>
      </c>
      <c r="BG128" s="53"/>
      <c r="BH128" s="53">
        <v>0</v>
      </c>
      <c r="BI128" s="53"/>
      <c r="BJ128" s="53">
        <f>444220+23380</f>
        <v>467600</v>
      </c>
      <c r="BK128" s="53"/>
      <c r="BL128" s="53">
        <f>54113+12434</f>
        <v>66547</v>
      </c>
      <c r="BM128" s="53"/>
      <c r="BN128" s="53">
        <f t="shared" si="34"/>
        <v>1468340</v>
      </c>
      <c r="BO128" s="54"/>
      <c r="BS128" s="55"/>
      <c r="BT128" s="55"/>
      <c r="BU128" s="84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</row>
    <row r="129" spans="1:95" s="126" customFormat="1" ht="12.75" hidden="1" customHeight="1" x14ac:dyDescent="0.2">
      <c r="A129" s="126" t="s">
        <v>150</v>
      </c>
      <c r="B129" s="124"/>
      <c r="C129" s="126" t="s">
        <v>27</v>
      </c>
      <c r="D129" s="121"/>
      <c r="E129" s="53">
        <f t="shared" si="35"/>
        <v>0</v>
      </c>
      <c r="F129" s="53"/>
      <c r="G129" s="53"/>
      <c r="H129" s="53"/>
      <c r="I129" s="53"/>
      <c r="J129" s="53"/>
      <c r="K129" s="53">
        <f t="shared" si="36"/>
        <v>0</v>
      </c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>
        <f t="shared" si="40"/>
        <v>0</v>
      </c>
      <c r="X129" s="124"/>
      <c r="Y129" s="124"/>
      <c r="Z129" s="126" t="s">
        <v>150</v>
      </c>
      <c r="AA129" s="137"/>
      <c r="AB129" s="126" t="s">
        <v>27</v>
      </c>
      <c r="AC129" s="124"/>
      <c r="AD129" s="53"/>
      <c r="AE129" s="53"/>
      <c r="AF129" s="53"/>
      <c r="AG129" s="53"/>
      <c r="AH129" s="53"/>
      <c r="AI129" s="53"/>
      <c r="AJ129" s="45">
        <f t="shared" si="37"/>
        <v>0</v>
      </c>
      <c r="AK129" s="45"/>
      <c r="AL129" s="53"/>
      <c r="AM129" s="45"/>
      <c r="AN129" s="53"/>
      <c r="AO129" s="53"/>
      <c r="AP129" s="53"/>
      <c r="AQ129" s="53"/>
      <c r="AR129" s="53"/>
      <c r="AS129" s="53"/>
      <c r="AT129" s="45">
        <f t="shared" si="38"/>
        <v>0</v>
      </c>
      <c r="AU129" s="45"/>
      <c r="AV129" s="53">
        <v>0</v>
      </c>
      <c r="AW129" s="53"/>
      <c r="AX129" s="53">
        <v>0</v>
      </c>
      <c r="AY129" s="53"/>
      <c r="AZ129" s="53">
        <f t="shared" si="39"/>
        <v>0</v>
      </c>
      <c r="BA129" s="124"/>
      <c r="BB129" s="126" t="s">
        <v>150</v>
      </c>
      <c r="BD129" s="126" t="s">
        <v>27</v>
      </c>
      <c r="BE129" s="137"/>
      <c r="BF129" s="53"/>
      <c r="BG129" s="53"/>
      <c r="BH129" s="53"/>
      <c r="BI129" s="53"/>
      <c r="BJ129" s="53"/>
      <c r="BK129" s="53"/>
      <c r="BL129" s="53"/>
      <c r="BM129" s="137"/>
      <c r="BN129" s="137">
        <f t="shared" si="34"/>
        <v>0</v>
      </c>
      <c r="BO129" s="139"/>
      <c r="BS129" s="140"/>
      <c r="BT129" s="140"/>
      <c r="BU129" s="141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</row>
    <row r="130" spans="1:95" s="126" customFormat="1" ht="12.75" hidden="1" customHeight="1" x14ac:dyDescent="0.2">
      <c r="A130" s="126" t="s">
        <v>151</v>
      </c>
      <c r="B130" s="124"/>
      <c r="C130" s="126" t="s">
        <v>13</v>
      </c>
      <c r="D130" s="121"/>
      <c r="E130" s="53">
        <f t="shared" si="35"/>
        <v>0</v>
      </c>
      <c r="F130" s="53"/>
      <c r="G130" s="53"/>
      <c r="H130" s="53"/>
      <c r="I130" s="53"/>
      <c r="J130" s="53"/>
      <c r="K130" s="53">
        <f t="shared" si="36"/>
        <v>0</v>
      </c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>
        <f t="shared" si="40"/>
        <v>0</v>
      </c>
      <c r="X130" s="124"/>
      <c r="Y130" s="124"/>
      <c r="Z130" s="126" t="s">
        <v>151</v>
      </c>
      <c r="AA130" s="137"/>
      <c r="AB130" s="126" t="s">
        <v>13</v>
      </c>
      <c r="AC130" s="124"/>
      <c r="AD130" s="53"/>
      <c r="AE130" s="53"/>
      <c r="AF130" s="53"/>
      <c r="AG130" s="53"/>
      <c r="AH130" s="53"/>
      <c r="AI130" s="53"/>
      <c r="AJ130" s="45">
        <f t="shared" si="37"/>
        <v>0</v>
      </c>
      <c r="AK130" s="45"/>
      <c r="AL130" s="53"/>
      <c r="AM130" s="45"/>
      <c r="AN130" s="53"/>
      <c r="AO130" s="53"/>
      <c r="AP130" s="53"/>
      <c r="AQ130" s="53"/>
      <c r="AR130" s="53"/>
      <c r="AS130" s="53"/>
      <c r="AT130" s="45">
        <f t="shared" si="38"/>
        <v>0</v>
      </c>
      <c r="AU130" s="45"/>
      <c r="AV130" s="53">
        <v>0</v>
      </c>
      <c r="AW130" s="53"/>
      <c r="AX130" s="53">
        <v>0</v>
      </c>
      <c r="AY130" s="53"/>
      <c r="AZ130" s="53">
        <f t="shared" si="39"/>
        <v>0</v>
      </c>
      <c r="BA130" s="124"/>
      <c r="BB130" s="126" t="s">
        <v>151</v>
      </c>
      <c r="BD130" s="126" t="s">
        <v>13</v>
      </c>
      <c r="BE130" s="137"/>
      <c r="BF130" s="53"/>
      <c r="BG130" s="53"/>
      <c r="BH130" s="53"/>
      <c r="BI130" s="53"/>
      <c r="BJ130" s="53"/>
      <c r="BK130" s="53"/>
      <c r="BL130" s="53"/>
      <c r="BM130" s="137"/>
      <c r="BN130" s="137">
        <f t="shared" si="34"/>
        <v>0</v>
      </c>
      <c r="BO130" s="139"/>
      <c r="BS130" s="140"/>
      <c r="BT130" s="140"/>
      <c r="BU130" s="141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</row>
    <row r="131" spans="1:95" s="35" customFormat="1" ht="12.75" customHeight="1" x14ac:dyDescent="0.2">
      <c r="A131" s="35" t="s">
        <v>152</v>
      </c>
      <c r="B131" s="51"/>
      <c r="C131" s="35" t="s">
        <v>153</v>
      </c>
      <c r="D131" s="44"/>
      <c r="E131" s="53">
        <f t="shared" si="35"/>
        <v>9119513</v>
      </c>
      <c r="F131" s="53"/>
      <c r="G131" s="53">
        <v>14834696</v>
      </c>
      <c r="H131" s="53"/>
      <c r="I131" s="53">
        <v>23954209</v>
      </c>
      <c r="J131" s="53"/>
      <c r="K131" s="53">
        <f t="shared" si="36"/>
        <v>673608</v>
      </c>
      <c r="L131" s="53"/>
      <c r="M131" s="53">
        <v>1416144</v>
      </c>
      <c r="N131" s="53"/>
      <c r="O131" s="53">
        <v>2089752</v>
      </c>
      <c r="P131" s="53"/>
      <c r="Q131" s="53">
        <v>13489995</v>
      </c>
      <c r="R131" s="53"/>
      <c r="S131" s="53">
        <v>0</v>
      </c>
      <c r="T131" s="53"/>
      <c r="U131" s="53">
        <v>8374462</v>
      </c>
      <c r="V131" s="53"/>
      <c r="W131" s="53">
        <f t="shared" si="40"/>
        <v>21864457</v>
      </c>
      <c r="X131" s="51"/>
      <c r="Y131" s="51"/>
      <c r="Z131" s="35" t="s">
        <v>152</v>
      </c>
      <c r="AA131" s="53"/>
      <c r="AB131" s="35" t="s">
        <v>153</v>
      </c>
      <c r="AC131" s="51"/>
      <c r="AD131" s="53">
        <v>9423857</v>
      </c>
      <c r="AE131" s="53"/>
      <c r="AF131" s="53">
        <f>6057131-693699</f>
        <v>5363432</v>
      </c>
      <c r="AG131" s="53"/>
      <c r="AH131" s="53">
        <v>693699</v>
      </c>
      <c r="AI131" s="53"/>
      <c r="AJ131" s="45">
        <f t="shared" si="37"/>
        <v>3366726</v>
      </c>
      <c r="AK131" s="45"/>
      <c r="AL131" s="53">
        <v>-22137</v>
      </c>
      <c r="AM131" s="45"/>
      <c r="AN131" s="53">
        <v>0</v>
      </c>
      <c r="AO131" s="53"/>
      <c r="AP131" s="53">
        <v>0</v>
      </c>
      <c r="AQ131" s="53"/>
      <c r="AR131" s="53">
        <v>7650</v>
      </c>
      <c r="AS131" s="53"/>
      <c r="AT131" s="45">
        <f t="shared" si="38"/>
        <v>3352239</v>
      </c>
      <c r="AU131" s="45"/>
      <c r="AV131" s="53">
        <v>0</v>
      </c>
      <c r="AW131" s="53"/>
      <c r="AX131" s="53">
        <v>0</v>
      </c>
      <c r="AY131" s="53"/>
      <c r="AZ131" s="53">
        <f t="shared" si="39"/>
        <v>8445905</v>
      </c>
      <c r="BA131" s="51"/>
      <c r="BB131" s="35" t="s">
        <v>152</v>
      </c>
      <c r="BD131" s="35" t="s">
        <v>153</v>
      </c>
      <c r="BE131" s="53"/>
      <c r="BF131" s="53">
        <f>225000+415000</f>
        <v>640000</v>
      </c>
      <c r="BG131" s="53"/>
      <c r="BH131" s="53">
        <v>0</v>
      </c>
      <c r="BI131" s="53"/>
      <c r="BJ131" s="53">
        <v>0</v>
      </c>
      <c r="BK131" s="53"/>
      <c r="BL131" s="53">
        <f>695010+496134+9691</f>
        <v>1200835</v>
      </c>
      <c r="BM131" s="53"/>
      <c r="BN131" s="53">
        <f t="shared" si="34"/>
        <v>1840835</v>
      </c>
      <c r="BO131" s="54"/>
      <c r="BS131" s="55"/>
      <c r="BT131" s="55"/>
      <c r="BU131" s="84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</row>
    <row r="132" spans="1:95" s="126" customFormat="1" ht="12.75" hidden="1" customHeight="1" x14ac:dyDescent="0.2">
      <c r="A132" s="126" t="s">
        <v>154</v>
      </c>
      <c r="B132" s="124"/>
      <c r="C132" s="126" t="s">
        <v>27</v>
      </c>
      <c r="D132" s="121"/>
      <c r="E132" s="53">
        <f t="shared" si="35"/>
        <v>0</v>
      </c>
      <c r="F132" s="53"/>
      <c r="G132" s="53"/>
      <c r="H132" s="53"/>
      <c r="I132" s="53"/>
      <c r="J132" s="53"/>
      <c r="K132" s="53">
        <f t="shared" si="36"/>
        <v>0</v>
      </c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>
        <f t="shared" si="40"/>
        <v>0</v>
      </c>
      <c r="X132" s="124"/>
      <c r="Y132" s="124"/>
      <c r="Z132" s="126" t="s">
        <v>154</v>
      </c>
      <c r="AA132" s="137"/>
      <c r="AB132" s="126" t="s">
        <v>27</v>
      </c>
      <c r="AC132" s="124"/>
      <c r="AD132" s="53"/>
      <c r="AE132" s="53"/>
      <c r="AF132" s="53"/>
      <c r="AG132" s="53"/>
      <c r="AH132" s="53"/>
      <c r="AI132" s="53"/>
      <c r="AJ132" s="45">
        <f t="shared" si="37"/>
        <v>0</v>
      </c>
      <c r="AK132" s="45"/>
      <c r="AL132" s="53"/>
      <c r="AM132" s="45"/>
      <c r="AN132" s="53"/>
      <c r="AO132" s="53"/>
      <c r="AP132" s="53"/>
      <c r="AQ132" s="53"/>
      <c r="AR132" s="53"/>
      <c r="AS132" s="53"/>
      <c r="AT132" s="45">
        <f t="shared" si="38"/>
        <v>0</v>
      </c>
      <c r="AU132" s="45"/>
      <c r="AV132" s="53">
        <v>0</v>
      </c>
      <c r="AW132" s="53"/>
      <c r="AX132" s="53">
        <v>0</v>
      </c>
      <c r="AY132" s="53"/>
      <c r="AZ132" s="53">
        <f t="shared" si="39"/>
        <v>0</v>
      </c>
      <c r="BA132" s="124"/>
      <c r="BB132" s="126" t="s">
        <v>154</v>
      </c>
      <c r="BD132" s="126" t="s">
        <v>27</v>
      </c>
      <c r="BE132" s="137"/>
      <c r="BF132" s="53"/>
      <c r="BG132" s="53"/>
      <c r="BH132" s="53"/>
      <c r="BI132" s="53"/>
      <c r="BJ132" s="53"/>
      <c r="BK132" s="53"/>
      <c r="BL132" s="53"/>
      <c r="BM132" s="137"/>
      <c r="BN132" s="137">
        <f t="shared" si="34"/>
        <v>0</v>
      </c>
      <c r="BO132" s="139"/>
      <c r="BS132" s="140"/>
      <c r="BT132" s="140"/>
      <c r="BU132" s="141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</row>
    <row r="133" spans="1:95" s="35" customFormat="1" ht="12.75" customHeight="1" x14ac:dyDescent="0.2">
      <c r="A133" s="35" t="s">
        <v>155</v>
      </c>
      <c r="C133" s="35" t="s">
        <v>40</v>
      </c>
      <c r="D133" s="44"/>
      <c r="E133" s="53">
        <f t="shared" si="35"/>
        <v>2508959</v>
      </c>
      <c r="F133" s="53"/>
      <c r="G133" s="53">
        <v>4741691</v>
      </c>
      <c r="H133" s="53"/>
      <c r="I133" s="53">
        <v>7250650</v>
      </c>
      <c r="J133" s="53"/>
      <c r="K133" s="53">
        <f t="shared" si="36"/>
        <v>719934</v>
      </c>
      <c r="L133" s="53"/>
      <c r="M133" s="53">
        <v>5177733</v>
      </c>
      <c r="N133" s="53"/>
      <c r="O133" s="53">
        <v>5897667</v>
      </c>
      <c r="P133" s="53"/>
      <c r="Q133" s="53">
        <v>1395758</v>
      </c>
      <c r="R133" s="53"/>
      <c r="S133" s="53">
        <v>23750</v>
      </c>
      <c r="T133" s="53"/>
      <c r="U133" s="53">
        <v>-66525</v>
      </c>
      <c r="V133" s="53"/>
      <c r="W133" s="53">
        <f t="shared" si="40"/>
        <v>1352983</v>
      </c>
      <c r="Z133" s="35" t="s">
        <v>155</v>
      </c>
      <c r="AA133" s="53"/>
      <c r="AB133" s="35" t="s">
        <v>40</v>
      </c>
      <c r="AD133" s="53">
        <v>2933514</v>
      </c>
      <c r="AE133" s="53"/>
      <c r="AF133" s="53">
        <f>2745759-493081</f>
        <v>2252678</v>
      </c>
      <c r="AG133" s="53"/>
      <c r="AH133" s="53">
        <v>493081</v>
      </c>
      <c r="AI133" s="53"/>
      <c r="AJ133" s="45">
        <f t="shared" si="37"/>
        <v>187755</v>
      </c>
      <c r="AK133" s="45"/>
      <c r="AL133" s="53">
        <v>-179854</v>
      </c>
      <c r="AM133" s="45"/>
      <c r="AN133" s="53">
        <v>0</v>
      </c>
      <c r="AO133" s="53"/>
      <c r="AP133" s="53">
        <v>0</v>
      </c>
      <c r="AQ133" s="53"/>
      <c r="AR133" s="53">
        <v>0</v>
      </c>
      <c r="AS133" s="53"/>
      <c r="AT133" s="45">
        <f t="shared" si="38"/>
        <v>7901</v>
      </c>
      <c r="AU133" s="45"/>
      <c r="AV133" s="53">
        <v>0</v>
      </c>
      <c r="AW133" s="53"/>
      <c r="AX133" s="53">
        <v>0</v>
      </c>
      <c r="AY133" s="53"/>
      <c r="AZ133" s="53">
        <f t="shared" si="39"/>
        <v>1789025</v>
      </c>
      <c r="BA133" s="65"/>
      <c r="BB133" s="35" t="s">
        <v>155</v>
      </c>
      <c r="BD133" s="35" t="s">
        <v>40</v>
      </c>
      <c r="BE133" s="53"/>
      <c r="BF133" s="53">
        <f>2952979+285000</f>
        <v>3237979</v>
      </c>
      <c r="BG133" s="53"/>
      <c r="BH133" s="53">
        <v>0</v>
      </c>
      <c r="BI133" s="53"/>
      <c r="BJ133" s="53">
        <f>443192+21173</f>
        <v>464365</v>
      </c>
      <c r="BK133" s="53"/>
      <c r="BL133" s="53">
        <f>168562+1613000+12630+50000</f>
        <v>1844192</v>
      </c>
      <c r="BM133" s="53"/>
      <c r="BN133" s="53">
        <f t="shared" si="34"/>
        <v>5546536</v>
      </c>
      <c r="BO133" s="54"/>
      <c r="BS133" s="55"/>
      <c r="BT133" s="55"/>
      <c r="BU133" s="84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</row>
    <row r="134" spans="1:95" s="126" customFormat="1" ht="12.75" hidden="1" customHeight="1" x14ac:dyDescent="0.2">
      <c r="A134" s="126" t="s">
        <v>156</v>
      </c>
      <c r="B134" s="124"/>
      <c r="C134" s="126" t="s">
        <v>156</v>
      </c>
      <c r="D134" s="121"/>
      <c r="E134" s="53">
        <f t="shared" si="35"/>
        <v>0</v>
      </c>
      <c r="F134" s="53"/>
      <c r="G134" s="53"/>
      <c r="H134" s="53"/>
      <c r="I134" s="53"/>
      <c r="J134" s="53"/>
      <c r="K134" s="53">
        <f t="shared" si="36"/>
        <v>0</v>
      </c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>
        <f t="shared" si="40"/>
        <v>0</v>
      </c>
      <c r="X134" s="124"/>
      <c r="Y134" s="124"/>
      <c r="Z134" s="126" t="s">
        <v>156</v>
      </c>
      <c r="AA134" s="137"/>
      <c r="AB134" s="126" t="s">
        <v>156</v>
      </c>
      <c r="AC134" s="124"/>
      <c r="AD134" s="53"/>
      <c r="AE134" s="53"/>
      <c r="AF134" s="53"/>
      <c r="AG134" s="53"/>
      <c r="AH134" s="53"/>
      <c r="AI134" s="53"/>
      <c r="AJ134" s="45">
        <f t="shared" si="37"/>
        <v>0</v>
      </c>
      <c r="AK134" s="45"/>
      <c r="AL134" s="53"/>
      <c r="AM134" s="45"/>
      <c r="AN134" s="53"/>
      <c r="AO134" s="53"/>
      <c r="AP134" s="53"/>
      <c r="AQ134" s="53"/>
      <c r="AR134" s="53"/>
      <c r="AS134" s="53"/>
      <c r="AT134" s="45">
        <f t="shared" si="38"/>
        <v>0</v>
      </c>
      <c r="AU134" s="45"/>
      <c r="AV134" s="53">
        <v>0</v>
      </c>
      <c r="AW134" s="53"/>
      <c r="AX134" s="53">
        <v>0</v>
      </c>
      <c r="AY134" s="53"/>
      <c r="AZ134" s="53">
        <f t="shared" si="39"/>
        <v>0</v>
      </c>
      <c r="BA134" s="124"/>
      <c r="BB134" s="126" t="s">
        <v>156</v>
      </c>
      <c r="BD134" s="126" t="s">
        <v>156</v>
      </c>
      <c r="BE134" s="137"/>
      <c r="BF134" s="53"/>
      <c r="BG134" s="53"/>
      <c r="BH134" s="53"/>
      <c r="BI134" s="53"/>
      <c r="BJ134" s="53"/>
      <c r="BK134" s="53"/>
      <c r="BL134" s="53"/>
      <c r="BM134" s="137"/>
      <c r="BN134" s="137">
        <f t="shared" si="34"/>
        <v>0</v>
      </c>
      <c r="BO134" s="139"/>
      <c r="BS134" s="140"/>
      <c r="BT134" s="140"/>
      <c r="BU134" s="141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0"/>
      <c r="CP134" s="140"/>
      <c r="CQ134" s="140"/>
    </row>
    <row r="135" spans="1:95" s="35" customFormat="1" ht="12.75" customHeight="1" x14ac:dyDescent="0.2">
      <c r="A135" s="35" t="s">
        <v>157</v>
      </c>
      <c r="B135" s="51"/>
      <c r="C135" s="35" t="s">
        <v>33</v>
      </c>
      <c r="D135" s="44"/>
      <c r="E135" s="53">
        <f t="shared" si="35"/>
        <v>712642</v>
      </c>
      <c r="F135" s="53"/>
      <c r="G135" s="53">
        <v>13870789</v>
      </c>
      <c r="H135" s="53"/>
      <c r="I135" s="53">
        <v>14583431</v>
      </c>
      <c r="J135" s="53"/>
      <c r="K135" s="53">
        <f t="shared" si="36"/>
        <v>837524</v>
      </c>
      <c r="L135" s="53"/>
      <c r="M135" s="53">
        <v>7917176</v>
      </c>
      <c r="N135" s="53"/>
      <c r="O135" s="53">
        <v>8754700</v>
      </c>
      <c r="P135" s="53"/>
      <c r="Q135" s="53">
        <v>5392795</v>
      </c>
      <c r="R135" s="53"/>
      <c r="S135" s="53">
        <v>0</v>
      </c>
      <c r="T135" s="53"/>
      <c r="U135" s="53">
        <v>435936</v>
      </c>
      <c r="V135" s="53"/>
      <c r="W135" s="53">
        <f t="shared" si="40"/>
        <v>5828731</v>
      </c>
      <c r="X135" s="51"/>
      <c r="Y135" s="51"/>
      <c r="Z135" s="35" t="s">
        <v>157</v>
      </c>
      <c r="AA135" s="53"/>
      <c r="AB135" s="35" t="s">
        <v>33</v>
      </c>
      <c r="AC135" s="51"/>
      <c r="AD135" s="53">
        <v>2848993</v>
      </c>
      <c r="AE135" s="53"/>
      <c r="AF135" s="53">
        <f>2735320-567479</f>
        <v>2167841</v>
      </c>
      <c r="AG135" s="53"/>
      <c r="AH135" s="53">
        <v>567479</v>
      </c>
      <c r="AI135" s="53"/>
      <c r="AJ135" s="45">
        <f t="shared" si="37"/>
        <v>113673</v>
      </c>
      <c r="AK135" s="45"/>
      <c r="AL135" s="53">
        <v>479000</v>
      </c>
      <c r="AM135" s="45"/>
      <c r="AN135" s="53">
        <v>0</v>
      </c>
      <c r="AO135" s="53"/>
      <c r="AP135" s="53">
        <v>0</v>
      </c>
      <c r="AQ135" s="53"/>
      <c r="AR135" s="53">
        <v>54950</v>
      </c>
      <c r="AS135" s="53"/>
      <c r="AT135" s="45">
        <f t="shared" si="38"/>
        <v>647623</v>
      </c>
      <c r="AU135" s="45"/>
      <c r="AV135" s="53">
        <v>0</v>
      </c>
      <c r="AW135" s="53"/>
      <c r="AX135" s="53">
        <v>0</v>
      </c>
      <c r="AY135" s="53"/>
      <c r="AZ135" s="53">
        <f t="shared" si="39"/>
        <v>-124882</v>
      </c>
      <c r="BA135" s="51"/>
      <c r="BB135" s="35" t="s">
        <v>157</v>
      </c>
      <c r="BD135" s="35" t="s">
        <v>33</v>
      </c>
      <c r="BE135" s="53"/>
      <c r="BF135" s="53">
        <v>0</v>
      </c>
      <c r="BG135" s="53"/>
      <c r="BH135" s="53">
        <v>0</v>
      </c>
      <c r="BI135" s="53"/>
      <c r="BJ135" s="53">
        <f>757271+7059719+42909+600811</f>
        <v>8460710</v>
      </c>
      <c r="BK135" s="53"/>
      <c r="BL135" s="53">
        <f>21218+6244+72208+6760</f>
        <v>106430</v>
      </c>
      <c r="BM135" s="53"/>
      <c r="BN135" s="53">
        <f t="shared" si="34"/>
        <v>8567140</v>
      </c>
      <c r="BO135" s="54"/>
      <c r="BS135" s="55"/>
      <c r="BT135" s="55"/>
      <c r="BU135" s="84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</row>
    <row r="136" spans="1:95" s="35" customFormat="1" ht="12.75" customHeight="1" x14ac:dyDescent="0.2">
      <c r="A136" s="35" t="s">
        <v>158</v>
      </c>
      <c r="B136" s="51"/>
      <c r="C136" s="35" t="s">
        <v>159</v>
      </c>
      <c r="D136" s="44"/>
      <c r="E136" s="53">
        <f t="shared" si="35"/>
        <v>21166241</v>
      </c>
      <c r="F136" s="53"/>
      <c r="G136" s="53">
        <v>38664431</v>
      </c>
      <c r="H136" s="53"/>
      <c r="I136" s="53">
        <v>59830672</v>
      </c>
      <c r="J136" s="53"/>
      <c r="K136" s="53">
        <f t="shared" si="36"/>
        <v>1214806</v>
      </c>
      <c r="L136" s="53"/>
      <c r="M136" s="53">
        <v>31228451</v>
      </c>
      <c r="N136" s="53"/>
      <c r="O136" s="53">
        <v>32443257</v>
      </c>
      <c r="P136" s="53"/>
      <c r="Q136" s="53">
        <v>6683471</v>
      </c>
      <c r="R136" s="53"/>
      <c r="S136" s="53">
        <v>480434</v>
      </c>
      <c r="T136" s="53"/>
      <c r="U136" s="53">
        <v>20223510</v>
      </c>
      <c r="V136" s="53"/>
      <c r="W136" s="53">
        <f t="shared" si="40"/>
        <v>27387415</v>
      </c>
      <c r="X136" s="51"/>
      <c r="Y136" s="51"/>
      <c r="Z136" s="35" t="s">
        <v>158</v>
      </c>
      <c r="AA136" s="53"/>
      <c r="AB136" s="35" t="s">
        <v>159</v>
      </c>
      <c r="AC136" s="51"/>
      <c r="AD136" s="53">
        <v>7156970</v>
      </c>
      <c r="AE136" s="53"/>
      <c r="AF136" s="53">
        <f>4042587-1249971</f>
        <v>2792616</v>
      </c>
      <c r="AG136" s="53"/>
      <c r="AH136" s="53">
        <v>1249971</v>
      </c>
      <c r="AI136" s="53"/>
      <c r="AJ136" s="45">
        <f t="shared" si="37"/>
        <v>3114383</v>
      </c>
      <c r="AK136" s="45"/>
      <c r="AL136" s="53">
        <v>-1390063</v>
      </c>
      <c r="AM136" s="45"/>
      <c r="AN136" s="53">
        <v>0</v>
      </c>
      <c r="AO136" s="53"/>
      <c r="AP136" s="53">
        <v>0</v>
      </c>
      <c r="AQ136" s="53"/>
      <c r="AR136" s="53">
        <v>0</v>
      </c>
      <c r="AS136" s="53"/>
      <c r="AT136" s="45">
        <f t="shared" si="38"/>
        <v>1724320</v>
      </c>
      <c r="AU136" s="45"/>
      <c r="AV136" s="53">
        <v>0</v>
      </c>
      <c r="AW136" s="53"/>
      <c r="AX136" s="53">
        <v>0</v>
      </c>
      <c r="AY136" s="53"/>
      <c r="AZ136" s="53">
        <f t="shared" si="39"/>
        <v>19951435</v>
      </c>
      <c r="BA136" s="51"/>
      <c r="BB136" s="35" t="s">
        <v>158</v>
      </c>
      <c r="BD136" s="35" t="s">
        <v>159</v>
      </c>
      <c r="BE136" s="53"/>
      <c r="BF136" s="53">
        <f>186630+178420</f>
        <v>365050</v>
      </c>
      <c r="BG136" s="53"/>
      <c r="BH136" s="53">
        <f>28581543+772438</f>
        <v>29353981</v>
      </c>
      <c r="BI136" s="53"/>
      <c r="BJ136" s="53">
        <f>561795+14784</f>
        <v>576579</v>
      </c>
      <c r="BK136" s="53"/>
      <c r="BL136" s="53">
        <f>76062+137071+1685350+92518</f>
        <v>1991001</v>
      </c>
      <c r="BM136" s="53"/>
      <c r="BN136" s="53">
        <f t="shared" si="34"/>
        <v>32286611</v>
      </c>
      <c r="BO136" s="54"/>
      <c r="BS136" s="55"/>
      <c r="BT136" s="55"/>
      <c r="BU136" s="84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</row>
    <row r="137" spans="1:95" s="35" customFormat="1" ht="12.75" hidden="1" customHeight="1" x14ac:dyDescent="0.2">
      <c r="A137" s="35" t="s">
        <v>160</v>
      </c>
      <c r="B137" s="51"/>
      <c r="C137" s="35" t="s">
        <v>111</v>
      </c>
      <c r="D137" s="44"/>
      <c r="E137" s="53">
        <f t="shared" si="35"/>
        <v>0</v>
      </c>
      <c r="F137" s="53"/>
      <c r="G137" s="53"/>
      <c r="H137" s="53"/>
      <c r="I137" s="53"/>
      <c r="J137" s="53"/>
      <c r="K137" s="53">
        <f t="shared" si="36"/>
        <v>0</v>
      </c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>
        <f t="shared" si="40"/>
        <v>0</v>
      </c>
      <c r="X137" s="51"/>
      <c r="Y137" s="51"/>
      <c r="Z137" s="35" t="s">
        <v>160</v>
      </c>
      <c r="AA137" s="53"/>
      <c r="AB137" s="35" t="s">
        <v>111</v>
      </c>
      <c r="AC137" s="51"/>
      <c r="AD137" s="53"/>
      <c r="AE137" s="53"/>
      <c r="AF137" s="53"/>
      <c r="AG137" s="53"/>
      <c r="AH137" s="53"/>
      <c r="AI137" s="53"/>
      <c r="AJ137" s="45">
        <f t="shared" si="37"/>
        <v>0</v>
      </c>
      <c r="AK137" s="45"/>
      <c r="AL137" s="53"/>
      <c r="AM137" s="45"/>
      <c r="AN137" s="53"/>
      <c r="AO137" s="53"/>
      <c r="AP137" s="53"/>
      <c r="AQ137" s="53"/>
      <c r="AR137" s="53"/>
      <c r="AS137" s="53"/>
      <c r="AT137" s="45">
        <f t="shared" si="38"/>
        <v>0</v>
      </c>
      <c r="AU137" s="45"/>
      <c r="AV137" s="53">
        <v>0</v>
      </c>
      <c r="AW137" s="53"/>
      <c r="AX137" s="53">
        <v>0</v>
      </c>
      <c r="AY137" s="53"/>
      <c r="AZ137" s="53">
        <f t="shared" si="39"/>
        <v>0</v>
      </c>
      <c r="BA137" s="51"/>
      <c r="BB137" s="35" t="s">
        <v>160</v>
      </c>
      <c r="BD137" s="35" t="s">
        <v>111</v>
      </c>
      <c r="BE137" s="53"/>
      <c r="BF137" s="53"/>
      <c r="BG137" s="53"/>
      <c r="BH137" s="53"/>
      <c r="BI137" s="53"/>
      <c r="BJ137" s="53"/>
      <c r="BK137" s="53"/>
      <c r="BL137" s="53"/>
      <c r="BM137" s="53"/>
      <c r="BN137" s="53">
        <f t="shared" si="34"/>
        <v>0</v>
      </c>
      <c r="BO137" s="54"/>
      <c r="BS137" s="55"/>
      <c r="BT137" s="55"/>
      <c r="BU137" s="84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</row>
    <row r="138" spans="1:95" s="126" customFormat="1" ht="12.75" hidden="1" customHeight="1" x14ac:dyDescent="0.2">
      <c r="A138" s="126" t="s">
        <v>161</v>
      </c>
      <c r="B138" s="124"/>
      <c r="C138" s="126" t="s">
        <v>15</v>
      </c>
      <c r="D138" s="121"/>
      <c r="E138" s="53">
        <f t="shared" si="35"/>
        <v>0</v>
      </c>
      <c r="F138" s="53"/>
      <c r="G138" s="53"/>
      <c r="H138" s="53"/>
      <c r="I138" s="53"/>
      <c r="J138" s="53"/>
      <c r="K138" s="53">
        <f t="shared" si="36"/>
        <v>0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>
        <f t="shared" si="40"/>
        <v>0</v>
      </c>
      <c r="X138" s="124"/>
      <c r="Y138" s="124"/>
      <c r="Z138" s="126" t="s">
        <v>161</v>
      </c>
      <c r="AA138" s="137"/>
      <c r="AB138" s="126" t="s">
        <v>15</v>
      </c>
      <c r="AC138" s="124"/>
      <c r="AD138" s="53"/>
      <c r="AE138" s="53"/>
      <c r="AF138" s="53"/>
      <c r="AG138" s="53"/>
      <c r="AH138" s="53"/>
      <c r="AI138" s="53"/>
      <c r="AJ138" s="45">
        <f t="shared" si="37"/>
        <v>0</v>
      </c>
      <c r="AK138" s="45"/>
      <c r="AL138" s="53"/>
      <c r="AM138" s="45"/>
      <c r="AN138" s="53"/>
      <c r="AO138" s="53"/>
      <c r="AP138" s="53"/>
      <c r="AQ138" s="53"/>
      <c r="AR138" s="53"/>
      <c r="AS138" s="53"/>
      <c r="AT138" s="45">
        <f t="shared" si="38"/>
        <v>0</v>
      </c>
      <c r="AU138" s="45"/>
      <c r="AV138" s="53">
        <v>0</v>
      </c>
      <c r="AW138" s="53"/>
      <c r="AX138" s="53">
        <v>0</v>
      </c>
      <c r="AY138" s="53"/>
      <c r="AZ138" s="53">
        <f t="shared" si="39"/>
        <v>0</v>
      </c>
      <c r="BA138" s="124"/>
      <c r="BB138" s="126" t="s">
        <v>161</v>
      </c>
      <c r="BD138" s="126" t="s">
        <v>15</v>
      </c>
      <c r="BE138" s="137"/>
      <c r="BF138" s="53"/>
      <c r="BG138" s="53"/>
      <c r="BH138" s="53"/>
      <c r="BI138" s="53"/>
      <c r="BJ138" s="53"/>
      <c r="BK138" s="53"/>
      <c r="BL138" s="53"/>
      <c r="BM138" s="137"/>
      <c r="BN138" s="137">
        <f t="shared" si="34"/>
        <v>0</v>
      </c>
      <c r="BO138" s="139"/>
      <c r="BS138" s="140"/>
      <c r="BT138" s="140"/>
      <c r="BU138" s="141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</row>
    <row r="139" spans="1:95" s="35" customFormat="1" ht="12.75" customHeight="1" x14ac:dyDescent="0.2">
      <c r="A139" s="35" t="s">
        <v>162</v>
      </c>
      <c r="B139" s="51"/>
      <c r="C139" s="35" t="s">
        <v>163</v>
      </c>
      <c r="D139" s="44"/>
      <c r="E139" s="53">
        <f t="shared" si="35"/>
        <v>854348</v>
      </c>
      <c r="F139" s="53"/>
      <c r="G139" s="53">
        <v>3310290</v>
      </c>
      <c r="H139" s="53"/>
      <c r="I139" s="53">
        <v>4164638</v>
      </c>
      <c r="J139" s="53"/>
      <c r="K139" s="53">
        <f t="shared" si="36"/>
        <v>93343</v>
      </c>
      <c r="L139" s="53"/>
      <c r="M139" s="53">
        <v>152187</v>
      </c>
      <c r="N139" s="53"/>
      <c r="O139" s="53">
        <v>245530</v>
      </c>
      <c r="P139" s="53"/>
      <c r="Q139" s="53">
        <v>3310290</v>
      </c>
      <c r="R139" s="53"/>
      <c r="S139" s="53">
        <v>0</v>
      </c>
      <c r="T139" s="53"/>
      <c r="U139" s="53">
        <v>608818</v>
      </c>
      <c r="V139" s="53"/>
      <c r="W139" s="53">
        <f t="shared" si="40"/>
        <v>3919108</v>
      </c>
      <c r="Z139" s="35" t="s">
        <v>162</v>
      </c>
      <c r="AA139" s="53"/>
      <c r="AB139" s="35" t="s">
        <v>163</v>
      </c>
      <c r="AC139" s="51"/>
      <c r="AD139" s="53">
        <v>2148540</v>
      </c>
      <c r="AE139" s="53"/>
      <c r="AF139" s="53">
        <f>2249184-238254</f>
        <v>2010930</v>
      </c>
      <c r="AG139" s="53"/>
      <c r="AH139" s="53">
        <v>238254</v>
      </c>
      <c r="AI139" s="53"/>
      <c r="AJ139" s="45">
        <f t="shared" si="37"/>
        <v>-100644</v>
      </c>
      <c r="AK139" s="45"/>
      <c r="AL139" s="53">
        <v>-4492</v>
      </c>
      <c r="AM139" s="45"/>
      <c r="AN139" s="53">
        <v>5000</v>
      </c>
      <c r="AO139" s="53"/>
      <c r="AP139" s="53">
        <v>87550</v>
      </c>
      <c r="AQ139" s="53"/>
      <c r="AR139" s="53">
        <v>0</v>
      </c>
      <c r="AS139" s="53"/>
      <c r="AT139" s="45">
        <f t="shared" si="38"/>
        <v>-187686</v>
      </c>
      <c r="AU139" s="45"/>
      <c r="AV139" s="53">
        <v>0</v>
      </c>
      <c r="AW139" s="53"/>
      <c r="AX139" s="53">
        <v>0</v>
      </c>
      <c r="AY139" s="53"/>
      <c r="AZ139" s="53">
        <f t="shared" si="39"/>
        <v>761005</v>
      </c>
      <c r="BA139" s="51"/>
      <c r="BB139" s="35" t="s">
        <v>162</v>
      </c>
      <c r="BD139" s="35" t="s">
        <v>163</v>
      </c>
      <c r="BE139" s="53"/>
      <c r="BF139" s="53">
        <v>0</v>
      </c>
      <c r="BG139" s="53"/>
      <c r="BH139" s="53">
        <v>0</v>
      </c>
      <c r="BI139" s="53"/>
      <c r="BJ139" s="53">
        <v>0</v>
      </c>
      <c r="BK139" s="53"/>
      <c r="BL139" s="53">
        <v>152187</v>
      </c>
      <c r="BM139" s="53"/>
      <c r="BN139" s="53">
        <f t="shared" si="34"/>
        <v>152187</v>
      </c>
      <c r="BO139" s="54"/>
      <c r="BS139" s="55"/>
      <c r="BT139" s="55"/>
      <c r="BU139" s="84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</row>
    <row r="140" spans="1:95" s="126" customFormat="1" ht="12.75" hidden="1" customHeight="1" x14ac:dyDescent="0.2">
      <c r="A140" s="126" t="s">
        <v>164</v>
      </c>
      <c r="B140" s="124"/>
      <c r="C140" s="126" t="s">
        <v>27</v>
      </c>
      <c r="D140" s="121"/>
      <c r="E140" s="53">
        <f t="shared" si="35"/>
        <v>0</v>
      </c>
      <c r="F140" s="53"/>
      <c r="G140" s="53"/>
      <c r="H140" s="53"/>
      <c r="I140" s="53"/>
      <c r="J140" s="53"/>
      <c r="K140" s="53">
        <f t="shared" si="36"/>
        <v>0</v>
      </c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>
        <f t="shared" si="40"/>
        <v>0</v>
      </c>
      <c r="X140" s="124"/>
      <c r="Y140" s="124"/>
      <c r="Z140" s="126" t="s">
        <v>164</v>
      </c>
      <c r="AA140" s="137"/>
      <c r="AB140" s="126" t="s">
        <v>27</v>
      </c>
      <c r="AC140" s="124"/>
      <c r="AD140" s="53"/>
      <c r="AE140" s="53"/>
      <c r="AF140" s="53"/>
      <c r="AG140" s="53"/>
      <c r="AH140" s="53"/>
      <c r="AI140" s="53"/>
      <c r="AJ140" s="45">
        <f t="shared" si="37"/>
        <v>0</v>
      </c>
      <c r="AK140" s="45"/>
      <c r="AL140" s="53"/>
      <c r="AM140" s="45"/>
      <c r="AN140" s="53"/>
      <c r="AO140" s="53"/>
      <c r="AP140" s="53"/>
      <c r="AQ140" s="53"/>
      <c r="AR140" s="53"/>
      <c r="AS140" s="53"/>
      <c r="AT140" s="45">
        <f t="shared" si="38"/>
        <v>0</v>
      </c>
      <c r="AU140" s="45"/>
      <c r="AV140" s="53">
        <v>0</v>
      </c>
      <c r="AW140" s="53"/>
      <c r="AX140" s="53">
        <v>0</v>
      </c>
      <c r="AY140" s="53"/>
      <c r="AZ140" s="53">
        <f t="shared" si="39"/>
        <v>0</v>
      </c>
      <c r="BA140" s="124"/>
      <c r="BB140" s="126" t="s">
        <v>164</v>
      </c>
      <c r="BD140" s="126" t="s">
        <v>27</v>
      </c>
      <c r="BE140" s="137"/>
      <c r="BF140" s="53"/>
      <c r="BG140" s="53"/>
      <c r="BH140" s="53"/>
      <c r="BI140" s="53"/>
      <c r="BJ140" s="53"/>
      <c r="BK140" s="53"/>
      <c r="BL140" s="53"/>
      <c r="BM140" s="137"/>
      <c r="BN140" s="137">
        <f t="shared" si="34"/>
        <v>0</v>
      </c>
      <c r="BO140" s="139"/>
      <c r="BS140" s="140"/>
      <c r="BT140" s="140"/>
      <c r="BU140" s="141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</row>
    <row r="141" spans="1:95" s="35" customFormat="1" ht="12.75" customHeight="1" x14ac:dyDescent="0.2">
      <c r="A141" s="35" t="s">
        <v>53</v>
      </c>
      <c r="B141" s="51"/>
      <c r="C141" s="35" t="s">
        <v>53</v>
      </c>
      <c r="D141" s="44"/>
      <c r="E141" s="53">
        <f t="shared" si="35"/>
        <v>4610619</v>
      </c>
      <c r="F141" s="53"/>
      <c r="G141" s="53">
        <v>33020037</v>
      </c>
      <c r="H141" s="53"/>
      <c r="I141" s="53">
        <v>37630656</v>
      </c>
      <c r="J141" s="53"/>
      <c r="K141" s="53">
        <f t="shared" si="36"/>
        <v>972808</v>
      </c>
      <c r="L141" s="53"/>
      <c r="M141" s="53">
        <v>11905829</v>
      </c>
      <c r="N141" s="53"/>
      <c r="O141" s="53">
        <v>12878637</v>
      </c>
      <c r="P141" s="53"/>
      <c r="Q141" s="53">
        <v>13921717</v>
      </c>
      <c r="R141" s="53"/>
      <c r="S141" s="53">
        <v>0</v>
      </c>
      <c r="T141" s="53"/>
      <c r="U141" s="53">
        <v>10830302</v>
      </c>
      <c r="V141" s="53"/>
      <c r="W141" s="53">
        <f t="shared" si="40"/>
        <v>24752019</v>
      </c>
      <c r="X141" s="51"/>
      <c r="Y141" s="51"/>
      <c r="Z141" s="35" t="s">
        <v>53</v>
      </c>
      <c r="AA141" s="53"/>
      <c r="AB141" s="35" t="s">
        <v>53</v>
      </c>
      <c r="AC141" s="51"/>
      <c r="AD141" s="53">
        <v>4205007</v>
      </c>
      <c r="AE141" s="53"/>
      <c r="AF141" s="53">
        <f>3447314-430100</f>
        <v>3017214</v>
      </c>
      <c r="AG141" s="53"/>
      <c r="AH141" s="53">
        <v>430100</v>
      </c>
      <c r="AI141" s="53"/>
      <c r="AJ141" s="45">
        <f t="shared" si="37"/>
        <v>757693</v>
      </c>
      <c r="AK141" s="45"/>
      <c r="AL141" s="53">
        <v>-489602</v>
      </c>
      <c r="AM141" s="45"/>
      <c r="AN141" s="53">
        <v>0</v>
      </c>
      <c r="AO141" s="53"/>
      <c r="AP141" s="53">
        <v>0</v>
      </c>
      <c r="AQ141" s="53"/>
      <c r="AR141" s="53">
        <v>0</v>
      </c>
      <c r="AS141" s="53"/>
      <c r="AT141" s="45">
        <f t="shared" si="38"/>
        <v>268091</v>
      </c>
      <c r="AU141" s="45"/>
      <c r="AV141" s="53">
        <v>0</v>
      </c>
      <c r="AW141" s="53"/>
      <c r="AX141" s="53">
        <v>0</v>
      </c>
      <c r="AY141" s="53"/>
      <c r="AZ141" s="53">
        <f t="shared" si="39"/>
        <v>3637811</v>
      </c>
      <c r="BA141" s="51"/>
      <c r="BB141" s="35" t="s">
        <v>53</v>
      </c>
      <c r="BD141" s="35" t="s">
        <v>53</v>
      </c>
      <c r="BE141" s="53"/>
      <c r="BF141" s="53">
        <f>9746835+650000</f>
        <v>10396835</v>
      </c>
      <c r="BG141" s="53"/>
      <c r="BH141" s="53">
        <v>0</v>
      </c>
      <c r="BI141" s="53"/>
      <c r="BJ141" s="53">
        <f>970391+2992</f>
        <v>973383</v>
      </c>
      <c r="BK141" s="53"/>
      <c r="BL141" s="53">
        <f>1163937+2992+74708+21674+22190</f>
        <v>1285501</v>
      </c>
      <c r="BM141" s="53"/>
      <c r="BN141" s="53">
        <f t="shared" si="34"/>
        <v>12655719</v>
      </c>
      <c r="BO141" s="54"/>
      <c r="BS141" s="55"/>
      <c r="BT141" s="55"/>
      <c r="BU141" s="84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</row>
    <row r="142" spans="1:95" s="126" customFormat="1" ht="12.75" hidden="1" customHeight="1" x14ac:dyDescent="0.2">
      <c r="A142" s="126" t="s">
        <v>165</v>
      </c>
      <c r="B142" s="124"/>
      <c r="C142" s="126" t="s">
        <v>92</v>
      </c>
      <c r="D142" s="121"/>
      <c r="E142" s="53">
        <f t="shared" si="35"/>
        <v>0</v>
      </c>
      <c r="F142" s="53"/>
      <c r="G142" s="53"/>
      <c r="H142" s="53"/>
      <c r="I142" s="53"/>
      <c r="J142" s="53"/>
      <c r="K142" s="53">
        <f t="shared" si="36"/>
        <v>0</v>
      </c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>
        <f t="shared" si="40"/>
        <v>0</v>
      </c>
      <c r="X142" s="124"/>
      <c r="Y142" s="124"/>
      <c r="Z142" s="126" t="s">
        <v>165</v>
      </c>
      <c r="AA142" s="137"/>
      <c r="AB142" s="126" t="s">
        <v>92</v>
      </c>
      <c r="AC142" s="124"/>
      <c r="AD142" s="53"/>
      <c r="AE142" s="53"/>
      <c r="AF142" s="53"/>
      <c r="AG142" s="53"/>
      <c r="AH142" s="53"/>
      <c r="AI142" s="53"/>
      <c r="AJ142" s="45">
        <f t="shared" si="37"/>
        <v>0</v>
      </c>
      <c r="AK142" s="45"/>
      <c r="AL142" s="53"/>
      <c r="AM142" s="45"/>
      <c r="AN142" s="53"/>
      <c r="AO142" s="53"/>
      <c r="AP142" s="53"/>
      <c r="AQ142" s="53"/>
      <c r="AR142" s="53"/>
      <c r="AS142" s="53"/>
      <c r="AT142" s="45">
        <f t="shared" si="38"/>
        <v>0</v>
      </c>
      <c r="AU142" s="45"/>
      <c r="AV142" s="53">
        <v>0</v>
      </c>
      <c r="AW142" s="53"/>
      <c r="AX142" s="53">
        <v>0</v>
      </c>
      <c r="AY142" s="53"/>
      <c r="AZ142" s="53">
        <f t="shared" si="39"/>
        <v>0</v>
      </c>
      <c r="BA142" s="124"/>
      <c r="BB142" s="126" t="s">
        <v>165</v>
      </c>
      <c r="BD142" s="126" t="s">
        <v>92</v>
      </c>
      <c r="BE142" s="137"/>
      <c r="BF142" s="53"/>
      <c r="BG142" s="53"/>
      <c r="BH142" s="53"/>
      <c r="BI142" s="53"/>
      <c r="BJ142" s="53"/>
      <c r="BK142" s="53"/>
      <c r="BL142" s="53"/>
      <c r="BM142" s="137"/>
      <c r="BN142" s="137">
        <f t="shared" si="34"/>
        <v>0</v>
      </c>
      <c r="BO142" s="139"/>
      <c r="BS142" s="140"/>
      <c r="BT142" s="140"/>
      <c r="BU142" s="141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</row>
    <row r="143" spans="1:95" s="126" customFormat="1" ht="12.75" hidden="1" customHeight="1" x14ac:dyDescent="0.2">
      <c r="A143" s="126" t="s">
        <v>166</v>
      </c>
      <c r="B143" s="124"/>
      <c r="C143" s="126" t="s">
        <v>92</v>
      </c>
      <c r="D143" s="121"/>
      <c r="E143" s="53">
        <f t="shared" si="35"/>
        <v>0</v>
      </c>
      <c r="F143" s="53"/>
      <c r="G143" s="53"/>
      <c r="H143" s="53"/>
      <c r="I143" s="53"/>
      <c r="J143" s="53"/>
      <c r="K143" s="53">
        <f t="shared" si="36"/>
        <v>0</v>
      </c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>
        <f t="shared" si="40"/>
        <v>0</v>
      </c>
      <c r="X143" s="124"/>
      <c r="Y143" s="124"/>
      <c r="Z143" s="126" t="s">
        <v>166</v>
      </c>
      <c r="AA143" s="137"/>
      <c r="AB143" s="126" t="s">
        <v>92</v>
      </c>
      <c r="AC143" s="124"/>
      <c r="AD143" s="53"/>
      <c r="AE143" s="53"/>
      <c r="AF143" s="53"/>
      <c r="AG143" s="53"/>
      <c r="AH143" s="53"/>
      <c r="AI143" s="53"/>
      <c r="AJ143" s="45">
        <f t="shared" si="37"/>
        <v>0</v>
      </c>
      <c r="AK143" s="45"/>
      <c r="AL143" s="53"/>
      <c r="AM143" s="45"/>
      <c r="AN143" s="53"/>
      <c r="AO143" s="53"/>
      <c r="AP143" s="53"/>
      <c r="AQ143" s="53"/>
      <c r="AR143" s="53"/>
      <c r="AS143" s="53"/>
      <c r="AT143" s="45">
        <f t="shared" si="38"/>
        <v>0</v>
      </c>
      <c r="AU143" s="45"/>
      <c r="AV143" s="53">
        <v>0</v>
      </c>
      <c r="AW143" s="53"/>
      <c r="AX143" s="53">
        <v>0</v>
      </c>
      <c r="AY143" s="53"/>
      <c r="AZ143" s="53">
        <f t="shared" si="39"/>
        <v>0</v>
      </c>
      <c r="BA143" s="124"/>
      <c r="BB143" s="126" t="s">
        <v>166</v>
      </c>
      <c r="BD143" s="126" t="s">
        <v>92</v>
      </c>
      <c r="BE143" s="137"/>
      <c r="BF143" s="53"/>
      <c r="BG143" s="53"/>
      <c r="BH143" s="53"/>
      <c r="BI143" s="53"/>
      <c r="BJ143" s="53"/>
      <c r="BK143" s="53"/>
      <c r="BL143" s="53"/>
      <c r="BM143" s="137"/>
      <c r="BN143" s="137">
        <f t="shared" si="34"/>
        <v>0</v>
      </c>
      <c r="BO143" s="139"/>
      <c r="BS143" s="140"/>
      <c r="BT143" s="140"/>
      <c r="BU143" s="141"/>
      <c r="BV143" s="140"/>
      <c r="BW143" s="140"/>
      <c r="BX143" s="140"/>
      <c r="BY143" s="140"/>
      <c r="BZ143" s="140"/>
      <c r="CA143" s="140"/>
      <c r="CB143" s="140"/>
      <c r="CC143" s="140"/>
      <c r="CD143" s="140"/>
      <c r="CE143" s="140"/>
      <c r="CF143" s="140"/>
      <c r="CG143" s="140"/>
      <c r="CH143" s="140"/>
      <c r="CI143" s="140"/>
      <c r="CJ143" s="140"/>
      <c r="CK143" s="140"/>
      <c r="CL143" s="140"/>
      <c r="CM143" s="140"/>
      <c r="CN143" s="140"/>
      <c r="CO143" s="140"/>
      <c r="CP143" s="140"/>
      <c r="CQ143" s="140"/>
    </row>
    <row r="144" spans="1:95" s="35" customFormat="1" ht="12.75" customHeight="1" x14ac:dyDescent="0.2">
      <c r="A144" s="35" t="s">
        <v>167</v>
      </c>
      <c r="B144" s="51"/>
      <c r="C144" s="35" t="s">
        <v>66</v>
      </c>
      <c r="D144" s="44"/>
      <c r="E144" s="53">
        <f t="shared" si="35"/>
        <v>2728581</v>
      </c>
      <c r="F144" s="53"/>
      <c r="G144" s="53">
        <v>12710844</v>
      </c>
      <c r="H144" s="53"/>
      <c r="I144" s="53">
        <v>15439425</v>
      </c>
      <c r="J144" s="53"/>
      <c r="K144" s="53">
        <f t="shared" si="36"/>
        <v>1425113</v>
      </c>
      <c r="L144" s="53"/>
      <c r="M144" s="53">
        <v>1429512</v>
      </c>
      <c r="N144" s="53"/>
      <c r="O144" s="53">
        <v>2854625</v>
      </c>
      <c r="P144" s="53"/>
      <c r="Q144" s="53">
        <v>10025844</v>
      </c>
      <c r="R144" s="53"/>
      <c r="S144" s="53">
        <v>149283</v>
      </c>
      <c r="T144" s="53"/>
      <c r="U144" s="53">
        <v>2409673</v>
      </c>
      <c r="V144" s="53"/>
      <c r="W144" s="53">
        <f t="shared" si="40"/>
        <v>12584800</v>
      </c>
      <c r="Z144" s="35" t="s">
        <v>167</v>
      </c>
      <c r="AA144" s="53"/>
      <c r="AB144" s="35" t="s">
        <v>66</v>
      </c>
      <c r="AC144" s="51"/>
      <c r="AD144" s="53">
        <v>2320898</v>
      </c>
      <c r="AE144" s="53"/>
      <c r="AF144" s="53">
        <f>2619519-435185</f>
        <v>2184334</v>
      </c>
      <c r="AG144" s="53"/>
      <c r="AH144" s="53">
        <v>435185</v>
      </c>
      <c r="AI144" s="53"/>
      <c r="AJ144" s="45">
        <f t="shared" si="37"/>
        <v>-298621</v>
      </c>
      <c r="AK144" s="45"/>
      <c r="AL144" s="53">
        <v>475032</v>
      </c>
      <c r="AM144" s="45"/>
      <c r="AN144" s="53">
        <v>0</v>
      </c>
      <c r="AO144" s="53"/>
      <c r="AP144" s="53">
        <v>0</v>
      </c>
      <c r="AQ144" s="53"/>
      <c r="AR144" s="53">
        <v>67524</v>
      </c>
      <c r="AS144" s="53"/>
      <c r="AT144" s="45">
        <f t="shared" si="38"/>
        <v>243935</v>
      </c>
      <c r="AU144" s="45"/>
      <c r="AV144" s="53">
        <v>0</v>
      </c>
      <c r="AW144" s="53"/>
      <c r="AX144" s="53">
        <v>0</v>
      </c>
      <c r="AY144" s="53"/>
      <c r="AZ144" s="53">
        <f t="shared" si="39"/>
        <v>1303468</v>
      </c>
      <c r="BA144" s="51"/>
      <c r="BB144" s="35" t="s">
        <v>167</v>
      </c>
      <c r="BD144" s="35" t="s">
        <v>66</v>
      </c>
      <c r="BE144" s="53"/>
      <c r="BF144" s="53">
        <f>1420000+290000</f>
        <v>1710000</v>
      </c>
      <c r="BG144" s="53"/>
      <c r="BH144" s="53">
        <v>0</v>
      </c>
      <c r="BI144" s="53"/>
      <c r="BJ144" s="53">
        <v>0</v>
      </c>
      <c r="BK144" s="53"/>
      <c r="BL144" s="53">
        <f>9512+59044</f>
        <v>68556</v>
      </c>
      <c r="BM144" s="53"/>
      <c r="BN144" s="53">
        <f t="shared" si="34"/>
        <v>1778556</v>
      </c>
      <c r="BO144" s="54"/>
      <c r="BS144" s="55"/>
      <c r="BT144" s="55"/>
      <c r="BU144" s="84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</row>
    <row r="145" spans="1:95" s="126" customFormat="1" ht="12.75" hidden="1" customHeight="1" x14ac:dyDescent="0.2">
      <c r="A145" s="121" t="s">
        <v>168</v>
      </c>
      <c r="B145" s="124"/>
      <c r="C145" s="121" t="s">
        <v>27</v>
      </c>
      <c r="D145" s="121"/>
      <c r="E145" s="53">
        <f t="shared" si="35"/>
        <v>0</v>
      </c>
      <c r="F145" s="53"/>
      <c r="G145" s="53"/>
      <c r="H145" s="53"/>
      <c r="I145" s="53"/>
      <c r="J145" s="53"/>
      <c r="K145" s="53">
        <f t="shared" si="36"/>
        <v>0</v>
      </c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>
        <f t="shared" si="40"/>
        <v>0</v>
      </c>
      <c r="X145" s="124"/>
      <c r="Y145" s="124"/>
      <c r="Z145" s="121" t="s">
        <v>168</v>
      </c>
      <c r="AA145" s="137"/>
      <c r="AB145" s="121" t="s">
        <v>27</v>
      </c>
      <c r="AC145" s="124"/>
      <c r="AD145" s="53"/>
      <c r="AE145" s="53"/>
      <c r="AF145" s="53"/>
      <c r="AG145" s="53"/>
      <c r="AH145" s="53"/>
      <c r="AI145" s="53"/>
      <c r="AJ145" s="45">
        <f t="shared" ref="AJ145:AJ183" si="41">+AD145-AF145-AH145</f>
        <v>0</v>
      </c>
      <c r="AK145" s="45"/>
      <c r="AL145" s="53"/>
      <c r="AM145" s="45"/>
      <c r="AN145" s="53"/>
      <c r="AO145" s="53"/>
      <c r="AP145" s="53"/>
      <c r="AQ145" s="53"/>
      <c r="AR145" s="53"/>
      <c r="AS145" s="53"/>
      <c r="AT145" s="45">
        <f t="shared" si="38"/>
        <v>0</v>
      </c>
      <c r="AU145" s="45"/>
      <c r="AV145" s="53">
        <v>0</v>
      </c>
      <c r="AW145" s="53"/>
      <c r="AX145" s="53">
        <v>0</v>
      </c>
      <c r="AY145" s="53"/>
      <c r="AZ145" s="53">
        <f t="shared" si="39"/>
        <v>0</v>
      </c>
      <c r="BA145" s="124"/>
      <c r="BB145" s="121" t="s">
        <v>168</v>
      </c>
      <c r="BD145" s="121" t="s">
        <v>27</v>
      </c>
      <c r="BE145" s="137"/>
      <c r="BF145" s="53"/>
      <c r="BG145" s="53"/>
      <c r="BH145" s="53"/>
      <c r="BI145" s="53"/>
      <c r="BJ145" s="53"/>
      <c r="BK145" s="53"/>
      <c r="BL145" s="53"/>
      <c r="BM145" s="137"/>
      <c r="BN145" s="137">
        <f t="shared" si="34"/>
        <v>0</v>
      </c>
      <c r="BO145" s="139"/>
      <c r="BS145" s="140"/>
      <c r="BT145" s="140"/>
      <c r="BU145" s="141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</row>
    <row r="146" spans="1:95" s="35" customFormat="1" ht="12.75" customHeight="1" x14ac:dyDescent="0.2">
      <c r="A146" s="35" t="s">
        <v>169</v>
      </c>
      <c r="B146" s="51"/>
      <c r="C146" s="35" t="s">
        <v>103</v>
      </c>
      <c r="D146" s="44"/>
      <c r="E146" s="53">
        <f t="shared" si="35"/>
        <v>6794969</v>
      </c>
      <c r="F146" s="53"/>
      <c r="G146" s="53">
        <v>21873105</v>
      </c>
      <c r="H146" s="53"/>
      <c r="I146" s="53">
        <v>28668074</v>
      </c>
      <c r="J146" s="53"/>
      <c r="K146" s="53">
        <f t="shared" si="36"/>
        <v>2162192</v>
      </c>
      <c r="L146" s="53"/>
      <c r="M146" s="53">
        <v>3452748</v>
      </c>
      <c r="N146" s="53"/>
      <c r="O146" s="53">
        <v>5614940</v>
      </c>
      <c r="P146" s="53"/>
      <c r="Q146" s="53">
        <v>17637621</v>
      </c>
      <c r="R146" s="53"/>
      <c r="S146" s="53">
        <v>781776</v>
      </c>
      <c r="T146" s="53"/>
      <c r="U146" s="53">
        <v>4633737</v>
      </c>
      <c r="V146" s="53"/>
      <c r="W146" s="53">
        <f t="shared" si="40"/>
        <v>23053134</v>
      </c>
      <c r="Z146" s="35" t="s">
        <v>169</v>
      </c>
      <c r="AA146" s="53"/>
      <c r="AB146" s="35" t="s">
        <v>103</v>
      </c>
      <c r="AC146" s="51"/>
      <c r="AD146" s="53">
        <v>6441209</v>
      </c>
      <c r="AE146" s="53"/>
      <c r="AF146" s="53">
        <f>6342363-1228519</f>
        <v>5113844</v>
      </c>
      <c r="AG146" s="53"/>
      <c r="AH146" s="53">
        <v>1228519</v>
      </c>
      <c r="AI146" s="53"/>
      <c r="AJ146" s="45">
        <f t="shared" si="41"/>
        <v>98846</v>
      </c>
      <c r="AK146" s="45"/>
      <c r="AL146" s="53">
        <v>801752</v>
      </c>
      <c r="AM146" s="45"/>
      <c r="AN146" s="53">
        <v>0</v>
      </c>
      <c r="AO146" s="53"/>
      <c r="AP146" s="53">
        <v>30839</v>
      </c>
      <c r="AQ146" s="53"/>
      <c r="AR146" s="53">
        <v>0</v>
      </c>
      <c r="AS146" s="53"/>
      <c r="AT146" s="45">
        <f t="shared" si="38"/>
        <v>869759</v>
      </c>
      <c r="AU146" s="45"/>
      <c r="AV146" s="53">
        <v>0</v>
      </c>
      <c r="AW146" s="53"/>
      <c r="AX146" s="53">
        <v>0</v>
      </c>
      <c r="AY146" s="53"/>
      <c r="AZ146" s="53">
        <f t="shared" si="39"/>
        <v>4632777</v>
      </c>
      <c r="BA146" s="51"/>
      <c r="BB146" s="35" t="s">
        <v>169</v>
      </c>
      <c r="BD146" s="35" t="s">
        <v>103</v>
      </c>
      <c r="BE146" s="53"/>
      <c r="BF146" s="53">
        <f>1444653+26919+377904</f>
        <v>1849476</v>
      </c>
      <c r="BG146" s="53"/>
      <c r="BH146" s="53">
        <v>0</v>
      </c>
      <c r="BI146" s="53"/>
      <c r="BJ146" s="53">
        <v>0</v>
      </c>
      <c r="BK146" s="53"/>
      <c r="BL146" s="53">
        <f>1852063+50040+79073+403872+110261</f>
        <v>2495309</v>
      </c>
      <c r="BM146" s="53"/>
      <c r="BN146" s="53">
        <f t="shared" si="34"/>
        <v>4344785</v>
      </c>
      <c r="BO146" s="54"/>
      <c r="BS146" s="55"/>
      <c r="BT146" s="55"/>
      <c r="BU146" s="84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</row>
    <row r="147" spans="1:95" s="35" customFormat="1" ht="12.75" customHeight="1" x14ac:dyDescent="0.2">
      <c r="A147" s="35" t="s">
        <v>170</v>
      </c>
      <c r="B147" s="51"/>
      <c r="C147" s="35" t="s">
        <v>171</v>
      </c>
      <c r="D147" s="44"/>
      <c r="E147" s="53">
        <f t="shared" si="35"/>
        <v>2175544</v>
      </c>
      <c r="F147" s="53"/>
      <c r="G147" s="53">
        <v>4355172</v>
      </c>
      <c r="H147" s="53"/>
      <c r="I147" s="53">
        <v>6530716</v>
      </c>
      <c r="J147" s="53"/>
      <c r="K147" s="53">
        <f t="shared" si="36"/>
        <v>169223</v>
      </c>
      <c r="L147" s="53"/>
      <c r="M147" s="53">
        <v>1423447</v>
      </c>
      <c r="N147" s="53"/>
      <c r="O147" s="53">
        <v>1592670</v>
      </c>
      <c r="P147" s="53"/>
      <c r="Q147" s="53">
        <v>2866613</v>
      </c>
      <c r="R147" s="53"/>
      <c r="S147" s="53">
        <v>0</v>
      </c>
      <c r="T147" s="53"/>
      <c r="U147" s="53">
        <v>2071433</v>
      </c>
      <c r="V147" s="53"/>
      <c r="W147" s="53">
        <f t="shared" si="40"/>
        <v>4938046</v>
      </c>
      <c r="Z147" s="35" t="s">
        <v>170</v>
      </c>
      <c r="AA147" s="53"/>
      <c r="AB147" s="35" t="s">
        <v>171</v>
      </c>
      <c r="AC147" s="51"/>
      <c r="AD147" s="53">
        <v>763036</v>
      </c>
      <c r="AE147" s="53"/>
      <c r="AF147" s="53">
        <f>1184216-272621</f>
        <v>911595</v>
      </c>
      <c r="AG147" s="53"/>
      <c r="AH147" s="53">
        <v>272621</v>
      </c>
      <c r="AI147" s="53"/>
      <c r="AJ147" s="45">
        <f t="shared" si="41"/>
        <v>-421180</v>
      </c>
      <c r="AK147" s="45"/>
      <c r="AL147" s="53">
        <v>-9339</v>
      </c>
      <c r="AM147" s="45"/>
      <c r="AN147" s="53">
        <v>0</v>
      </c>
      <c r="AO147" s="53"/>
      <c r="AP147" s="53">
        <v>0</v>
      </c>
      <c r="AQ147" s="53"/>
      <c r="AR147" s="53">
        <v>0</v>
      </c>
      <c r="AS147" s="53"/>
      <c r="AT147" s="45">
        <f t="shared" si="38"/>
        <v>-430519</v>
      </c>
      <c r="AU147" s="45"/>
      <c r="AV147" s="53">
        <v>0</v>
      </c>
      <c r="AW147" s="53"/>
      <c r="AX147" s="53">
        <v>0</v>
      </c>
      <c r="AY147" s="53"/>
      <c r="AZ147" s="53">
        <f t="shared" si="39"/>
        <v>2006321</v>
      </c>
      <c r="BA147" s="51"/>
      <c r="BB147" s="35" t="s">
        <v>170</v>
      </c>
      <c r="BD147" s="35" t="s">
        <v>171</v>
      </c>
      <c r="BE147" s="53"/>
      <c r="BF147" s="53">
        <v>0</v>
      </c>
      <c r="BG147" s="53"/>
      <c r="BH147" s="53">
        <v>0</v>
      </c>
      <c r="BI147" s="53"/>
      <c r="BJ147" s="53">
        <f>1207099+200941+66020+14499</f>
        <v>1488559</v>
      </c>
      <c r="BK147" s="53"/>
      <c r="BL147" s="53">
        <f>15407+18831</f>
        <v>34238</v>
      </c>
      <c r="BM147" s="53"/>
      <c r="BN147" s="53">
        <f t="shared" si="34"/>
        <v>1522797</v>
      </c>
      <c r="BO147" s="54"/>
      <c r="BS147" s="55"/>
      <c r="BT147" s="55"/>
      <c r="BU147" s="84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</row>
    <row r="148" spans="1:95" s="35" customFormat="1" ht="12.75" customHeight="1" x14ac:dyDescent="0.2">
      <c r="A148" s="35" t="s">
        <v>172</v>
      </c>
      <c r="B148" s="51"/>
      <c r="C148" s="35" t="s">
        <v>103</v>
      </c>
      <c r="D148" s="44"/>
      <c r="E148" s="53">
        <f t="shared" si="35"/>
        <v>4082069</v>
      </c>
      <c r="F148" s="53"/>
      <c r="G148" s="53">
        <v>5999001</v>
      </c>
      <c r="H148" s="53"/>
      <c r="I148" s="53">
        <v>10081070</v>
      </c>
      <c r="J148" s="53"/>
      <c r="K148" s="53">
        <f t="shared" si="36"/>
        <v>362953</v>
      </c>
      <c r="L148" s="53"/>
      <c r="M148" s="53">
        <v>5836354</v>
      </c>
      <c r="N148" s="53"/>
      <c r="O148" s="53">
        <v>6199307</v>
      </c>
      <c r="P148" s="53"/>
      <c r="Q148" s="53">
        <v>2484546</v>
      </c>
      <c r="R148" s="53"/>
      <c r="S148" s="53">
        <v>0</v>
      </c>
      <c r="T148" s="53"/>
      <c r="U148" s="53">
        <v>1397217</v>
      </c>
      <c r="V148" s="53"/>
      <c r="W148" s="53">
        <f t="shared" si="40"/>
        <v>3881763</v>
      </c>
      <c r="X148" s="51"/>
      <c r="Y148" s="51"/>
      <c r="Z148" s="35" t="s">
        <v>172</v>
      </c>
      <c r="AA148" s="53"/>
      <c r="AB148" s="35" t="s">
        <v>103</v>
      </c>
      <c r="AC148" s="51"/>
      <c r="AD148" s="53">
        <v>2371513</v>
      </c>
      <c r="AE148" s="53"/>
      <c r="AF148" s="53">
        <f>2316586-410692</f>
        <v>1905894</v>
      </c>
      <c r="AG148" s="53"/>
      <c r="AH148" s="53">
        <v>410692</v>
      </c>
      <c r="AI148" s="53"/>
      <c r="AJ148" s="45">
        <f t="shared" si="41"/>
        <v>54927</v>
      </c>
      <c r="AK148" s="45"/>
      <c r="AL148" s="53">
        <v>-231890</v>
      </c>
      <c r="AM148" s="45"/>
      <c r="AN148" s="53">
        <v>134844</v>
      </c>
      <c r="AO148" s="53"/>
      <c r="AP148" s="53">
        <v>0</v>
      </c>
      <c r="AQ148" s="53"/>
      <c r="AR148" s="53">
        <v>0</v>
      </c>
      <c r="AS148" s="53"/>
      <c r="AT148" s="45">
        <f t="shared" si="38"/>
        <v>-42119</v>
      </c>
      <c r="AU148" s="45"/>
      <c r="AV148" s="53">
        <v>0</v>
      </c>
      <c r="AW148" s="53"/>
      <c r="AX148" s="53">
        <v>0</v>
      </c>
      <c r="AY148" s="53"/>
      <c r="AZ148" s="53">
        <f t="shared" si="39"/>
        <v>3719116</v>
      </c>
      <c r="BA148" s="51"/>
      <c r="BB148" s="35" t="s">
        <v>172</v>
      </c>
      <c r="BD148" s="35" t="s">
        <v>103</v>
      </c>
      <c r="BE148" s="53"/>
      <c r="BF148" s="53">
        <v>0</v>
      </c>
      <c r="BG148" s="53"/>
      <c r="BH148" s="53">
        <f>5420000+35367+205000</f>
        <v>5660367</v>
      </c>
      <c r="BI148" s="53"/>
      <c r="BJ148" s="53">
        <f>367465+34102</f>
        <v>401567</v>
      </c>
      <c r="BK148" s="53"/>
      <c r="BL148" s="53">
        <v>13522</v>
      </c>
      <c r="BM148" s="53"/>
      <c r="BN148" s="53">
        <f t="shared" si="34"/>
        <v>6075456</v>
      </c>
      <c r="BO148" s="54"/>
      <c r="BS148" s="55"/>
      <c r="BT148" s="55"/>
      <c r="BU148" s="84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</row>
    <row r="149" spans="1:95" s="126" customFormat="1" ht="12.75" hidden="1" customHeight="1" x14ac:dyDescent="0.2">
      <c r="A149" s="35" t="s">
        <v>66</v>
      </c>
      <c r="B149" s="51"/>
      <c r="C149" s="35" t="s">
        <v>45</v>
      </c>
      <c r="D149" s="44"/>
      <c r="E149" s="53">
        <f t="shared" si="35"/>
        <v>0</v>
      </c>
      <c r="F149" s="53"/>
      <c r="G149" s="53"/>
      <c r="H149" s="53"/>
      <c r="I149" s="53"/>
      <c r="J149" s="53"/>
      <c r="K149" s="53">
        <f t="shared" si="36"/>
        <v>0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>
        <f t="shared" si="40"/>
        <v>0</v>
      </c>
      <c r="X149" s="51"/>
      <c r="Y149" s="51"/>
      <c r="Z149" s="35" t="s">
        <v>66</v>
      </c>
      <c r="AA149" s="53"/>
      <c r="AB149" s="35" t="s">
        <v>45</v>
      </c>
      <c r="AC149" s="51"/>
      <c r="AD149" s="53"/>
      <c r="AE149" s="53"/>
      <c r="AF149" s="53"/>
      <c r="AG149" s="53"/>
      <c r="AH149" s="53"/>
      <c r="AI149" s="53"/>
      <c r="AJ149" s="45">
        <f t="shared" si="41"/>
        <v>0</v>
      </c>
      <c r="AK149" s="45"/>
      <c r="AL149" s="53"/>
      <c r="AM149" s="45"/>
      <c r="AN149" s="53"/>
      <c r="AO149" s="53"/>
      <c r="AP149" s="53"/>
      <c r="AQ149" s="53"/>
      <c r="AR149" s="53"/>
      <c r="AS149" s="53"/>
      <c r="AT149" s="45">
        <f t="shared" ref="AT149:AT183" si="42">+AJ149+AL149+AN149-AP149+AR149</f>
        <v>0</v>
      </c>
      <c r="AU149" s="45"/>
      <c r="AV149" s="53">
        <v>0</v>
      </c>
      <c r="AW149" s="53"/>
      <c r="AX149" s="53">
        <v>0</v>
      </c>
      <c r="AY149" s="53"/>
      <c r="AZ149" s="53">
        <f t="shared" si="39"/>
        <v>0</v>
      </c>
      <c r="BA149" s="51"/>
      <c r="BB149" s="35" t="s">
        <v>66</v>
      </c>
      <c r="BC149" s="35"/>
      <c r="BD149" s="35" t="s">
        <v>45</v>
      </c>
      <c r="BE149" s="53"/>
      <c r="BF149" s="53"/>
      <c r="BG149" s="53"/>
      <c r="BH149" s="53"/>
      <c r="BI149" s="53"/>
      <c r="BJ149" s="53"/>
      <c r="BK149" s="53"/>
      <c r="BL149" s="53"/>
      <c r="BM149" s="53"/>
      <c r="BN149" s="53">
        <f t="shared" si="34"/>
        <v>0</v>
      </c>
      <c r="BO149" s="139"/>
      <c r="BS149" s="140"/>
      <c r="BT149" s="140"/>
      <c r="BU149" s="141"/>
      <c r="BV149" s="140"/>
      <c r="BW149" s="140"/>
      <c r="BX149" s="140"/>
      <c r="BY149" s="140"/>
      <c r="BZ149" s="140"/>
      <c r="CA149" s="140"/>
      <c r="CB149" s="140"/>
      <c r="CC149" s="140"/>
      <c r="CD149" s="140"/>
      <c r="CE149" s="140"/>
      <c r="CF149" s="140"/>
      <c r="CG149" s="140"/>
      <c r="CH149" s="140"/>
      <c r="CI149" s="140"/>
      <c r="CJ149" s="140"/>
      <c r="CK149" s="140"/>
      <c r="CL149" s="140"/>
      <c r="CM149" s="140"/>
      <c r="CN149" s="140"/>
      <c r="CO149" s="140"/>
      <c r="CP149" s="140"/>
      <c r="CQ149" s="140"/>
    </row>
    <row r="150" spans="1:95" s="126" customFormat="1" ht="12.75" hidden="1" customHeight="1" x14ac:dyDescent="0.2">
      <c r="A150" s="35" t="s">
        <v>173</v>
      </c>
      <c r="B150" s="51"/>
      <c r="C150" s="35" t="s">
        <v>66</v>
      </c>
      <c r="D150" s="44"/>
      <c r="E150" s="53">
        <f t="shared" ref="E150:E183" si="43">I150-G150</f>
        <v>0</v>
      </c>
      <c r="F150" s="53"/>
      <c r="G150" s="53"/>
      <c r="H150" s="53"/>
      <c r="I150" s="53"/>
      <c r="J150" s="53"/>
      <c r="K150" s="53">
        <f t="shared" ref="K150:K183" si="44">O150-M150</f>
        <v>0</v>
      </c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>
        <f t="shared" si="40"/>
        <v>0</v>
      </c>
      <c r="X150" s="51"/>
      <c r="Y150" s="51"/>
      <c r="Z150" s="35" t="s">
        <v>173</v>
      </c>
      <c r="AA150" s="53"/>
      <c r="AB150" s="35" t="s">
        <v>66</v>
      </c>
      <c r="AC150" s="51"/>
      <c r="AD150" s="53"/>
      <c r="AE150" s="53"/>
      <c r="AF150" s="53"/>
      <c r="AG150" s="53"/>
      <c r="AH150" s="53"/>
      <c r="AI150" s="53"/>
      <c r="AJ150" s="45">
        <f t="shared" si="41"/>
        <v>0</v>
      </c>
      <c r="AK150" s="45"/>
      <c r="AL150" s="53"/>
      <c r="AM150" s="45"/>
      <c r="AN150" s="53"/>
      <c r="AO150" s="53"/>
      <c r="AP150" s="53"/>
      <c r="AQ150" s="53"/>
      <c r="AR150" s="53"/>
      <c r="AS150" s="53"/>
      <c r="AT150" s="45">
        <f t="shared" si="42"/>
        <v>0</v>
      </c>
      <c r="AU150" s="45"/>
      <c r="AV150" s="53">
        <v>0</v>
      </c>
      <c r="AW150" s="53"/>
      <c r="AX150" s="53">
        <v>0</v>
      </c>
      <c r="AY150" s="53"/>
      <c r="AZ150" s="53">
        <f t="shared" si="39"/>
        <v>0</v>
      </c>
      <c r="BA150" s="51"/>
      <c r="BB150" s="35" t="s">
        <v>173</v>
      </c>
      <c r="BC150" s="35"/>
      <c r="BD150" s="35" t="s">
        <v>66</v>
      </c>
      <c r="BE150" s="53"/>
      <c r="BF150" s="53"/>
      <c r="BG150" s="53"/>
      <c r="BH150" s="53"/>
      <c r="BI150" s="53"/>
      <c r="BJ150" s="53"/>
      <c r="BK150" s="53"/>
      <c r="BL150" s="53"/>
      <c r="BM150" s="53"/>
      <c r="BN150" s="53">
        <f t="shared" ref="BN150:BN216" si="45">SUM(BF150:BL150)</f>
        <v>0</v>
      </c>
      <c r="BO150" s="139"/>
      <c r="BS150" s="140"/>
      <c r="BT150" s="140"/>
      <c r="BU150" s="141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</row>
    <row r="151" spans="1:95" s="126" customFormat="1" ht="12.75" hidden="1" customHeight="1" x14ac:dyDescent="0.2">
      <c r="A151" s="35" t="s">
        <v>365</v>
      </c>
      <c r="B151" s="51"/>
      <c r="C151" s="35" t="s">
        <v>45</v>
      </c>
      <c r="D151" s="44"/>
      <c r="E151" s="53">
        <f t="shared" si="43"/>
        <v>0</v>
      </c>
      <c r="F151" s="53"/>
      <c r="G151" s="53"/>
      <c r="H151" s="53"/>
      <c r="I151" s="53"/>
      <c r="J151" s="53"/>
      <c r="K151" s="53">
        <f t="shared" si="44"/>
        <v>0</v>
      </c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>
        <f t="shared" si="40"/>
        <v>0</v>
      </c>
      <c r="X151" s="51"/>
      <c r="Y151" s="51"/>
      <c r="Z151" s="35" t="s">
        <v>365</v>
      </c>
      <c r="AA151" s="53"/>
      <c r="AB151" s="35" t="s">
        <v>45</v>
      </c>
      <c r="AC151" s="51"/>
      <c r="AD151" s="53"/>
      <c r="AE151" s="53"/>
      <c r="AF151" s="53"/>
      <c r="AG151" s="53"/>
      <c r="AH151" s="53"/>
      <c r="AI151" s="53"/>
      <c r="AJ151" s="45">
        <f t="shared" si="41"/>
        <v>0</v>
      </c>
      <c r="AK151" s="45"/>
      <c r="AL151" s="53"/>
      <c r="AM151" s="45"/>
      <c r="AN151" s="53"/>
      <c r="AO151" s="53"/>
      <c r="AP151" s="53"/>
      <c r="AQ151" s="53"/>
      <c r="AR151" s="53"/>
      <c r="AS151" s="53"/>
      <c r="AT151" s="45">
        <f t="shared" si="42"/>
        <v>0</v>
      </c>
      <c r="AU151" s="45"/>
      <c r="AV151" s="53">
        <v>0</v>
      </c>
      <c r="AW151" s="53"/>
      <c r="AX151" s="53">
        <v>0</v>
      </c>
      <c r="AY151" s="53"/>
      <c r="AZ151" s="53">
        <f t="shared" si="39"/>
        <v>0</v>
      </c>
      <c r="BA151" s="51"/>
      <c r="BB151" s="35" t="s">
        <v>365</v>
      </c>
      <c r="BC151" s="35"/>
      <c r="BD151" s="35" t="s">
        <v>45</v>
      </c>
      <c r="BE151" s="53"/>
      <c r="BF151" s="53"/>
      <c r="BG151" s="53"/>
      <c r="BH151" s="53"/>
      <c r="BI151" s="53"/>
      <c r="BJ151" s="53"/>
      <c r="BK151" s="53"/>
      <c r="BL151" s="53"/>
      <c r="BM151" s="53"/>
      <c r="BN151" s="53">
        <f t="shared" si="45"/>
        <v>0</v>
      </c>
      <c r="BO151" s="139"/>
      <c r="BS151" s="140"/>
      <c r="BT151" s="140"/>
      <c r="BU151" s="141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</row>
    <row r="152" spans="1:95" s="35" customFormat="1" ht="12.75" customHeight="1" x14ac:dyDescent="0.2">
      <c r="A152" s="35" t="s">
        <v>175</v>
      </c>
      <c r="B152" s="51"/>
      <c r="C152" s="35" t="s">
        <v>176</v>
      </c>
      <c r="D152" s="44"/>
      <c r="E152" s="53">
        <f t="shared" si="43"/>
        <v>1800142</v>
      </c>
      <c r="F152" s="53"/>
      <c r="G152" s="53">
        <v>16199063</v>
      </c>
      <c r="H152" s="53"/>
      <c r="I152" s="53">
        <v>17999205</v>
      </c>
      <c r="J152" s="53"/>
      <c r="K152" s="53">
        <f t="shared" si="44"/>
        <v>1286166</v>
      </c>
      <c r="L152" s="53"/>
      <c r="M152" s="53">
        <v>7343236</v>
      </c>
      <c r="N152" s="53"/>
      <c r="O152" s="53">
        <v>8629402</v>
      </c>
      <c r="P152" s="53"/>
      <c r="Q152" s="53">
        <v>7548763</v>
      </c>
      <c r="R152" s="53"/>
      <c r="S152" s="53">
        <f>453631+442250</f>
        <v>895881</v>
      </c>
      <c r="T152" s="53"/>
      <c r="U152" s="53">
        <v>925159</v>
      </c>
      <c r="V152" s="53"/>
      <c r="W152" s="53">
        <f t="shared" si="40"/>
        <v>9369803</v>
      </c>
      <c r="X152" s="51"/>
      <c r="Y152" s="51"/>
      <c r="Z152" s="35" t="s">
        <v>175</v>
      </c>
      <c r="AA152" s="53"/>
      <c r="AB152" s="35" t="s">
        <v>176</v>
      </c>
      <c r="AC152" s="51"/>
      <c r="AD152" s="53">
        <v>3371924</v>
      </c>
      <c r="AE152" s="53"/>
      <c r="AF152" s="53">
        <f>2826753-893525</f>
        <v>1933228</v>
      </c>
      <c r="AG152" s="53"/>
      <c r="AH152" s="53">
        <v>893525</v>
      </c>
      <c r="AI152" s="53"/>
      <c r="AJ152" s="45">
        <f t="shared" si="41"/>
        <v>545171</v>
      </c>
      <c r="AK152" s="45"/>
      <c r="AL152" s="53">
        <v>-352291</v>
      </c>
      <c r="AM152" s="45"/>
      <c r="AN152" s="53">
        <v>0</v>
      </c>
      <c r="AO152" s="53"/>
      <c r="AP152" s="53">
        <v>0</v>
      </c>
      <c r="AQ152" s="53"/>
      <c r="AR152" s="53">
        <v>0</v>
      </c>
      <c r="AS152" s="53"/>
      <c r="AT152" s="45">
        <f t="shared" si="42"/>
        <v>192880</v>
      </c>
      <c r="AU152" s="45"/>
      <c r="AV152" s="53">
        <v>0</v>
      </c>
      <c r="AW152" s="53"/>
      <c r="AX152" s="53">
        <v>0</v>
      </c>
      <c r="AY152" s="53"/>
      <c r="AZ152" s="53">
        <f t="shared" si="39"/>
        <v>513976</v>
      </c>
      <c r="BA152" s="51"/>
      <c r="BB152" s="35" t="s">
        <v>175</v>
      </c>
      <c r="BD152" s="35" t="s">
        <v>176</v>
      </c>
      <c r="BE152" s="53"/>
      <c r="BF152" s="53">
        <f>3940115+531975</f>
        <v>4472090</v>
      </c>
      <c r="BG152" s="53"/>
      <c r="BH152" s="53">
        <f>3205000+415000</f>
        <v>3620000</v>
      </c>
      <c r="BI152" s="53"/>
      <c r="BJ152" s="53">
        <f>109692+6268</f>
        <v>115960</v>
      </c>
      <c r="BK152" s="53"/>
      <c r="BL152" s="53">
        <f>88429+55247</f>
        <v>143676</v>
      </c>
      <c r="BM152" s="53"/>
      <c r="BN152" s="53">
        <f t="shared" si="45"/>
        <v>8351726</v>
      </c>
      <c r="BO152" s="54"/>
      <c r="BS152" s="55"/>
      <c r="BT152" s="55"/>
      <c r="BU152" s="84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</row>
    <row r="153" spans="1:95" s="35" customFormat="1" ht="12.75" customHeight="1" x14ac:dyDescent="0.2">
      <c r="A153" s="35" t="s">
        <v>177</v>
      </c>
      <c r="B153" s="51"/>
      <c r="C153" s="35" t="s">
        <v>13</v>
      </c>
      <c r="D153" s="44"/>
      <c r="E153" s="53">
        <f t="shared" si="43"/>
        <v>2771872</v>
      </c>
      <c r="F153" s="53"/>
      <c r="G153" s="53">
        <v>2837214</v>
      </c>
      <c r="H153" s="53"/>
      <c r="I153" s="53">
        <v>5609086</v>
      </c>
      <c r="J153" s="53"/>
      <c r="K153" s="53">
        <f t="shared" si="44"/>
        <v>141593</v>
      </c>
      <c r="L153" s="53"/>
      <c r="M153" s="53">
        <v>628271</v>
      </c>
      <c r="N153" s="53"/>
      <c r="O153" s="53">
        <v>769864</v>
      </c>
      <c r="P153" s="53"/>
      <c r="Q153" s="53">
        <v>2122169</v>
      </c>
      <c r="R153" s="53"/>
      <c r="S153" s="53">
        <v>0</v>
      </c>
      <c r="T153" s="53"/>
      <c r="U153" s="53">
        <v>2717053</v>
      </c>
      <c r="V153" s="53"/>
      <c r="W153" s="53">
        <f t="shared" si="40"/>
        <v>4839222</v>
      </c>
      <c r="X153" s="51"/>
      <c r="Y153" s="51"/>
      <c r="Z153" s="35" t="s">
        <v>177</v>
      </c>
      <c r="AA153" s="53"/>
      <c r="AB153" s="35" t="s">
        <v>13</v>
      </c>
      <c r="AC153" s="51"/>
      <c r="AD153" s="53">
        <v>815590</v>
      </c>
      <c r="AE153" s="53"/>
      <c r="AF153" s="53">
        <f>635471-125798</f>
        <v>509673</v>
      </c>
      <c r="AG153" s="53"/>
      <c r="AH153" s="53">
        <v>125798</v>
      </c>
      <c r="AI153" s="53"/>
      <c r="AJ153" s="45">
        <f t="shared" si="41"/>
        <v>180119</v>
      </c>
      <c r="AK153" s="45"/>
      <c r="AL153" s="53">
        <v>271513</v>
      </c>
      <c r="AM153" s="45"/>
      <c r="AN153" s="53">
        <v>0</v>
      </c>
      <c r="AO153" s="53"/>
      <c r="AP153" s="53">
        <v>0</v>
      </c>
      <c r="AQ153" s="53"/>
      <c r="AR153" s="53">
        <v>0</v>
      </c>
      <c r="AS153" s="53"/>
      <c r="AT153" s="45">
        <f t="shared" si="42"/>
        <v>451632</v>
      </c>
      <c r="AU153" s="45"/>
      <c r="AV153" s="53">
        <v>0</v>
      </c>
      <c r="AW153" s="53"/>
      <c r="AX153" s="53">
        <v>0</v>
      </c>
      <c r="AY153" s="53"/>
      <c r="AZ153" s="53">
        <f t="shared" si="39"/>
        <v>2630279</v>
      </c>
      <c r="BA153" s="51"/>
      <c r="BB153" s="35" t="s">
        <v>177</v>
      </c>
      <c r="BD153" s="35" t="s">
        <v>13</v>
      </c>
      <c r="BE153" s="53"/>
      <c r="BF153" s="53">
        <f>628271+109250</f>
        <v>737521</v>
      </c>
      <c r="BG153" s="53"/>
      <c r="BH153" s="53">
        <v>0</v>
      </c>
      <c r="BI153" s="53"/>
      <c r="BJ153" s="53">
        <v>0</v>
      </c>
      <c r="BK153" s="53"/>
      <c r="BL153" s="53">
        <v>0</v>
      </c>
      <c r="BM153" s="53"/>
      <c r="BN153" s="53">
        <f t="shared" si="45"/>
        <v>737521</v>
      </c>
      <c r="BO153" s="54"/>
      <c r="BS153" s="55"/>
      <c r="BT153" s="55"/>
      <c r="BU153" s="84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</row>
    <row r="154" spans="1:95" s="35" customFormat="1" ht="12.75" customHeight="1" x14ac:dyDescent="0.2">
      <c r="A154" s="35" t="s">
        <v>178</v>
      </c>
      <c r="B154" s="51"/>
      <c r="C154" s="35" t="s">
        <v>179</v>
      </c>
      <c r="D154" s="44"/>
      <c r="E154" s="53">
        <f t="shared" si="43"/>
        <v>1623302</v>
      </c>
      <c r="F154" s="53"/>
      <c r="G154" s="53">
        <v>9195662</v>
      </c>
      <c r="H154" s="53"/>
      <c r="I154" s="53">
        <v>10818964</v>
      </c>
      <c r="J154" s="53"/>
      <c r="K154" s="53">
        <f t="shared" si="44"/>
        <v>455817</v>
      </c>
      <c r="L154" s="53"/>
      <c r="M154" s="53">
        <v>5936638</v>
      </c>
      <c r="N154" s="53"/>
      <c r="O154" s="53">
        <v>6392455</v>
      </c>
      <c r="P154" s="53"/>
      <c r="Q154" s="53">
        <v>3654619</v>
      </c>
      <c r="R154" s="53"/>
      <c r="S154" s="53">
        <v>0</v>
      </c>
      <c r="T154" s="53"/>
      <c r="U154" s="53">
        <v>771890</v>
      </c>
      <c r="V154" s="53"/>
      <c r="W154" s="53">
        <f t="shared" si="40"/>
        <v>4426509</v>
      </c>
      <c r="X154" s="51"/>
      <c r="Y154" s="51"/>
      <c r="Z154" s="35" t="s">
        <v>178</v>
      </c>
      <c r="AA154" s="53"/>
      <c r="AB154" s="35" t="s">
        <v>179</v>
      </c>
      <c r="AC154" s="51"/>
      <c r="AD154" s="53">
        <v>2628076</v>
      </c>
      <c r="AE154" s="53"/>
      <c r="AF154" s="53">
        <f>2931200-233728</f>
        <v>2697472</v>
      </c>
      <c r="AG154" s="53"/>
      <c r="AH154" s="53">
        <v>233728</v>
      </c>
      <c r="AI154" s="53"/>
      <c r="AJ154" s="45">
        <f t="shared" si="41"/>
        <v>-303124</v>
      </c>
      <c r="AK154" s="45"/>
      <c r="AL154" s="53">
        <v>-300743</v>
      </c>
      <c r="AM154" s="45"/>
      <c r="AN154" s="53">
        <v>96310</v>
      </c>
      <c r="AO154" s="53"/>
      <c r="AP154" s="53">
        <v>39090</v>
      </c>
      <c r="AQ154" s="53"/>
      <c r="AR154" s="53">
        <v>46412</v>
      </c>
      <c r="AS154" s="53"/>
      <c r="AT154" s="45">
        <f t="shared" si="42"/>
        <v>-500235</v>
      </c>
      <c r="AU154" s="45"/>
      <c r="AV154" s="53">
        <v>0</v>
      </c>
      <c r="AW154" s="53"/>
      <c r="AX154" s="53">
        <v>0</v>
      </c>
      <c r="AY154" s="53"/>
      <c r="AZ154" s="53">
        <f t="shared" si="39"/>
        <v>1167485</v>
      </c>
      <c r="BA154" s="51"/>
      <c r="BB154" s="35" t="s">
        <v>178</v>
      </c>
      <c r="BD154" s="35" t="s">
        <v>179</v>
      </c>
      <c r="BE154" s="53"/>
      <c r="BF154" s="53">
        <f>1470000+140000</f>
        <v>1610000</v>
      </c>
      <c r="BG154" s="53"/>
      <c r="BH154" s="53">
        <f>3820000+145000</f>
        <v>3965000</v>
      </c>
      <c r="BI154" s="53"/>
      <c r="BJ154" s="53">
        <f>341011+68061+42687</f>
        <v>451759</v>
      </c>
      <c r="BK154" s="53"/>
      <c r="BL154" s="53">
        <f>33566+204000+26478</f>
        <v>264044</v>
      </c>
      <c r="BM154" s="53"/>
      <c r="BN154" s="53">
        <f t="shared" si="45"/>
        <v>6290803</v>
      </c>
      <c r="BO154" s="54"/>
      <c r="BS154" s="55"/>
      <c r="BT154" s="55"/>
      <c r="BU154" s="84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</row>
    <row r="155" spans="1:95" s="35" customFormat="1" ht="12.75" customHeight="1" x14ac:dyDescent="0.2">
      <c r="A155" s="35" t="s">
        <v>180</v>
      </c>
      <c r="B155" s="51"/>
      <c r="C155" s="35" t="s">
        <v>20</v>
      </c>
      <c r="D155" s="44"/>
      <c r="E155" s="53">
        <f t="shared" si="43"/>
        <v>799259</v>
      </c>
      <c r="F155" s="53"/>
      <c r="G155" s="53">
        <v>2918918</v>
      </c>
      <c r="H155" s="53"/>
      <c r="I155" s="53">
        <v>3718177</v>
      </c>
      <c r="J155" s="53"/>
      <c r="K155" s="53">
        <f t="shared" si="44"/>
        <v>149856</v>
      </c>
      <c r="L155" s="53"/>
      <c r="M155" s="53">
        <v>546949</v>
      </c>
      <c r="N155" s="53"/>
      <c r="O155" s="53">
        <v>696805</v>
      </c>
      <c r="P155" s="53"/>
      <c r="Q155" s="53">
        <v>2352582</v>
      </c>
      <c r="R155" s="53"/>
      <c r="S155" s="53">
        <v>0</v>
      </c>
      <c r="T155" s="53"/>
      <c r="U155" s="53">
        <v>668790</v>
      </c>
      <c r="V155" s="53"/>
      <c r="W155" s="53">
        <f t="shared" si="40"/>
        <v>3021372</v>
      </c>
      <c r="X155" s="51"/>
      <c r="Y155" s="51"/>
      <c r="Z155" s="35" t="s">
        <v>180</v>
      </c>
      <c r="AA155" s="53"/>
      <c r="AB155" s="35" t="s">
        <v>20</v>
      </c>
      <c r="AC155" s="51"/>
      <c r="AD155" s="53">
        <v>1053796</v>
      </c>
      <c r="AE155" s="53"/>
      <c r="AF155" s="53">
        <f>923101-128779</f>
        <v>794322</v>
      </c>
      <c r="AG155" s="53"/>
      <c r="AH155" s="53">
        <v>128779</v>
      </c>
      <c r="AI155" s="53"/>
      <c r="AJ155" s="45">
        <f t="shared" si="41"/>
        <v>130695</v>
      </c>
      <c r="AK155" s="45"/>
      <c r="AL155" s="53">
        <v>-8204</v>
      </c>
      <c r="AM155" s="45"/>
      <c r="AN155" s="53">
        <v>0</v>
      </c>
      <c r="AO155" s="53"/>
      <c r="AP155" s="53">
        <v>0</v>
      </c>
      <c r="AQ155" s="53"/>
      <c r="AR155" s="53">
        <v>69483</v>
      </c>
      <c r="AS155" s="53"/>
      <c r="AT155" s="45">
        <f t="shared" si="42"/>
        <v>191974</v>
      </c>
      <c r="AU155" s="45"/>
      <c r="AV155" s="53">
        <v>0</v>
      </c>
      <c r="AW155" s="53"/>
      <c r="AX155" s="53">
        <v>0</v>
      </c>
      <c r="AY155" s="53"/>
      <c r="AZ155" s="53">
        <f t="shared" si="39"/>
        <v>649403</v>
      </c>
      <c r="BA155" s="51"/>
      <c r="BB155" s="35" t="s">
        <v>180</v>
      </c>
      <c r="BD155" s="35" t="s">
        <v>20</v>
      </c>
      <c r="BE155" s="53"/>
      <c r="BF155" s="53">
        <v>0</v>
      </c>
      <c r="BG155" s="53"/>
      <c r="BH155" s="53">
        <v>0</v>
      </c>
      <c r="BI155" s="53"/>
      <c r="BJ155" s="53">
        <f>406828+114855+34867+9786</f>
        <v>566336</v>
      </c>
      <c r="BK155" s="53"/>
      <c r="BL155" s="53">
        <f>10326+25266</f>
        <v>35592</v>
      </c>
      <c r="BM155" s="53"/>
      <c r="BN155" s="53">
        <f t="shared" si="45"/>
        <v>601928</v>
      </c>
      <c r="BO155" s="54"/>
      <c r="BS155" s="55"/>
      <c r="BT155" s="55"/>
      <c r="BU155" s="84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</row>
    <row r="156" spans="1:95" s="35" customFormat="1" ht="12.75" hidden="1" customHeight="1" x14ac:dyDescent="0.2">
      <c r="A156" s="44" t="s">
        <v>508</v>
      </c>
      <c r="B156" s="47"/>
      <c r="C156" s="44" t="s">
        <v>43</v>
      </c>
      <c r="D156" s="44"/>
      <c r="E156" s="53">
        <f t="shared" si="43"/>
        <v>0</v>
      </c>
      <c r="F156" s="53"/>
      <c r="G156" s="53"/>
      <c r="H156" s="53"/>
      <c r="I156" s="53"/>
      <c r="J156" s="53"/>
      <c r="K156" s="53">
        <f t="shared" si="44"/>
        <v>0</v>
      </c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>
        <f t="shared" si="40"/>
        <v>0</v>
      </c>
      <c r="X156" s="51"/>
      <c r="Y156" s="51"/>
      <c r="Z156" s="44" t="s">
        <v>508</v>
      </c>
      <c r="AA156" s="47"/>
      <c r="AB156" s="44" t="s">
        <v>43</v>
      </c>
      <c r="AC156" s="51"/>
      <c r="AD156" s="53"/>
      <c r="AE156" s="53"/>
      <c r="AF156" s="53"/>
      <c r="AG156" s="53"/>
      <c r="AH156" s="53"/>
      <c r="AI156" s="53"/>
      <c r="AJ156" s="45">
        <f t="shared" si="41"/>
        <v>0</v>
      </c>
      <c r="AK156" s="45"/>
      <c r="AL156" s="53"/>
      <c r="AM156" s="45"/>
      <c r="AN156" s="53"/>
      <c r="AO156" s="53"/>
      <c r="AP156" s="53"/>
      <c r="AQ156" s="53"/>
      <c r="AR156" s="53"/>
      <c r="AS156" s="53"/>
      <c r="AT156" s="45">
        <f t="shared" si="42"/>
        <v>0</v>
      </c>
      <c r="AU156" s="45"/>
      <c r="AV156" s="53"/>
      <c r="AW156" s="53"/>
      <c r="AX156" s="53"/>
      <c r="AY156" s="53"/>
      <c r="AZ156" s="53">
        <f t="shared" si="39"/>
        <v>0</v>
      </c>
      <c r="BA156" s="51"/>
      <c r="BB156" s="44" t="s">
        <v>508</v>
      </c>
      <c r="BC156" s="47"/>
      <c r="BD156" s="44" t="s">
        <v>43</v>
      </c>
      <c r="BE156" s="53"/>
      <c r="BF156" s="53"/>
      <c r="BG156" s="53"/>
      <c r="BH156" s="53"/>
      <c r="BI156" s="53"/>
      <c r="BJ156" s="53"/>
      <c r="BK156" s="53"/>
      <c r="BL156" s="53"/>
      <c r="BM156" s="53"/>
      <c r="BN156" s="53">
        <f t="shared" si="45"/>
        <v>0</v>
      </c>
      <c r="BO156" s="54"/>
      <c r="BS156" s="55"/>
      <c r="BT156" s="55"/>
      <c r="BU156" s="84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</row>
    <row r="157" spans="1:95" s="35" customFormat="1" ht="12.75" customHeight="1" x14ac:dyDescent="0.2">
      <c r="A157" s="35" t="s">
        <v>182</v>
      </c>
      <c r="C157" s="35" t="s">
        <v>183</v>
      </c>
      <c r="D157" s="44"/>
      <c r="E157" s="53">
        <f t="shared" si="43"/>
        <v>201694</v>
      </c>
      <c r="F157" s="53"/>
      <c r="G157" s="53">
        <v>2405960</v>
      </c>
      <c r="H157" s="53"/>
      <c r="I157" s="53">
        <v>2607654</v>
      </c>
      <c r="J157" s="53"/>
      <c r="K157" s="53">
        <f t="shared" si="44"/>
        <v>184882</v>
      </c>
      <c r="L157" s="53"/>
      <c r="M157" s="53">
        <v>2531732</v>
      </c>
      <c r="N157" s="53"/>
      <c r="O157" s="53">
        <v>2716614</v>
      </c>
      <c r="P157" s="53"/>
      <c r="Q157" s="53">
        <v>0</v>
      </c>
      <c r="R157" s="53"/>
      <c r="S157" s="53">
        <v>0</v>
      </c>
      <c r="T157" s="53"/>
      <c r="U157" s="53">
        <v>-108960</v>
      </c>
      <c r="V157" s="53"/>
      <c r="W157" s="53">
        <f t="shared" si="40"/>
        <v>-108960</v>
      </c>
      <c r="X157" s="51"/>
      <c r="Y157" s="51"/>
      <c r="Z157" s="35" t="s">
        <v>182</v>
      </c>
      <c r="AA157" s="53"/>
      <c r="AB157" s="35" t="s">
        <v>183</v>
      </c>
      <c r="AC157" s="51"/>
      <c r="AD157" s="53">
        <v>662356</v>
      </c>
      <c r="AE157" s="53"/>
      <c r="AF157" s="53">
        <f>862087-414464</f>
        <v>447623</v>
      </c>
      <c r="AG157" s="53"/>
      <c r="AH157" s="53">
        <v>414464</v>
      </c>
      <c r="AI157" s="53"/>
      <c r="AJ157" s="45">
        <f t="shared" si="41"/>
        <v>-199731</v>
      </c>
      <c r="AK157" s="45"/>
      <c r="AL157" s="53">
        <v>-76268</v>
      </c>
      <c r="AM157" s="45"/>
      <c r="AN157" s="53">
        <v>0</v>
      </c>
      <c r="AO157" s="53"/>
      <c r="AP157" s="53">
        <v>0</v>
      </c>
      <c r="AQ157" s="53"/>
      <c r="AR157" s="53">
        <v>0</v>
      </c>
      <c r="AS157" s="53"/>
      <c r="AT157" s="45">
        <f t="shared" si="42"/>
        <v>-275999</v>
      </c>
      <c r="AU157" s="45"/>
      <c r="AV157" s="53">
        <v>0</v>
      </c>
      <c r="AW157" s="53"/>
      <c r="AX157" s="53">
        <v>0</v>
      </c>
      <c r="AY157" s="53"/>
      <c r="AZ157" s="53">
        <f t="shared" si="39"/>
        <v>16812</v>
      </c>
      <c r="BA157" s="51"/>
      <c r="BB157" s="35" t="s">
        <v>182</v>
      </c>
      <c r="BD157" s="35" t="s">
        <v>183</v>
      </c>
      <c r="BE157" s="53"/>
      <c r="BF157" s="53">
        <v>0</v>
      </c>
      <c r="BG157" s="53"/>
      <c r="BH157" s="53">
        <v>0</v>
      </c>
      <c r="BI157" s="53"/>
      <c r="BJ157" s="53">
        <f>2524229+167970</f>
        <v>2692199</v>
      </c>
      <c r="BK157" s="53"/>
      <c r="BL157" s="53">
        <f>2379+7503</f>
        <v>9882</v>
      </c>
      <c r="BM157" s="53"/>
      <c r="BN157" s="53">
        <f t="shared" si="45"/>
        <v>2702081</v>
      </c>
      <c r="BO157" s="54"/>
      <c r="BS157" s="55"/>
      <c r="BT157" s="55"/>
      <c r="BU157" s="84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</row>
    <row r="158" spans="1:95" s="35" customFormat="1" ht="12.75" customHeight="1" x14ac:dyDescent="0.2">
      <c r="A158" s="35" t="s">
        <v>184</v>
      </c>
      <c r="B158" s="51"/>
      <c r="C158" s="35" t="s">
        <v>89</v>
      </c>
      <c r="D158" s="44"/>
      <c r="E158" s="53">
        <f t="shared" si="43"/>
        <v>2126383</v>
      </c>
      <c r="F158" s="53"/>
      <c r="G158" s="53">
        <v>9798509</v>
      </c>
      <c r="H158" s="53"/>
      <c r="I158" s="53">
        <v>11924892</v>
      </c>
      <c r="J158" s="53"/>
      <c r="K158" s="53">
        <f t="shared" si="44"/>
        <v>138517</v>
      </c>
      <c r="L158" s="53"/>
      <c r="M158" s="53">
        <v>131514</v>
      </c>
      <c r="N158" s="53"/>
      <c r="O158" s="53">
        <v>270031</v>
      </c>
      <c r="P158" s="53"/>
      <c r="Q158" s="53">
        <v>9731009</v>
      </c>
      <c r="R158" s="53"/>
      <c r="S158" s="53">
        <v>0</v>
      </c>
      <c r="T158" s="53"/>
      <c r="U158" s="53">
        <v>1923852</v>
      </c>
      <c r="V158" s="53"/>
      <c r="W158" s="53">
        <f t="shared" si="40"/>
        <v>11654861</v>
      </c>
      <c r="X158" s="51"/>
      <c r="Y158" s="51"/>
      <c r="Z158" s="35" t="s">
        <v>184</v>
      </c>
      <c r="AA158" s="53"/>
      <c r="AB158" s="35" t="s">
        <v>89</v>
      </c>
      <c r="AC158" s="51"/>
      <c r="AD158" s="53">
        <v>2361346</v>
      </c>
      <c r="AE158" s="53"/>
      <c r="AF158" s="53">
        <f>2415334-451403</f>
        <v>1963931</v>
      </c>
      <c r="AG158" s="53"/>
      <c r="AH158" s="53">
        <v>451403</v>
      </c>
      <c r="AI158" s="53"/>
      <c r="AJ158" s="45">
        <f t="shared" si="41"/>
        <v>-53988</v>
      </c>
      <c r="AK158" s="45"/>
      <c r="AL158" s="53">
        <v>31</v>
      </c>
      <c r="AM158" s="45"/>
      <c r="AN158" s="53">
        <v>0</v>
      </c>
      <c r="AO158" s="53"/>
      <c r="AP158" s="53">
        <v>0</v>
      </c>
      <c r="AQ158" s="53"/>
      <c r="AR158" s="53">
        <v>0</v>
      </c>
      <c r="AS158" s="53"/>
      <c r="AT158" s="45">
        <f t="shared" si="42"/>
        <v>-53957</v>
      </c>
      <c r="AU158" s="45"/>
      <c r="AV158" s="53">
        <v>0</v>
      </c>
      <c r="AW158" s="53"/>
      <c r="AX158" s="53">
        <v>0</v>
      </c>
      <c r="AY158" s="53"/>
      <c r="AZ158" s="53">
        <f t="shared" ref="AZ158:AZ188" si="46">E158-K158</f>
        <v>1987866</v>
      </c>
      <c r="BA158" s="51"/>
      <c r="BB158" s="35" t="s">
        <v>184</v>
      </c>
      <c r="BD158" s="35" t="s">
        <v>89</v>
      </c>
      <c r="BE158" s="53"/>
      <c r="BF158" s="53">
        <v>0</v>
      </c>
      <c r="BG158" s="53"/>
      <c r="BH158" s="53">
        <v>0</v>
      </c>
      <c r="BI158" s="53"/>
      <c r="BJ158" s="53">
        <f>62500+5000</f>
        <v>67500</v>
      </c>
      <c r="BK158" s="53"/>
      <c r="BL158" s="53">
        <f>9176+69014</f>
        <v>78190</v>
      </c>
      <c r="BM158" s="53"/>
      <c r="BN158" s="53">
        <f>SUM(BF158:BL158)</f>
        <v>145690</v>
      </c>
      <c r="BO158" s="54"/>
      <c r="BS158" s="55"/>
      <c r="BT158" s="55"/>
      <c r="BU158" s="84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</row>
    <row r="159" spans="1:95" s="35" customFormat="1" ht="12.75" customHeight="1" x14ac:dyDescent="0.2">
      <c r="A159" s="35" t="s">
        <v>181</v>
      </c>
      <c r="B159" s="51"/>
      <c r="C159" s="35" t="s">
        <v>125</v>
      </c>
      <c r="D159" s="44"/>
      <c r="E159" s="53">
        <f t="shared" si="43"/>
        <v>3741909</v>
      </c>
      <c r="F159" s="53"/>
      <c r="G159" s="53">
        <v>18707531</v>
      </c>
      <c r="H159" s="53"/>
      <c r="I159" s="53">
        <v>22449440</v>
      </c>
      <c r="J159" s="53"/>
      <c r="K159" s="53">
        <f t="shared" si="44"/>
        <v>1197968</v>
      </c>
      <c r="L159" s="53"/>
      <c r="M159" s="53">
        <v>10384619</v>
      </c>
      <c r="N159" s="53"/>
      <c r="O159" s="53">
        <v>11582587</v>
      </c>
      <c r="P159" s="53"/>
      <c r="Q159" s="53">
        <v>11736487</v>
      </c>
      <c r="R159" s="53"/>
      <c r="S159" s="53">
        <v>0</v>
      </c>
      <c r="T159" s="53"/>
      <c r="U159" s="53">
        <v>-869634</v>
      </c>
      <c r="V159" s="53"/>
      <c r="W159" s="53">
        <f t="shared" si="40"/>
        <v>10866853</v>
      </c>
      <c r="X159" s="51"/>
      <c r="Y159" s="51"/>
      <c r="Z159" s="35" t="s">
        <v>181</v>
      </c>
      <c r="AA159" s="53"/>
      <c r="AB159" s="35" t="s">
        <v>125</v>
      </c>
      <c r="AC159" s="51"/>
      <c r="AD159" s="53">
        <v>6027520</v>
      </c>
      <c r="AE159" s="53"/>
      <c r="AF159" s="53">
        <f>5892167-803065</f>
        <v>5089102</v>
      </c>
      <c r="AG159" s="53"/>
      <c r="AH159" s="53">
        <v>803065</v>
      </c>
      <c r="AI159" s="53"/>
      <c r="AJ159" s="45">
        <f t="shared" si="41"/>
        <v>135353</v>
      </c>
      <c r="AK159" s="45"/>
      <c r="AL159" s="53">
        <v>-592464</v>
      </c>
      <c r="AM159" s="45"/>
      <c r="AN159" s="53">
        <v>16366</v>
      </c>
      <c r="AO159" s="53"/>
      <c r="AP159" s="53">
        <v>75175</v>
      </c>
      <c r="AQ159" s="53"/>
      <c r="AR159" s="53">
        <v>0</v>
      </c>
      <c r="AS159" s="53"/>
      <c r="AT159" s="45">
        <f t="shared" si="42"/>
        <v>-515920</v>
      </c>
      <c r="AU159" s="45"/>
      <c r="AV159" s="53">
        <v>0</v>
      </c>
      <c r="AW159" s="53"/>
      <c r="AX159" s="53">
        <v>0</v>
      </c>
      <c r="AY159" s="53"/>
      <c r="AZ159" s="53">
        <f t="shared" si="46"/>
        <v>2543941</v>
      </c>
      <c r="BA159" s="51"/>
      <c r="BB159" s="35" t="s">
        <v>181</v>
      </c>
      <c r="BD159" s="35" t="s">
        <v>125</v>
      </c>
      <c r="BE159" s="53"/>
      <c r="BF159" s="53">
        <f>7522507+729934</f>
        <v>8252441</v>
      </c>
      <c r="BG159" s="53"/>
      <c r="BH159" s="53">
        <v>0</v>
      </c>
      <c r="BI159" s="53"/>
      <c r="BJ159" s="53">
        <v>2359220</v>
      </c>
      <c r="BK159" s="53"/>
      <c r="BL159" s="53">
        <f>272490+230050+352+45851+143216</f>
        <v>691959</v>
      </c>
      <c r="BM159" s="53"/>
      <c r="BN159" s="53">
        <f>SUM(BF159:BL159)</f>
        <v>11303620</v>
      </c>
      <c r="BO159" s="54"/>
      <c r="BP159" s="55"/>
      <c r="BS159" s="55"/>
      <c r="BT159" s="55"/>
      <c r="BU159" s="84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</row>
    <row r="160" spans="1:95" s="35" customFormat="1" ht="12.75" customHeight="1" x14ac:dyDescent="0.2">
      <c r="A160" s="35" t="s">
        <v>185</v>
      </c>
      <c r="C160" s="35" t="s">
        <v>80</v>
      </c>
      <c r="D160" s="44"/>
      <c r="E160" s="53">
        <f t="shared" si="43"/>
        <v>448564</v>
      </c>
      <c r="F160" s="53"/>
      <c r="G160" s="53">
        <v>2439514</v>
      </c>
      <c r="H160" s="53"/>
      <c r="I160" s="53">
        <v>2888078</v>
      </c>
      <c r="J160" s="53"/>
      <c r="K160" s="53">
        <f t="shared" si="44"/>
        <v>2766860</v>
      </c>
      <c r="L160" s="53"/>
      <c r="M160" s="53">
        <v>1979356</v>
      </c>
      <c r="N160" s="53"/>
      <c r="O160" s="53">
        <v>4746216</v>
      </c>
      <c r="P160" s="53"/>
      <c r="Q160" s="53">
        <v>1191515</v>
      </c>
      <c r="R160" s="53"/>
      <c r="S160" s="53">
        <v>0</v>
      </c>
      <c r="T160" s="53"/>
      <c r="U160" s="53">
        <v>-3049653</v>
      </c>
      <c r="V160" s="53"/>
      <c r="W160" s="53">
        <f t="shared" si="40"/>
        <v>-1858138</v>
      </c>
      <c r="Z160" s="35" t="s">
        <v>185</v>
      </c>
      <c r="AA160" s="53"/>
      <c r="AB160" s="35" t="s">
        <v>80</v>
      </c>
      <c r="AD160" s="53">
        <v>5104862</v>
      </c>
      <c r="AE160" s="53"/>
      <c r="AF160" s="53">
        <f>4269499-129216</f>
        <v>4140283</v>
      </c>
      <c r="AG160" s="53"/>
      <c r="AH160" s="53">
        <v>129216</v>
      </c>
      <c r="AI160" s="53"/>
      <c r="AJ160" s="45">
        <f t="shared" si="41"/>
        <v>835363</v>
      </c>
      <c r="AK160" s="45"/>
      <c r="AL160" s="53">
        <v>-409663</v>
      </c>
      <c r="AM160" s="45"/>
      <c r="AN160" s="53">
        <v>0</v>
      </c>
      <c r="AO160" s="53"/>
      <c r="AP160" s="53">
        <v>0</v>
      </c>
      <c r="AQ160" s="53"/>
      <c r="AR160" s="53">
        <v>0</v>
      </c>
      <c r="AS160" s="53"/>
      <c r="AT160" s="45">
        <f t="shared" si="42"/>
        <v>425700</v>
      </c>
      <c r="AU160" s="45"/>
      <c r="AV160" s="53">
        <v>0</v>
      </c>
      <c r="AW160" s="53"/>
      <c r="AX160" s="53">
        <v>0</v>
      </c>
      <c r="AY160" s="53"/>
      <c r="AZ160" s="53">
        <f t="shared" si="46"/>
        <v>-2318296</v>
      </c>
      <c r="BA160" s="51"/>
      <c r="BB160" s="35" t="s">
        <v>185</v>
      </c>
      <c r="BD160" s="35" t="s">
        <v>80</v>
      </c>
      <c r="BE160" s="53"/>
      <c r="BF160" s="53">
        <f>1075000+8571+40000+453</f>
        <v>1124024</v>
      </c>
      <c r="BG160" s="53"/>
      <c r="BH160" s="53">
        <v>0</v>
      </c>
      <c r="BI160" s="53"/>
      <c r="BJ160" s="53">
        <f>799813+159962</f>
        <v>959775</v>
      </c>
      <c r="BK160" s="53"/>
      <c r="BL160" s="53">
        <f>10515+95972</f>
        <v>106487</v>
      </c>
      <c r="BM160" s="53"/>
      <c r="BN160" s="53">
        <f t="shared" si="45"/>
        <v>2190286</v>
      </c>
      <c r="BO160" s="54"/>
      <c r="BP160" s="55"/>
      <c r="BS160" s="55"/>
      <c r="BT160" s="55"/>
      <c r="BU160" s="84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</row>
    <row r="161" spans="1:95" s="35" customFormat="1" ht="12.75" customHeight="1" x14ac:dyDescent="0.2">
      <c r="A161" s="35" t="s">
        <v>186</v>
      </c>
      <c r="B161" s="51"/>
      <c r="C161" s="35" t="s">
        <v>15</v>
      </c>
      <c r="D161" s="44"/>
      <c r="E161" s="53">
        <f t="shared" si="43"/>
        <v>4825876</v>
      </c>
      <c r="F161" s="53"/>
      <c r="G161" s="53">
        <v>34581900</v>
      </c>
      <c r="H161" s="53"/>
      <c r="I161" s="53">
        <v>39407776</v>
      </c>
      <c r="J161" s="53"/>
      <c r="K161" s="53">
        <f t="shared" si="44"/>
        <v>1202456</v>
      </c>
      <c r="L161" s="53"/>
      <c r="M161" s="53">
        <v>14419988</v>
      </c>
      <c r="N161" s="53"/>
      <c r="O161" s="53">
        <v>15622444</v>
      </c>
      <c r="P161" s="53"/>
      <c r="Q161" s="53">
        <v>19340548</v>
      </c>
      <c r="R161" s="53"/>
      <c r="S161" s="53">
        <v>0</v>
      </c>
      <c r="T161" s="53"/>
      <c r="U161" s="53">
        <v>4444784</v>
      </c>
      <c r="V161" s="53"/>
      <c r="W161" s="53">
        <f t="shared" si="40"/>
        <v>23785332</v>
      </c>
      <c r="X161" s="51"/>
      <c r="Y161" s="51"/>
      <c r="Z161" s="35" t="s">
        <v>186</v>
      </c>
      <c r="AA161" s="53"/>
      <c r="AB161" s="35" t="s">
        <v>15</v>
      </c>
      <c r="AC161" s="51"/>
      <c r="AD161" s="53">
        <v>5929810</v>
      </c>
      <c r="AE161" s="53"/>
      <c r="AF161" s="53">
        <f>4499945-1495022</f>
        <v>3004923</v>
      </c>
      <c r="AG161" s="53"/>
      <c r="AH161" s="53">
        <v>1495022</v>
      </c>
      <c r="AI161" s="53"/>
      <c r="AJ161" s="45">
        <f t="shared" si="41"/>
        <v>1429865</v>
      </c>
      <c r="AK161" s="45"/>
      <c r="AL161" s="53">
        <v>-530487</v>
      </c>
      <c r="AM161" s="45"/>
      <c r="AN161" s="53">
        <v>0</v>
      </c>
      <c r="AO161" s="53"/>
      <c r="AP161" s="53">
        <v>50000</v>
      </c>
      <c r="AQ161" s="53"/>
      <c r="AR161" s="53">
        <v>0</v>
      </c>
      <c r="AS161" s="53"/>
      <c r="AT161" s="45">
        <f t="shared" si="42"/>
        <v>849378</v>
      </c>
      <c r="AU161" s="45"/>
      <c r="AV161" s="53">
        <v>0</v>
      </c>
      <c r="AW161" s="53"/>
      <c r="AX161" s="53">
        <v>0</v>
      </c>
      <c r="AY161" s="53"/>
      <c r="AZ161" s="53">
        <f t="shared" si="46"/>
        <v>3623420</v>
      </c>
      <c r="BA161" s="51"/>
      <c r="BB161" s="35" t="s">
        <v>186</v>
      </c>
      <c r="BD161" s="35" t="s">
        <v>15</v>
      </c>
      <c r="BE161" s="53"/>
      <c r="BF161" s="53">
        <f>4845000+56887+235000</f>
        <v>5136887</v>
      </c>
      <c r="BG161" s="53"/>
      <c r="BH161" s="53">
        <v>0</v>
      </c>
      <c r="BI161" s="53"/>
      <c r="BJ161" s="53">
        <f>8092904+1425197+505332+81032</f>
        <v>10104465</v>
      </c>
      <c r="BK161" s="53"/>
      <c r="BL161" s="53">
        <v>0</v>
      </c>
      <c r="BM161" s="53"/>
      <c r="BN161" s="53">
        <f t="shared" si="45"/>
        <v>15241352</v>
      </c>
      <c r="BO161" s="54"/>
      <c r="BS161" s="55"/>
      <c r="BT161" s="55"/>
      <c r="BU161" s="84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</row>
    <row r="162" spans="1:95" s="126" customFormat="1" ht="12.75" hidden="1" customHeight="1" x14ac:dyDescent="0.2">
      <c r="A162" s="35" t="s">
        <v>187</v>
      </c>
      <c r="B162" s="51"/>
      <c r="C162" s="35" t="s">
        <v>27</v>
      </c>
      <c r="D162" s="44"/>
      <c r="E162" s="53">
        <f t="shared" si="43"/>
        <v>0</v>
      </c>
      <c r="F162" s="53"/>
      <c r="G162" s="53"/>
      <c r="H162" s="53"/>
      <c r="I162" s="53"/>
      <c r="J162" s="53"/>
      <c r="K162" s="53">
        <f t="shared" si="44"/>
        <v>0</v>
      </c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>
        <f t="shared" si="40"/>
        <v>0</v>
      </c>
      <c r="X162" s="51"/>
      <c r="Y162" s="51"/>
      <c r="Z162" s="35" t="s">
        <v>187</v>
      </c>
      <c r="AA162" s="53"/>
      <c r="AB162" s="35" t="s">
        <v>27</v>
      </c>
      <c r="AC162" s="51"/>
      <c r="AD162" s="53"/>
      <c r="AE162" s="53"/>
      <c r="AF162" s="53"/>
      <c r="AG162" s="53"/>
      <c r="AH162" s="53"/>
      <c r="AI162" s="53"/>
      <c r="AJ162" s="45">
        <f t="shared" si="41"/>
        <v>0</v>
      </c>
      <c r="AK162" s="45"/>
      <c r="AL162" s="53"/>
      <c r="AM162" s="45"/>
      <c r="AN162" s="53"/>
      <c r="AO162" s="53"/>
      <c r="AP162" s="53"/>
      <c r="AQ162" s="53"/>
      <c r="AR162" s="53"/>
      <c r="AS162" s="53"/>
      <c r="AT162" s="45">
        <f t="shared" si="42"/>
        <v>0</v>
      </c>
      <c r="AU162" s="45"/>
      <c r="AV162" s="53">
        <v>0</v>
      </c>
      <c r="AW162" s="53"/>
      <c r="AX162" s="53">
        <v>0</v>
      </c>
      <c r="AY162" s="53"/>
      <c r="AZ162" s="53">
        <f t="shared" si="46"/>
        <v>0</v>
      </c>
      <c r="BA162" s="51"/>
      <c r="BB162" s="35" t="s">
        <v>187</v>
      </c>
      <c r="BC162" s="35"/>
      <c r="BD162" s="35" t="s">
        <v>27</v>
      </c>
      <c r="BE162" s="53"/>
      <c r="BF162" s="53"/>
      <c r="BG162" s="53"/>
      <c r="BH162" s="53"/>
      <c r="BI162" s="53"/>
      <c r="BJ162" s="53"/>
      <c r="BK162" s="53"/>
      <c r="BL162" s="53"/>
      <c r="BM162" s="79"/>
      <c r="BN162" s="79">
        <f t="shared" si="45"/>
        <v>0</v>
      </c>
      <c r="BO162" s="139"/>
      <c r="BS162" s="140"/>
      <c r="BT162" s="140"/>
      <c r="BU162" s="141"/>
      <c r="BV162" s="140"/>
      <c r="BW162" s="140"/>
      <c r="BX162" s="140"/>
      <c r="BY162" s="140"/>
      <c r="BZ162" s="140"/>
      <c r="CA162" s="140"/>
      <c r="CB162" s="140"/>
      <c r="CC162" s="140"/>
      <c r="CD162" s="140"/>
      <c r="CE162" s="140"/>
      <c r="CF162" s="140"/>
      <c r="CG162" s="140"/>
      <c r="CH162" s="140"/>
      <c r="CI162" s="140"/>
      <c r="CJ162" s="140"/>
      <c r="CK162" s="140"/>
      <c r="CL162" s="140"/>
      <c r="CM162" s="140"/>
      <c r="CN162" s="140"/>
      <c r="CO162" s="140"/>
      <c r="CP162" s="140"/>
      <c r="CQ162" s="140"/>
    </row>
    <row r="163" spans="1:95" s="35" customFormat="1" ht="12.75" customHeight="1" x14ac:dyDescent="0.2">
      <c r="A163" s="44" t="s">
        <v>189</v>
      </c>
      <c r="B163" s="51"/>
      <c r="C163" s="44" t="s">
        <v>17</v>
      </c>
      <c r="D163" s="44"/>
      <c r="E163" s="53">
        <f t="shared" si="43"/>
        <v>4991340</v>
      </c>
      <c r="F163" s="53"/>
      <c r="G163" s="53">
        <v>22132142</v>
      </c>
      <c r="H163" s="53"/>
      <c r="I163" s="53">
        <v>27123482</v>
      </c>
      <c r="J163" s="53"/>
      <c r="K163" s="53">
        <f t="shared" si="44"/>
        <v>1242426</v>
      </c>
      <c r="L163" s="53"/>
      <c r="M163" s="53">
        <v>5987626</v>
      </c>
      <c r="N163" s="53"/>
      <c r="O163" s="53">
        <v>7230052</v>
      </c>
      <c r="P163" s="53"/>
      <c r="Q163" s="53">
        <v>15227328</v>
      </c>
      <c r="R163" s="53"/>
      <c r="S163" s="53">
        <v>0</v>
      </c>
      <c r="T163" s="53"/>
      <c r="U163" s="53">
        <v>4666102</v>
      </c>
      <c r="V163" s="53"/>
      <c r="W163" s="53">
        <f t="shared" si="40"/>
        <v>19893430</v>
      </c>
      <c r="X163" s="51"/>
      <c r="Y163" s="51"/>
      <c r="Z163" s="44" t="s">
        <v>189</v>
      </c>
      <c r="AA163" s="53"/>
      <c r="AB163" s="44" t="s">
        <v>17</v>
      </c>
      <c r="AC163" s="51"/>
      <c r="AD163" s="53">
        <v>3623301</v>
      </c>
      <c r="AE163" s="53"/>
      <c r="AF163" s="53">
        <f>3266809-749831</f>
        <v>2516978</v>
      </c>
      <c r="AG163" s="53"/>
      <c r="AH163" s="53">
        <v>749831</v>
      </c>
      <c r="AI163" s="53"/>
      <c r="AJ163" s="45">
        <f t="shared" si="41"/>
        <v>356492</v>
      </c>
      <c r="AK163" s="45"/>
      <c r="AL163" s="53">
        <v>-293014</v>
      </c>
      <c r="AM163" s="45"/>
      <c r="AN163" s="53">
        <v>0</v>
      </c>
      <c r="AO163" s="53"/>
      <c r="AP163" s="53">
        <v>0</v>
      </c>
      <c r="AQ163" s="53"/>
      <c r="AR163" s="53">
        <v>744369</v>
      </c>
      <c r="AS163" s="53"/>
      <c r="AT163" s="45">
        <f t="shared" si="42"/>
        <v>807847</v>
      </c>
      <c r="AU163" s="45"/>
      <c r="AV163" s="53">
        <v>0</v>
      </c>
      <c r="AW163" s="53"/>
      <c r="AX163" s="53">
        <v>0</v>
      </c>
      <c r="AY163" s="53"/>
      <c r="AZ163" s="53">
        <f t="shared" si="46"/>
        <v>3748914</v>
      </c>
      <c r="BA163" s="51"/>
      <c r="BB163" s="44" t="s">
        <v>189</v>
      </c>
      <c r="BD163" s="44" t="s">
        <v>17</v>
      </c>
      <c r="BE163" s="53"/>
      <c r="BF163" s="53">
        <f>3465000+500000</f>
        <v>3965000</v>
      </c>
      <c r="BG163" s="53"/>
      <c r="BH163" s="53">
        <v>0</v>
      </c>
      <c r="BI163" s="53"/>
      <c r="BJ163" s="53">
        <f>2324093+171165</f>
        <v>2495258</v>
      </c>
      <c r="BK163" s="53"/>
      <c r="BL163" s="53">
        <f>1082+474+197451</f>
        <v>199007</v>
      </c>
      <c r="BM163" s="53"/>
      <c r="BN163" s="53">
        <f t="shared" si="45"/>
        <v>6659265</v>
      </c>
      <c r="BO163" s="54"/>
      <c r="BS163" s="55"/>
      <c r="BT163" s="55"/>
      <c r="BU163" s="84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</row>
    <row r="164" spans="1:95" s="35" customFormat="1" ht="12.75" hidden="1" customHeight="1" x14ac:dyDescent="0.2">
      <c r="A164" s="35" t="s">
        <v>188</v>
      </c>
      <c r="B164" s="51"/>
      <c r="C164" s="35" t="s">
        <v>27</v>
      </c>
      <c r="D164" s="44"/>
      <c r="E164" s="53">
        <f t="shared" si="43"/>
        <v>0</v>
      </c>
      <c r="F164" s="53"/>
      <c r="G164" s="53"/>
      <c r="H164" s="53"/>
      <c r="I164" s="53"/>
      <c r="J164" s="53"/>
      <c r="K164" s="53">
        <f t="shared" si="44"/>
        <v>0</v>
      </c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>
        <f t="shared" si="40"/>
        <v>0</v>
      </c>
      <c r="X164" s="51"/>
      <c r="Y164" s="51"/>
      <c r="Z164" s="35" t="s">
        <v>188</v>
      </c>
      <c r="AA164" s="53"/>
      <c r="AB164" s="35" t="s">
        <v>27</v>
      </c>
      <c r="AC164" s="51"/>
      <c r="AD164" s="53"/>
      <c r="AE164" s="53"/>
      <c r="AF164" s="53"/>
      <c r="AG164" s="53"/>
      <c r="AH164" s="53"/>
      <c r="AI164" s="53"/>
      <c r="AJ164" s="45">
        <f t="shared" si="41"/>
        <v>0</v>
      </c>
      <c r="AK164" s="45"/>
      <c r="AL164" s="53"/>
      <c r="AM164" s="45"/>
      <c r="AN164" s="53"/>
      <c r="AO164" s="53"/>
      <c r="AP164" s="53"/>
      <c r="AQ164" s="53"/>
      <c r="AR164" s="53"/>
      <c r="AS164" s="53"/>
      <c r="AT164" s="45">
        <f t="shared" si="42"/>
        <v>0</v>
      </c>
      <c r="AU164" s="45"/>
      <c r="AV164" s="53">
        <v>0</v>
      </c>
      <c r="AW164" s="53"/>
      <c r="AX164" s="53">
        <v>0</v>
      </c>
      <c r="AY164" s="53"/>
      <c r="AZ164" s="53">
        <f t="shared" si="46"/>
        <v>0</v>
      </c>
      <c r="BA164" s="51"/>
      <c r="BB164" s="35" t="s">
        <v>188</v>
      </c>
      <c r="BD164" s="35" t="s">
        <v>27</v>
      </c>
      <c r="BE164" s="53"/>
      <c r="BF164" s="53"/>
      <c r="BG164" s="53"/>
      <c r="BH164" s="53"/>
      <c r="BI164" s="53"/>
      <c r="BJ164" s="53"/>
      <c r="BK164" s="53"/>
      <c r="BL164" s="53"/>
      <c r="BM164" s="53"/>
      <c r="BN164" s="53">
        <f t="shared" si="45"/>
        <v>0</v>
      </c>
      <c r="BO164" s="54"/>
      <c r="BS164" s="55"/>
      <c r="BT164" s="55"/>
      <c r="BU164" s="84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</row>
    <row r="165" spans="1:95" s="126" customFormat="1" ht="12.75" hidden="1" customHeight="1" x14ac:dyDescent="0.2">
      <c r="A165" s="35" t="s">
        <v>190</v>
      </c>
      <c r="B165" s="51"/>
      <c r="C165" s="35" t="s">
        <v>47</v>
      </c>
      <c r="D165" s="44"/>
      <c r="E165" s="53">
        <f t="shared" si="43"/>
        <v>0</v>
      </c>
      <c r="F165" s="53"/>
      <c r="G165" s="53"/>
      <c r="H165" s="53"/>
      <c r="I165" s="53"/>
      <c r="J165" s="53"/>
      <c r="K165" s="53">
        <f t="shared" si="44"/>
        <v>0</v>
      </c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>
        <f t="shared" si="40"/>
        <v>0</v>
      </c>
      <c r="X165" s="51"/>
      <c r="Y165" s="51"/>
      <c r="Z165" s="35" t="s">
        <v>190</v>
      </c>
      <c r="AA165" s="53"/>
      <c r="AB165" s="35" t="s">
        <v>47</v>
      </c>
      <c r="AC165" s="51"/>
      <c r="AD165" s="53"/>
      <c r="AE165" s="53"/>
      <c r="AF165" s="53"/>
      <c r="AG165" s="53"/>
      <c r="AH165" s="53"/>
      <c r="AI165" s="53"/>
      <c r="AJ165" s="45">
        <f t="shared" si="41"/>
        <v>0</v>
      </c>
      <c r="AK165" s="45"/>
      <c r="AL165" s="53"/>
      <c r="AM165" s="45"/>
      <c r="AN165" s="53"/>
      <c r="AO165" s="53"/>
      <c r="AP165" s="53"/>
      <c r="AQ165" s="53"/>
      <c r="AR165" s="53"/>
      <c r="AS165" s="53"/>
      <c r="AT165" s="45">
        <f t="shared" si="42"/>
        <v>0</v>
      </c>
      <c r="AU165" s="45"/>
      <c r="AV165" s="53">
        <v>0</v>
      </c>
      <c r="AW165" s="53"/>
      <c r="AX165" s="53">
        <v>0</v>
      </c>
      <c r="AY165" s="53"/>
      <c r="AZ165" s="53">
        <f t="shared" si="46"/>
        <v>0</v>
      </c>
      <c r="BA165" s="51"/>
      <c r="BB165" s="35" t="s">
        <v>190</v>
      </c>
      <c r="BC165" s="35"/>
      <c r="BD165" s="35" t="s">
        <v>47</v>
      </c>
      <c r="BE165" s="53"/>
      <c r="BF165" s="53"/>
      <c r="BG165" s="53"/>
      <c r="BH165" s="53"/>
      <c r="BI165" s="53"/>
      <c r="BJ165" s="53"/>
      <c r="BK165" s="53"/>
      <c r="BL165" s="53"/>
      <c r="BM165" s="53"/>
      <c r="BN165" s="53">
        <f t="shared" si="45"/>
        <v>0</v>
      </c>
      <c r="BO165" s="139"/>
      <c r="BS165" s="140"/>
      <c r="BT165" s="140"/>
      <c r="BU165" s="141"/>
      <c r="BV165" s="140"/>
      <c r="BW165" s="140"/>
      <c r="BX165" s="140"/>
      <c r="BY165" s="140"/>
      <c r="BZ165" s="140"/>
      <c r="CA165" s="140"/>
      <c r="CB165" s="140"/>
      <c r="CC165" s="140"/>
      <c r="CD165" s="140"/>
      <c r="CE165" s="140"/>
      <c r="CF165" s="140"/>
      <c r="CG165" s="140"/>
      <c r="CH165" s="140"/>
      <c r="CI165" s="140"/>
      <c r="CJ165" s="140"/>
      <c r="CK165" s="140"/>
      <c r="CL165" s="140"/>
      <c r="CM165" s="140"/>
      <c r="CN165" s="140"/>
      <c r="CO165" s="140"/>
      <c r="CP165" s="140"/>
      <c r="CQ165" s="140"/>
    </row>
    <row r="166" spans="1:95" s="126" customFormat="1" ht="12.75" hidden="1" customHeight="1" x14ac:dyDescent="0.2">
      <c r="A166" s="35" t="s">
        <v>191</v>
      </c>
      <c r="B166" s="51"/>
      <c r="C166" s="35" t="s">
        <v>13</v>
      </c>
      <c r="D166" s="44"/>
      <c r="E166" s="53">
        <f t="shared" si="43"/>
        <v>0</v>
      </c>
      <c r="F166" s="53"/>
      <c r="G166" s="53"/>
      <c r="H166" s="53"/>
      <c r="I166" s="53"/>
      <c r="J166" s="53"/>
      <c r="K166" s="53">
        <f t="shared" si="44"/>
        <v>0</v>
      </c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>
        <f t="shared" ref="W166:W188" si="47">SUM(Q166:U166)</f>
        <v>0</v>
      </c>
      <c r="X166" s="51"/>
      <c r="Y166" s="51"/>
      <c r="Z166" s="35" t="s">
        <v>191</v>
      </c>
      <c r="AA166" s="53"/>
      <c r="AB166" s="35" t="s">
        <v>13</v>
      </c>
      <c r="AC166" s="51"/>
      <c r="AD166" s="53"/>
      <c r="AE166" s="53"/>
      <c r="AF166" s="53"/>
      <c r="AG166" s="53"/>
      <c r="AH166" s="53"/>
      <c r="AI166" s="53"/>
      <c r="AJ166" s="45">
        <f t="shared" si="41"/>
        <v>0</v>
      </c>
      <c r="AK166" s="45"/>
      <c r="AL166" s="53"/>
      <c r="AM166" s="45"/>
      <c r="AN166" s="53"/>
      <c r="AO166" s="53"/>
      <c r="AP166" s="53"/>
      <c r="AQ166" s="53"/>
      <c r="AR166" s="53"/>
      <c r="AS166" s="53"/>
      <c r="AT166" s="45">
        <f t="shared" si="42"/>
        <v>0</v>
      </c>
      <c r="AU166" s="45"/>
      <c r="AV166" s="53">
        <v>0</v>
      </c>
      <c r="AW166" s="53"/>
      <c r="AX166" s="53">
        <v>0</v>
      </c>
      <c r="AY166" s="53"/>
      <c r="AZ166" s="53">
        <f t="shared" si="46"/>
        <v>0</v>
      </c>
      <c r="BA166" s="51"/>
      <c r="BB166" s="35" t="s">
        <v>191</v>
      </c>
      <c r="BC166" s="35"/>
      <c r="BD166" s="35" t="s">
        <v>13</v>
      </c>
      <c r="BE166" s="53"/>
      <c r="BF166" s="53"/>
      <c r="BG166" s="53"/>
      <c r="BH166" s="53"/>
      <c r="BI166" s="53"/>
      <c r="BJ166" s="53"/>
      <c r="BK166" s="53"/>
      <c r="BL166" s="53"/>
      <c r="BM166" s="53"/>
      <c r="BN166" s="53">
        <f t="shared" si="45"/>
        <v>0</v>
      </c>
      <c r="BO166" s="139"/>
      <c r="BS166" s="140"/>
      <c r="BT166" s="140"/>
      <c r="BU166" s="141"/>
      <c r="BV166" s="140"/>
      <c r="BW166" s="140"/>
      <c r="BX166" s="140"/>
      <c r="BY166" s="140"/>
      <c r="BZ166" s="140"/>
      <c r="CA166" s="140"/>
      <c r="CB166" s="140"/>
      <c r="CC166" s="140"/>
      <c r="CD166" s="140"/>
      <c r="CE166" s="140"/>
      <c r="CF166" s="140"/>
      <c r="CG166" s="140"/>
      <c r="CH166" s="140"/>
      <c r="CI166" s="140"/>
      <c r="CJ166" s="140"/>
      <c r="CK166" s="140"/>
      <c r="CL166" s="140"/>
      <c r="CM166" s="140"/>
      <c r="CN166" s="140"/>
      <c r="CO166" s="140"/>
      <c r="CP166" s="140"/>
      <c r="CQ166" s="140"/>
    </row>
    <row r="167" spans="1:95" s="35" customFormat="1" ht="12.75" customHeight="1" x14ac:dyDescent="0.2">
      <c r="B167" s="51"/>
      <c r="D167" s="44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 t="s">
        <v>484</v>
      </c>
      <c r="X167" s="51"/>
      <c r="Y167" s="51"/>
      <c r="AA167" s="53"/>
      <c r="AC167" s="51"/>
      <c r="AD167" s="53"/>
      <c r="AE167" s="53"/>
      <c r="AF167" s="53"/>
      <c r="AG167" s="53"/>
      <c r="AH167" s="53"/>
      <c r="AI167" s="53"/>
      <c r="AJ167" s="45"/>
      <c r="AK167" s="45"/>
      <c r="AL167" s="53"/>
      <c r="AM167" s="45"/>
      <c r="AN167" s="53"/>
      <c r="AO167" s="53"/>
      <c r="AP167" s="53"/>
      <c r="AQ167" s="53"/>
      <c r="AR167" s="53"/>
      <c r="AS167" s="53"/>
      <c r="AT167" s="45"/>
      <c r="AU167" s="45"/>
      <c r="AV167" s="53"/>
      <c r="AW167" s="53"/>
      <c r="AX167" s="53"/>
      <c r="AY167" s="53"/>
      <c r="AZ167" s="53" t="s">
        <v>484</v>
      </c>
      <c r="BA167" s="51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 t="s">
        <v>484</v>
      </c>
      <c r="BO167" s="54"/>
      <c r="BS167" s="55"/>
      <c r="BT167" s="55"/>
      <c r="BU167" s="84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</row>
    <row r="168" spans="1:95" s="64" customFormat="1" ht="12.75" customHeight="1" x14ac:dyDescent="0.2">
      <c r="A168" s="64" t="s">
        <v>192</v>
      </c>
      <c r="C168" s="64" t="s">
        <v>38</v>
      </c>
      <c r="D168" s="46"/>
      <c r="E168" s="79">
        <f t="shared" si="43"/>
        <v>1281230</v>
      </c>
      <c r="F168" s="79"/>
      <c r="G168" s="79">
        <v>8913978</v>
      </c>
      <c r="H168" s="79"/>
      <c r="I168" s="79">
        <v>10195208</v>
      </c>
      <c r="J168" s="79"/>
      <c r="K168" s="79">
        <f t="shared" si="44"/>
        <v>503214</v>
      </c>
      <c r="L168" s="79"/>
      <c r="M168" s="79">
        <v>1815616</v>
      </c>
      <c r="N168" s="79"/>
      <c r="O168" s="79">
        <v>2318830</v>
      </c>
      <c r="P168" s="79"/>
      <c r="Q168" s="79">
        <v>6897760</v>
      </c>
      <c r="R168" s="79"/>
      <c r="S168" s="79">
        <v>0</v>
      </c>
      <c r="T168" s="79"/>
      <c r="U168" s="79">
        <v>978618</v>
      </c>
      <c r="V168" s="79"/>
      <c r="W168" s="79">
        <f t="shared" si="47"/>
        <v>7876378</v>
      </c>
      <c r="X168" s="66"/>
      <c r="Y168" s="66"/>
      <c r="Z168" s="64" t="s">
        <v>192</v>
      </c>
      <c r="AA168" s="79"/>
      <c r="AB168" s="64" t="s">
        <v>38</v>
      </c>
      <c r="AD168" s="79">
        <v>2619937</v>
      </c>
      <c r="AE168" s="79"/>
      <c r="AF168" s="79">
        <f>2740128-527858</f>
        <v>2212270</v>
      </c>
      <c r="AG168" s="79"/>
      <c r="AH168" s="79">
        <v>527858</v>
      </c>
      <c r="AI168" s="79"/>
      <c r="AJ168" s="94">
        <f t="shared" si="41"/>
        <v>-120191</v>
      </c>
      <c r="AK168" s="94"/>
      <c r="AL168" s="79">
        <v>-141019</v>
      </c>
      <c r="AM168" s="94"/>
      <c r="AN168" s="79">
        <v>0</v>
      </c>
      <c r="AO168" s="79"/>
      <c r="AP168" s="79">
        <v>0</v>
      </c>
      <c r="AQ168" s="79"/>
      <c r="AR168" s="79">
        <v>0</v>
      </c>
      <c r="AS168" s="79"/>
      <c r="AT168" s="94">
        <f t="shared" si="42"/>
        <v>-261210</v>
      </c>
      <c r="AU168" s="94"/>
      <c r="AV168" s="79">
        <v>0</v>
      </c>
      <c r="AW168" s="79"/>
      <c r="AX168" s="79">
        <v>0</v>
      </c>
      <c r="AY168" s="79"/>
      <c r="AZ168" s="79">
        <f t="shared" si="46"/>
        <v>778016</v>
      </c>
      <c r="BA168" s="66"/>
      <c r="BB168" s="64" t="s">
        <v>192</v>
      </c>
      <c r="BD168" s="64" t="s">
        <v>38</v>
      </c>
      <c r="BE168" s="79"/>
      <c r="BF168" s="79">
        <f>925000-3816-74393+280000</f>
        <v>1126791</v>
      </c>
      <c r="BG168" s="79"/>
      <c r="BH168" s="79">
        <v>0</v>
      </c>
      <c r="BI168" s="79"/>
      <c r="BJ168" s="79">
        <f>815053+41509</f>
        <v>856562</v>
      </c>
      <c r="BK168" s="79"/>
      <c r="BL168" s="79">
        <f>153772+69150</f>
        <v>222922</v>
      </c>
      <c r="BM168" s="79"/>
      <c r="BN168" s="79">
        <f t="shared" si="45"/>
        <v>2206275</v>
      </c>
      <c r="BO168" s="91"/>
      <c r="BS168" s="90"/>
      <c r="BT168" s="90"/>
      <c r="BU168" s="95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</row>
    <row r="169" spans="1:95" s="35" customFormat="1" ht="12.75" customHeight="1" x14ac:dyDescent="0.2">
      <c r="A169" s="35" t="s">
        <v>193</v>
      </c>
      <c r="B169" s="51"/>
      <c r="C169" s="35" t="s">
        <v>45</v>
      </c>
      <c r="D169" s="44"/>
      <c r="E169" s="53">
        <f t="shared" si="43"/>
        <v>1183488</v>
      </c>
      <c r="F169" s="53"/>
      <c r="G169" s="53">
        <v>2162524</v>
      </c>
      <c r="H169" s="53"/>
      <c r="I169" s="53">
        <v>3346012</v>
      </c>
      <c r="J169" s="53"/>
      <c r="K169" s="53">
        <f t="shared" si="44"/>
        <v>162840</v>
      </c>
      <c r="L169" s="53"/>
      <c r="M169" s="53">
        <v>541381</v>
      </c>
      <c r="N169" s="53"/>
      <c r="O169" s="53">
        <v>704221</v>
      </c>
      <c r="P169" s="53"/>
      <c r="Q169" s="53">
        <v>1539722</v>
      </c>
      <c r="R169" s="53"/>
      <c r="S169" s="53">
        <v>0</v>
      </c>
      <c r="T169" s="53"/>
      <c r="U169" s="53">
        <v>1102069</v>
      </c>
      <c r="V169" s="53"/>
      <c r="W169" s="53">
        <f t="shared" si="47"/>
        <v>2641791</v>
      </c>
      <c r="X169" s="51"/>
      <c r="Y169" s="51"/>
      <c r="Z169" s="35" t="s">
        <v>193</v>
      </c>
      <c r="AA169" s="53"/>
      <c r="AB169" s="35" t="s">
        <v>45</v>
      </c>
      <c r="AC169" s="51"/>
      <c r="AD169" s="53">
        <v>2993418</v>
      </c>
      <c r="AE169" s="53"/>
      <c r="AF169" s="53">
        <f>3155354-63371</f>
        <v>3091983</v>
      </c>
      <c r="AG169" s="53"/>
      <c r="AH169" s="53">
        <v>63371</v>
      </c>
      <c r="AI169" s="53"/>
      <c r="AJ169" s="45">
        <f t="shared" si="41"/>
        <v>-161936</v>
      </c>
      <c r="AK169" s="45"/>
      <c r="AL169" s="53">
        <v>-10575</v>
      </c>
      <c r="AM169" s="45"/>
      <c r="AN169" s="53">
        <v>0</v>
      </c>
      <c r="AO169" s="53"/>
      <c r="AP169" s="53">
        <v>0</v>
      </c>
      <c r="AQ169" s="53"/>
      <c r="AR169" s="53">
        <v>0</v>
      </c>
      <c r="AS169" s="53"/>
      <c r="AT169" s="45">
        <f t="shared" si="42"/>
        <v>-172511</v>
      </c>
      <c r="AU169" s="45"/>
      <c r="AV169" s="53">
        <v>0</v>
      </c>
      <c r="AW169" s="53"/>
      <c r="AX169" s="53">
        <v>0</v>
      </c>
      <c r="AY169" s="53"/>
      <c r="AZ169" s="53">
        <f t="shared" si="46"/>
        <v>1020648</v>
      </c>
      <c r="BA169" s="51"/>
      <c r="BB169" s="35" t="s">
        <v>193</v>
      </c>
      <c r="BD169" s="35" t="s">
        <v>45</v>
      </c>
      <c r="BE169" s="53"/>
      <c r="BF169" s="53">
        <v>0</v>
      </c>
      <c r="BG169" s="53"/>
      <c r="BH169" s="53">
        <v>0</v>
      </c>
      <c r="BI169" s="53"/>
      <c r="BJ169" s="53">
        <f>513207+37285</f>
        <v>550492</v>
      </c>
      <c r="BK169" s="53"/>
      <c r="BL169" s="53">
        <f>72309+28174+11498</f>
        <v>111981</v>
      </c>
      <c r="BM169" s="53"/>
      <c r="BN169" s="53">
        <f t="shared" si="45"/>
        <v>662473</v>
      </c>
      <c r="BO169" s="54"/>
      <c r="BS169" s="55"/>
      <c r="BT169" s="55"/>
      <c r="BU169" s="84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</row>
    <row r="170" spans="1:95" s="35" customFormat="1" ht="12.75" customHeight="1" x14ac:dyDescent="0.2">
      <c r="A170" s="35" t="s">
        <v>194</v>
      </c>
      <c r="B170" s="51"/>
      <c r="C170" s="35" t="s">
        <v>66</v>
      </c>
      <c r="D170" s="44"/>
      <c r="E170" s="53">
        <f t="shared" si="43"/>
        <v>1686463</v>
      </c>
      <c r="F170" s="53"/>
      <c r="G170" s="53">
        <v>1404528</v>
      </c>
      <c r="H170" s="53"/>
      <c r="I170" s="53">
        <v>3090991</v>
      </c>
      <c r="J170" s="53"/>
      <c r="K170" s="53">
        <f t="shared" si="44"/>
        <v>61844</v>
      </c>
      <c r="L170" s="53"/>
      <c r="M170" s="53">
        <v>53906</v>
      </c>
      <c r="N170" s="53"/>
      <c r="O170" s="53">
        <v>115750</v>
      </c>
      <c r="P170" s="53"/>
      <c r="Q170" s="53">
        <v>1404528</v>
      </c>
      <c r="R170" s="53"/>
      <c r="S170" s="53">
        <v>0</v>
      </c>
      <c r="T170" s="53"/>
      <c r="U170" s="53">
        <v>1570713</v>
      </c>
      <c r="V170" s="53"/>
      <c r="W170" s="53">
        <f t="shared" si="47"/>
        <v>2975241</v>
      </c>
      <c r="X170" s="51"/>
      <c r="Y170" s="51"/>
      <c r="Z170" s="35" t="s">
        <v>194</v>
      </c>
      <c r="AA170" s="53"/>
      <c r="AB170" s="35" t="s">
        <v>66</v>
      </c>
      <c r="AC170" s="51"/>
      <c r="AD170" s="53">
        <v>925544</v>
      </c>
      <c r="AE170" s="53"/>
      <c r="AF170" s="53">
        <f>944478-75308</f>
        <v>869170</v>
      </c>
      <c r="AG170" s="53"/>
      <c r="AH170" s="53">
        <v>75308</v>
      </c>
      <c r="AI170" s="53"/>
      <c r="AJ170" s="45">
        <f t="shared" si="41"/>
        <v>-18934</v>
      </c>
      <c r="AK170" s="45"/>
      <c r="AL170" s="53">
        <v>10418</v>
      </c>
      <c r="AM170" s="45"/>
      <c r="AN170" s="53">
        <v>0</v>
      </c>
      <c r="AO170" s="53"/>
      <c r="AP170" s="53">
        <v>0</v>
      </c>
      <c r="AQ170" s="53"/>
      <c r="AR170" s="53">
        <v>0</v>
      </c>
      <c r="AS170" s="53"/>
      <c r="AT170" s="45">
        <f t="shared" si="42"/>
        <v>-8516</v>
      </c>
      <c r="AU170" s="45"/>
      <c r="AV170" s="53">
        <v>0</v>
      </c>
      <c r="AW170" s="53"/>
      <c r="AX170" s="53">
        <v>0</v>
      </c>
      <c r="AY170" s="53"/>
      <c r="AZ170" s="53">
        <f t="shared" si="46"/>
        <v>1624619</v>
      </c>
      <c r="BA170" s="51"/>
      <c r="BB170" s="35" t="s">
        <v>194</v>
      </c>
      <c r="BD170" s="35" t="s">
        <v>66</v>
      </c>
      <c r="BE170" s="53"/>
      <c r="BF170" s="53">
        <v>0</v>
      </c>
      <c r="BG170" s="53"/>
      <c r="BH170" s="53">
        <v>0</v>
      </c>
      <c r="BI170" s="53"/>
      <c r="BJ170" s="53">
        <v>0</v>
      </c>
      <c r="BK170" s="53"/>
      <c r="BL170" s="53">
        <f>53906+13476</f>
        <v>67382</v>
      </c>
      <c r="BM170" s="53"/>
      <c r="BN170" s="53">
        <f t="shared" si="45"/>
        <v>67382</v>
      </c>
      <c r="BO170" s="54"/>
      <c r="BS170" s="55"/>
      <c r="BT170" s="55"/>
      <c r="BU170" s="84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</row>
    <row r="171" spans="1:95" s="35" customFormat="1" ht="12.75" customHeight="1" x14ac:dyDescent="0.2">
      <c r="A171" s="35" t="s">
        <v>195</v>
      </c>
      <c r="B171" s="51"/>
      <c r="C171" s="35" t="s">
        <v>17</v>
      </c>
      <c r="D171" s="44"/>
      <c r="E171" s="53">
        <f t="shared" si="43"/>
        <v>2931843</v>
      </c>
      <c r="F171" s="53"/>
      <c r="G171" s="53">
        <v>11797374</v>
      </c>
      <c r="H171" s="53"/>
      <c r="I171" s="53">
        <v>14729217</v>
      </c>
      <c r="J171" s="53"/>
      <c r="K171" s="53">
        <f t="shared" si="44"/>
        <v>129739</v>
      </c>
      <c r="L171" s="53"/>
      <c r="M171" s="53">
        <f>48185+4438791</f>
        <v>4486976</v>
      </c>
      <c r="N171" s="53"/>
      <c r="O171" s="53">
        <v>4616715</v>
      </c>
      <c r="P171" s="53"/>
      <c r="Q171" s="53">
        <v>7358583</v>
      </c>
      <c r="R171" s="53"/>
      <c r="S171" s="53">
        <v>0</v>
      </c>
      <c r="T171" s="53"/>
      <c r="U171" s="53">
        <v>2753919</v>
      </c>
      <c r="V171" s="53"/>
      <c r="W171" s="53">
        <f t="shared" si="47"/>
        <v>10112502</v>
      </c>
      <c r="X171" s="51"/>
      <c r="Y171" s="51"/>
      <c r="Z171" s="35" t="s">
        <v>195</v>
      </c>
      <c r="AA171" s="53"/>
      <c r="AB171" s="35" t="s">
        <v>17</v>
      </c>
      <c r="AC171" s="51"/>
      <c r="AD171" s="53">
        <v>1877061</v>
      </c>
      <c r="AE171" s="53"/>
      <c r="AF171" s="53">
        <f>1577462-334817</f>
        <v>1242645</v>
      </c>
      <c r="AG171" s="53"/>
      <c r="AH171" s="53">
        <v>334817</v>
      </c>
      <c r="AI171" s="53"/>
      <c r="AJ171" s="45">
        <f t="shared" si="41"/>
        <v>299599</v>
      </c>
      <c r="AK171" s="45"/>
      <c r="AL171" s="53">
        <v>-95633</v>
      </c>
      <c r="AM171" s="45"/>
      <c r="AN171" s="53">
        <v>0</v>
      </c>
      <c r="AO171" s="53"/>
      <c r="AP171" s="53">
        <v>0</v>
      </c>
      <c r="AQ171" s="53"/>
      <c r="AR171" s="53">
        <v>0</v>
      </c>
      <c r="AS171" s="53"/>
      <c r="AT171" s="45">
        <f t="shared" si="42"/>
        <v>203966</v>
      </c>
      <c r="AU171" s="45"/>
      <c r="AV171" s="53">
        <v>0</v>
      </c>
      <c r="AW171" s="53"/>
      <c r="AX171" s="53">
        <v>0</v>
      </c>
      <c r="AY171" s="53"/>
      <c r="AZ171" s="53">
        <f t="shared" si="46"/>
        <v>2802104</v>
      </c>
      <c r="BA171" s="51"/>
      <c r="BB171" s="35" t="s">
        <v>195</v>
      </c>
      <c r="BD171" s="35" t="s">
        <v>17</v>
      </c>
      <c r="BE171" s="53"/>
      <c r="BF171" s="53">
        <v>0</v>
      </c>
      <c r="BG171" s="53"/>
      <c r="BH171" s="53">
        <v>0</v>
      </c>
      <c r="BI171" s="53"/>
      <c r="BJ171" s="53">
        <v>4438791</v>
      </c>
      <c r="BK171" s="53"/>
      <c r="BL171" s="53">
        <f>48185+36900</f>
        <v>85085</v>
      </c>
      <c r="BM171" s="53"/>
      <c r="BN171" s="53">
        <f t="shared" si="45"/>
        <v>4523876</v>
      </c>
      <c r="BO171" s="54"/>
      <c r="BS171" s="55"/>
      <c r="BT171" s="55"/>
      <c r="BU171" s="84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</row>
    <row r="172" spans="1:95" s="126" customFormat="1" ht="12.75" hidden="1" customHeight="1" x14ac:dyDescent="0.2">
      <c r="A172" s="35" t="s">
        <v>196</v>
      </c>
      <c r="B172" s="51"/>
      <c r="C172" s="35" t="s">
        <v>27</v>
      </c>
      <c r="D172" s="44"/>
      <c r="E172" s="53">
        <f t="shared" si="43"/>
        <v>0</v>
      </c>
      <c r="F172" s="53"/>
      <c r="G172" s="53"/>
      <c r="H172" s="53"/>
      <c r="I172" s="53"/>
      <c r="J172" s="53"/>
      <c r="K172" s="53">
        <f t="shared" si="44"/>
        <v>0</v>
      </c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>
        <f t="shared" si="47"/>
        <v>0</v>
      </c>
      <c r="X172" s="51"/>
      <c r="Y172" s="51"/>
      <c r="Z172" s="35" t="s">
        <v>196</v>
      </c>
      <c r="AA172" s="53"/>
      <c r="AB172" s="35" t="s">
        <v>27</v>
      </c>
      <c r="AC172" s="51"/>
      <c r="AD172" s="53"/>
      <c r="AE172" s="53"/>
      <c r="AF172" s="53"/>
      <c r="AG172" s="53"/>
      <c r="AH172" s="53"/>
      <c r="AI172" s="53"/>
      <c r="AJ172" s="45">
        <f t="shared" si="41"/>
        <v>0</v>
      </c>
      <c r="AK172" s="45"/>
      <c r="AL172" s="53"/>
      <c r="AM172" s="45"/>
      <c r="AN172" s="53"/>
      <c r="AO172" s="53"/>
      <c r="AP172" s="53"/>
      <c r="AQ172" s="53"/>
      <c r="AR172" s="53"/>
      <c r="AS172" s="53"/>
      <c r="AT172" s="45">
        <f t="shared" si="42"/>
        <v>0</v>
      </c>
      <c r="AU172" s="45"/>
      <c r="AV172" s="53">
        <v>0</v>
      </c>
      <c r="AW172" s="53"/>
      <c r="AX172" s="53">
        <v>0</v>
      </c>
      <c r="AY172" s="53"/>
      <c r="AZ172" s="53">
        <f t="shared" si="46"/>
        <v>0</v>
      </c>
      <c r="BA172" s="51"/>
      <c r="BB172" s="35" t="s">
        <v>196</v>
      </c>
      <c r="BC172" s="35"/>
      <c r="BD172" s="35" t="s">
        <v>27</v>
      </c>
      <c r="BE172" s="53"/>
      <c r="BF172" s="53"/>
      <c r="BG172" s="53"/>
      <c r="BH172" s="53"/>
      <c r="BI172" s="53"/>
      <c r="BJ172" s="53"/>
      <c r="BK172" s="53"/>
      <c r="BL172" s="53"/>
      <c r="BM172" s="53"/>
      <c r="BN172" s="53">
        <f t="shared" si="45"/>
        <v>0</v>
      </c>
      <c r="BO172" s="139"/>
      <c r="BS172" s="140"/>
      <c r="BT172" s="140"/>
      <c r="BU172" s="141"/>
      <c r="BV172" s="140"/>
      <c r="BW172" s="140"/>
      <c r="BX172" s="140"/>
      <c r="BY172" s="140"/>
      <c r="BZ172" s="140"/>
      <c r="CA172" s="140"/>
      <c r="CB172" s="140"/>
      <c r="CC172" s="140"/>
      <c r="CD172" s="140"/>
      <c r="CE172" s="140"/>
      <c r="CF172" s="140"/>
      <c r="CG172" s="140"/>
      <c r="CH172" s="140"/>
      <c r="CI172" s="140"/>
      <c r="CJ172" s="140"/>
      <c r="CK172" s="140"/>
      <c r="CL172" s="140"/>
      <c r="CM172" s="140"/>
      <c r="CN172" s="140"/>
      <c r="CO172" s="140"/>
      <c r="CP172" s="140"/>
      <c r="CQ172" s="140"/>
    </row>
    <row r="173" spans="1:95" s="35" customFormat="1" ht="12.75" customHeight="1" x14ac:dyDescent="0.2">
      <c r="A173" s="35" t="s">
        <v>402</v>
      </c>
      <c r="B173" s="51"/>
      <c r="C173" s="35" t="s">
        <v>153</v>
      </c>
      <c r="D173" s="44"/>
      <c r="E173" s="53">
        <f t="shared" si="43"/>
        <v>2334234</v>
      </c>
      <c r="F173" s="53"/>
      <c r="G173" s="53">
        <v>4855297</v>
      </c>
      <c r="H173" s="53"/>
      <c r="I173" s="53">
        <v>7189531</v>
      </c>
      <c r="J173" s="53"/>
      <c r="K173" s="53">
        <f t="shared" si="44"/>
        <v>27913</v>
      </c>
      <c r="L173" s="53"/>
      <c r="M173" s="53">
        <v>49455</v>
      </c>
      <c r="N173" s="53"/>
      <c r="O173" s="53">
        <v>77368</v>
      </c>
      <c r="P173" s="53"/>
      <c r="Q173" s="53">
        <v>4840595</v>
      </c>
      <c r="R173" s="53"/>
      <c r="S173" s="53">
        <v>0</v>
      </c>
      <c r="T173" s="53"/>
      <c r="U173" s="53">
        <v>2271568</v>
      </c>
      <c r="V173" s="53"/>
      <c r="W173" s="53">
        <f t="shared" si="47"/>
        <v>7112163</v>
      </c>
      <c r="X173" s="51"/>
      <c r="Y173" s="51"/>
      <c r="Z173" s="35" t="s">
        <v>402</v>
      </c>
      <c r="AA173" s="53"/>
      <c r="AB173" s="35" t="s">
        <v>153</v>
      </c>
      <c r="AC173" s="51"/>
      <c r="AD173" s="53">
        <v>853491</v>
      </c>
      <c r="AE173" s="53"/>
      <c r="AF173" s="53">
        <f>932623-281231</f>
        <v>651392</v>
      </c>
      <c r="AG173" s="53"/>
      <c r="AH173" s="53">
        <v>281231</v>
      </c>
      <c r="AI173" s="53"/>
      <c r="AJ173" s="45">
        <f t="shared" si="41"/>
        <v>-79132</v>
      </c>
      <c r="AK173" s="45"/>
      <c r="AL173" s="53">
        <v>0</v>
      </c>
      <c r="AM173" s="45"/>
      <c r="AN173" s="53">
        <v>1647</v>
      </c>
      <c r="AO173" s="53"/>
      <c r="AP173" s="53">
        <v>29244</v>
      </c>
      <c r="AQ173" s="53"/>
      <c r="AR173" s="53">
        <v>0</v>
      </c>
      <c r="AS173" s="53"/>
      <c r="AT173" s="45">
        <f t="shared" si="42"/>
        <v>-106729</v>
      </c>
      <c r="AU173" s="45"/>
      <c r="AV173" s="53">
        <v>0</v>
      </c>
      <c r="AW173" s="53"/>
      <c r="AX173" s="53">
        <v>0</v>
      </c>
      <c r="AY173" s="53"/>
      <c r="AZ173" s="53">
        <f t="shared" si="46"/>
        <v>2306321</v>
      </c>
      <c r="BA173" s="51"/>
      <c r="BB173" s="35" t="s">
        <v>402</v>
      </c>
      <c r="BD173" s="35" t="s">
        <v>153</v>
      </c>
      <c r="BE173" s="53"/>
      <c r="BF173" s="53">
        <v>0</v>
      </c>
      <c r="BG173" s="53"/>
      <c r="BH173" s="53">
        <v>0</v>
      </c>
      <c r="BI173" s="53"/>
      <c r="BJ173" s="53">
        <f>13784+918</f>
        <v>14702</v>
      </c>
      <c r="BK173" s="53"/>
      <c r="BL173" s="53">
        <f>35671+1801</f>
        <v>37472</v>
      </c>
      <c r="BM173" s="53"/>
      <c r="BN173" s="53">
        <f t="shared" si="45"/>
        <v>52174</v>
      </c>
      <c r="BO173" s="54"/>
      <c r="BS173" s="55"/>
      <c r="BT173" s="55"/>
      <c r="BU173" s="84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</row>
    <row r="174" spans="1:95" s="35" customFormat="1" ht="12.75" customHeight="1" x14ac:dyDescent="0.2">
      <c r="A174" s="35" t="s">
        <v>197</v>
      </c>
      <c r="B174" s="51"/>
      <c r="C174" s="35" t="s">
        <v>163</v>
      </c>
      <c r="D174" s="44"/>
      <c r="E174" s="53">
        <f t="shared" si="43"/>
        <v>4916629</v>
      </c>
      <c r="F174" s="53"/>
      <c r="G174" s="53">
        <v>25282725</v>
      </c>
      <c r="H174" s="53"/>
      <c r="I174" s="53">
        <v>30199354</v>
      </c>
      <c r="J174" s="53"/>
      <c r="K174" s="53">
        <f t="shared" si="44"/>
        <v>159268</v>
      </c>
      <c r="L174" s="53"/>
      <c r="M174" s="53">
        <v>331665</v>
      </c>
      <c r="N174" s="53"/>
      <c r="O174" s="53">
        <v>490933</v>
      </c>
      <c r="P174" s="53"/>
      <c r="Q174" s="53">
        <v>25282725</v>
      </c>
      <c r="R174" s="53"/>
      <c r="S174" s="53">
        <v>0</v>
      </c>
      <c r="T174" s="53"/>
      <c r="U174" s="53">
        <v>4425696</v>
      </c>
      <c r="V174" s="53"/>
      <c r="W174" s="53">
        <f t="shared" si="47"/>
        <v>29708421</v>
      </c>
      <c r="Z174" s="35" t="s">
        <v>197</v>
      </c>
      <c r="AA174" s="53"/>
      <c r="AB174" s="35" t="s">
        <v>163</v>
      </c>
      <c r="AC174" s="51"/>
      <c r="AD174" s="53">
        <v>3812173</v>
      </c>
      <c r="AE174" s="53"/>
      <c r="AF174" s="53">
        <f>4808829-788923</f>
        <v>4019906</v>
      </c>
      <c r="AG174" s="53"/>
      <c r="AH174" s="53">
        <v>788923</v>
      </c>
      <c r="AI174" s="53"/>
      <c r="AJ174" s="45">
        <f t="shared" si="41"/>
        <v>-996656</v>
      </c>
      <c r="AK174" s="45"/>
      <c r="AL174" s="53">
        <v>528</v>
      </c>
      <c r="AM174" s="45"/>
      <c r="AN174" s="53">
        <v>493356</v>
      </c>
      <c r="AO174" s="53"/>
      <c r="AP174" s="53">
        <v>0</v>
      </c>
      <c r="AQ174" s="53"/>
      <c r="AR174" s="53">
        <v>2854073</v>
      </c>
      <c r="AS174" s="53"/>
      <c r="AT174" s="45">
        <f t="shared" si="42"/>
        <v>2351301</v>
      </c>
      <c r="AU174" s="45"/>
      <c r="AV174" s="53">
        <v>0</v>
      </c>
      <c r="AW174" s="53"/>
      <c r="AX174" s="53">
        <v>0</v>
      </c>
      <c r="AY174" s="53"/>
      <c r="AZ174" s="53">
        <f t="shared" si="46"/>
        <v>4757361</v>
      </c>
      <c r="BA174" s="51"/>
      <c r="BB174" s="35" t="s">
        <v>197</v>
      </c>
      <c r="BD174" s="35" t="s">
        <v>163</v>
      </c>
      <c r="BE174" s="53"/>
      <c r="BF174" s="53">
        <v>0</v>
      </c>
      <c r="BG174" s="53"/>
      <c r="BH174" s="53">
        <v>0</v>
      </c>
      <c r="BI174" s="53"/>
      <c r="BJ174" s="53">
        <v>0</v>
      </c>
      <c r="BK174" s="53"/>
      <c r="BL174" s="53">
        <v>331665</v>
      </c>
      <c r="BM174" s="53"/>
      <c r="BN174" s="53">
        <f t="shared" si="45"/>
        <v>331665</v>
      </c>
      <c r="BO174" s="54"/>
      <c r="BS174" s="55"/>
      <c r="BT174" s="55"/>
      <c r="BU174" s="84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</row>
    <row r="175" spans="1:95" s="35" customFormat="1" ht="12.75" customHeight="1" x14ac:dyDescent="0.2">
      <c r="A175" s="35" t="s">
        <v>198</v>
      </c>
      <c r="B175" s="51"/>
      <c r="C175" s="35" t="s">
        <v>199</v>
      </c>
      <c r="D175" s="44"/>
      <c r="E175" s="53">
        <f t="shared" si="43"/>
        <v>2235266</v>
      </c>
      <c r="F175" s="53"/>
      <c r="G175" s="53">
        <v>16912544</v>
      </c>
      <c r="H175" s="53"/>
      <c r="I175" s="53">
        <v>19147810</v>
      </c>
      <c r="J175" s="53"/>
      <c r="K175" s="53">
        <f t="shared" si="44"/>
        <v>957554</v>
      </c>
      <c r="L175" s="53"/>
      <c r="M175" s="53">
        <v>5508404</v>
      </c>
      <c r="N175" s="53"/>
      <c r="O175" s="53">
        <v>6465958</v>
      </c>
      <c r="P175" s="53"/>
      <c r="Q175" s="53">
        <v>9729487</v>
      </c>
      <c r="R175" s="53"/>
      <c r="S175" s="53">
        <f>800000+757162</f>
        <v>1557162</v>
      </c>
      <c r="T175" s="53"/>
      <c r="U175" s="53">
        <v>1395203</v>
      </c>
      <c r="V175" s="53"/>
      <c r="W175" s="53">
        <f t="shared" si="47"/>
        <v>12681852</v>
      </c>
      <c r="X175" s="51"/>
      <c r="Y175" s="51"/>
      <c r="Z175" s="35" t="s">
        <v>198</v>
      </c>
      <c r="AA175" s="53"/>
      <c r="AB175" s="35" t="s">
        <v>199</v>
      </c>
      <c r="AC175" s="51"/>
      <c r="AD175" s="53">
        <v>2793272</v>
      </c>
      <c r="AE175" s="53"/>
      <c r="AF175" s="53">
        <f>2489687-872673</f>
        <v>1617014</v>
      </c>
      <c r="AG175" s="53"/>
      <c r="AH175" s="53">
        <v>872673</v>
      </c>
      <c r="AI175" s="53"/>
      <c r="AJ175" s="45">
        <f>+AD175-AF175-AH175</f>
        <v>303585</v>
      </c>
      <c r="AK175" s="45"/>
      <c r="AL175" s="53">
        <v>-17477</v>
      </c>
      <c r="AM175" s="45"/>
      <c r="AN175" s="53">
        <v>0</v>
      </c>
      <c r="AO175" s="53"/>
      <c r="AP175" s="53">
        <v>0</v>
      </c>
      <c r="AQ175" s="53"/>
      <c r="AR175" s="53">
        <v>0</v>
      </c>
      <c r="AS175" s="53"/>
      <c r="AT175" s="45">
        <f t="shared" si="42"/>
        <v>286108</v>
      </c>
      <c r="AU175" s="45"/>
      <c r="AV175" s="53">
        <v>0</v>
      </c>
      <c r="AW175" s="53"/>
      <c r="AX175" s="53">
        <v>0</v>
      </c>
      <c r="AY175" s="53"/>
      <c r="AZ175" s="53">
        <f t="shared" si="46"/>
        <v>1277712</v>
      </c>
      <c r="BA175" s="51"/>
      <c r="BB175" s="35" t="s">
        <v>198</v>
      </c>
      <c r="BD175" s="35" t="s">
        <v>199</v>
      </c>
      <c r="BE175" s="53"/>
      <c r="BF175" s="53">
        <v>0</v>
      </c>
      <c r="BG175" s="53"/>
      <c r="BH175" s="53">
        <f>3291822+515000</f>
        <v>3806822</v>
      </c>
      <c r="BI175" s="53"/>
      <c r="BJ175" s="53">
        <f>865152+82110</f>
        <v>947262</v>
      </c>
      <c r="BK175" s="53"/>
      <c r="BL175" s="53">
        <f>1300000+100000+51430+47764</f>
        <v>1499194</v>
      </c>
      <c r="BM175" s="53"/>
      <c r="BN175" s="53">
        <f t="shared" si="45"/>
        <v>6253278</v>
      </c>
      <c r="BO175" s="54"/>
      <c r="BS175" s="55"/>
      <c r="BT175" s="55"/>
      <c r="BU175" s="84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</row>
    <row r="176" spans="1:95" s="35" customFormat="1" ht="12.75" customHeight="1" x14ac:dyDescent="0.2">
      <c r="A176" s="35" t="s">
        <v>200</v>
      </c>
      <c r="B176" s="51"/>
      <c r="C176" s="35" t="s">
        <v>103</v>
      </c>
      <c r="D176" s="44"/>
      <c r="E176" s="53">
        <f t="shared" si="43"/>
        <v>5668013</v>
      </c>
      <c r="F176" s="53"/>
      <c r="G176" s="53">
        <v>11228378</v>
      </c>
      <c r="H176" s="53"/>
      <c r="I176" s="53">
        <v>16896391</v>
      </c>
      <c r="J176" s="53"/>
      <c r="K176" s="53">
        <f t="shared" si="44"/>
        <v>543792</v>
      </c>
      <c r="L176" s="53"/>
      <c r="M176" s="53">
        <v>2220818</v>
      </c>
      <c r="N176" s="53"/>
      <c r="O176" s="53">
        <v>2764610</v>
      </c>
      <c r="P176" s="53"/>
      <c r="Q176" s="53">
        <v>8706778</v>
      </c>
      <c r="R176" s="53"/>
      <c r="S176" s="53">
        <v>843054</v>
      </c>
      <c r="T176" s="53"/>
      <c r="U176" s="53">
        <v>4581949</v>
      </c>
      <c r="V176" s="53"/>
      <c r="W176" s="53">
        <f t="shared" si="47"/>
        <v>14131781</v>
      </c>
      <c r="X176" s="51"/>
      <c r="Y176" s="51"/>
      <c r="Z176" s="35" t="s">
        <v>200</v>
      </c>
      <c r="AA176" s="53"/>
      <c r="AB176" s="35" t="s">
        <v>103</v>
      </c>
      <c r="AC176" s="51"/>
      <c r="AD176" s="53">
        <v>2585591</v>
      </c>
      <c r="AE176" s="53"/>
      <c r="AF176" s="53">
        <f>2195171-457025</f>
        <v>1738146</v>
      </c>
      <c r="AG176" s="53"/>
      <c r="AH176" s="53">
        <v>457025</v>
      </c>
      <c r="AI176" s="53"/>
      <c r="AJ176" s="45">
        <f t="shared" si="41"/>
        <v>390420</v>
      </c>
      <c r="AK176" s="45"/>
      <c r="AL176" s="53">
        <v>-74308</v>
      </c>
      <c r="AM176" s="45"/>
      <c r="AN176" s="53">
        <v>0</v>
      </c>
      <c r="AO176" s="53"/>
      <c r="AP176" s="53">
        <v>0</v>
      </c>
      <c r="AQ176" s="53"/>
      <c r="AR176" s="53">
        <v>134960</v>
      </c>
      <c r="AS176" s="53"/>
      <c r="AT176" s="45">
        <f t="shared" si="42"/>
        <v>451072</v>
      </c>
      <c r="AU176" s="45"/>
      <c r="AV176" s="53">
        <v>0</v>
      </c>
      <c r="AW176" s="53"/>
      <c r="AX176" s="53">
        <v>0</v>
      </c>
      <c r="AY176" s="53"/>
      <c r="AZ176" s="53">
        <f t="shared" si="46"/>
        <v>5124221</v>
      </c>
      <c r="BA176" s="51"/>
      <c r="BB176" s="35" t="s">
        <v>200</v>
      </c>
      <c r="BD176" s="35" t="s">
        <v>103</v>
      </c>
      <c r="BE176" s="53"/>
      <c r="BF176" s="53">
        <f>2084919+412000</f>
        <v>2496919</v>
      </c>
      <c r="BG176" s="53"/>
      <c r="BH176" s="53">
        <v>0</v>
      </c>
      <c r="BI176" s="53"/>
      <c r="BJ176" s="53">
        <v>0</v>
      </c>
      <c r="BK176" s="53"/>
      <c r="BL176" s="53">
        <f>135899+48464</f>
        <v>184363</v>
      </c>
      <c r="BM176" s="53"/>
      <c r="BN176" s="53">
        <f t="shared" si="45"/>
        <v>2681282</v>
      </c>
      <c r="BO176" s="54"/>
      <c r="BS176" s="55"/>
      <c r="BT176" s="55"/>
      <c r="BU176" s="84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</row>
    <row r="177" spans="1:95" s="35" customFormat="1" ht="12.75" customHeight="1" x14ac:dyDescent="0.2">
      <c r="A177" s="35" t="s">
        <v>201</v>
      </c>
      <c r="C177" s="35" t="s">
        <v>92</v>
      </c>
      <c r="D177" s="44"/>
      <c r="E177" s="53">
        <f t="shared" si="43"/>
        <v>3073281</v>
      </c>
      <c r="F177" s="53"/>
      <c r="G177" s="53">
        <v>22225751</v>
      </c>
      <c r="H177" s="53"/>
      <c r="I177" s="53">
        <v>25299032</v>
      </c>
      <c r="J177" s="53"/>
      <c r="K177" s="53">
        <f t="shared" si="44"/>
        <v>1745600</v>
      </c>
      <c r="L177" s="53"/>
      <c r="M177" s="53">
        <v>6363472</v>
      </c>
      <c r="N177" s="53"/>
      <c r="O177" s="53">
        <v>8109072</v>
      </c>
      <c r="P177" s="53"/>
      <c r="Q177" s="53">
        <v>14680418</v>
      </c>
      <c r="R177" s="53"/>
      <c r="S177" s="53">
        <v>0</v>
      </c>
      <c r="T177" s="53"/>
      <c r="U177" s="53">
        <v>2509542</v>
      </c>
      <c r="V177" s="53"/>
      <c r="W177" s="53">
        <f t="shared" si="47"/>
        <v>17189960</v>
      </c>
      <c r="Z177" s="35" t="s">
        <v>201</v>
      </c>
      <c r="AA177" s="53"/>
      <c r="AB177" s="35" t="s">
        <v>92</v>
      </c>
      <c r="AD177" s="53">
        <v>5053624</v>
      </c>
      <c r="AE177" s="53"/>
      <c r="AF177" s="53">
        <f>4320679-916514</f>
        <v>3404165</v>
      </c>
      <c r="AG177" s="53"/>
      <c r="AH177" s="53">
        <v>916514</v>
      </c>
      <c r="AI177" s="53"/>
      <c r="AJ177" s="45">
        <f t="shared" si="41"/>
        <v>732945</v>
      </c>
      <c r="AK177" s="45"/>
      <c r="AL177" s="53">
        <v>189096</v>
      </c>
      <c r="AM177" s="45"/>
      <c r="AN177" s="53">
        <v>180000</v>
      </c>
      <c r="AO177" s="53"/>
      <c r="AP177" s="53">
        <v>285000</v>
      </c>
      <c r="AQ177" s="53"/>
      <c r="AR177" s="53">
        <v>0</v>
      </c>
      <c r="AS177" s="53"/>
      <c r="AT177" s="45">
        <f t="shared" si="42"/>
        <v>817041</v>
      </c>
      <c r="AU177" s="45"/>
      <c r="AV177" s="53">
        <v>0</v>
      </c>
      <c r="AW177" s="53"/>
      <c r="AX177" s="53">
        <v>0</v>
      </c>
      <c r="AY177" s="53"/>
      <c r="AZ177" s="53">
        <f t="shared" si="46"/>
        <v>1327681</v>
      </c>
      <c r="BA177" s="65"/>
      <c r="BB177" s="35" t="s">
        <v>201</v>
      </c>
      <c r="BD177" s="35" t="s">
        <v>92</v>
      </c>
      <c r="BE177" s="53"/>
      <c r="BF177" s="53">
        <f>1500000+525000</f>
        <v>2025000</v>
      </c>
      <c r="BG177" s="53"/>
      <c r="BH177" s="53">
        <v>0</v>
      </c>
      <c r="BI177" s="53"/>
      <c r="BJ177" s="53">
        <f>703234+123975+83302+101357</f>
        <v>1011868</v>
      </c>
      <c r="BK177" s="53"/>
      <c r="BL177" s="53">
        <f>3024289+149034+730444+67605+281530+93338</f>
        <v>4346240</v>
      </c>
      <c r="BM177" s="53"/>
      <c r="BN177" s="53">
        <f t="shared" si="45"/>
        <v>7383108</v>
      </c>
      <c r="BO177" s="54"/>
      <c r="BS177" s="55"/>
      <c r="BT177" s="55"/>
      <c r="BU177" s="84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</row>
    <row r="178" spans="1:95" s="126" customFormat="1" ht="12" hidden="1" customHeight="1" x14ac:dyDescent="0.2">
      <c r="A178" s="35" t="s">
        <v>202</v>
      </c>
      <c r="B178" s="51"/>
      <c r="C178" s="35" t="s">
        <v>27</v>
      </c>
      <c r="D178" s="44"/>
      <c r="E178" s="53">
        <f t="shared" si="43"/>
        <v>0</v>
      </c>
      <c r="F178" s="53"/>
      <c r="G178" s="53"/>
      <c r="H178" s="53"/>
      <c r="I178" s="53"/>
      <c r="J178" s="53"/>
      <c r="K178" s="53">
        <f t="shared" si="44"/>
        <v>0</v>
      </c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>
        <f t="shared" si="47"/>
        <v>0</v>
      </c>
      <c r="X178" s="51"/>
      <c r="Y178" s="51"/>
      <c r="Z178" s="35" t="s">
        <v>202</v>
      </c>
      <c r="AA178" s="53"/>
      <c r="AB178" s="35" t="s">
        <v>27</v>
      </c>
      <c r="AC178" s="51"/>
      <c r="AD178" s="53"/>
      <c r="AE178" s="53"/>
      <c r="AF178" s="53"/>
      <c r="AG178" s="53"/>
      <c r="AH178" s="53"/>
      <c r="AI178" s="53"/>
      <c r="AJ178" s="45">
        <f t="shared" si="41"/>
        <v>0</v>
      </c>
      <c r="AK178" s="45"/>
      <c r="AL178" s="53"/>
      <c r="AM178" s="45"/>
      <c r="AN178" s="53"/>
      <c r="AO178" s="53"/>
      <c r="AP178" s="53"/>
      <c r="AQ178" s="53"/>
      <c r="AR178" s="53"/>
      <c r="AS178" s="53"/>
      <c r="AT178" s="45">
        <f t="shared" si="42"/>
        <v>0</v>
      </c>
      <c r="AU178" s="45"/>
      <c r="AV178" s="53">
        <v>0</v>
      </c>
      <c r="AW178" s="53"/>
      <c r="AX178" s="53">
        <v>0</v>
      </c>
      <c r="AY178" s="53"/>
      <c r="AZ178" s="53">
        <f t="shared" si="46"/>
        <v>0</v>
      </c>
      <c r="BA178" s="51"/>
      <c r="BB178" s="35" t="s">
        <v>202</v>
      </c>
      <c r="BC178" s="35"/>
      <c r="BD178" s="35" t="s">
        <v>27</v>
      </c>
      <c r="BE178" s="53"/>
      <c r="BF178" s="53"/>
      <c r="BG178" s="53"/>
      <c r="BH178" s="53"/>
      <c r="BI178" s="53"/>
      <c r="BJ178" s="53"/>
      <c r="BK178" s="53"/>
      <c r="BL178" s="53"/>
      <c r="BM178" s="53"/>
      <c r="BN178" s="53">
        <f t="shared" si="45"/>
        <v>0</v>
      </c>
      <c r="BO178" s="139"/>
      <c r="BS178" s="140"/>
      <c r="BT178" s="140"/>
      <c r="BU178" s="141"/>
      <c r="BV178" s="140"/>
      <c r="BW178" s="140"/>
      <c r="BX178" s="140"/>
      <c r="BY178" s="140"/>
      <c r="BZ178" s="140"/>
      <c r="CA178" s="140"/>
      <c r="CB178" s="140"/>
      <c r="CC178" s="140"/>
      <c r="CD178" s="140"/>
      <c r="CE178" s="140"/>
      <c r="CF178" s="140"/>
      <c r="CG178" s="140"/>
      <c r="CH178" s="140"/>
      <c r="CI178" s="140"/>
      <c r="CJ178" s="140"/>
      <c r="CK178" s="140"/>
      <c r="CL178" s="140"/>
      <c r="CM178" s="140"/>
      <c r="CN178" s="140"/>
      <c r="CO178" s="140"/>
      <c r="CP178" s="140"/>
      <c r="CQ178" s="140"/>
    </row>
    <row r="179" spans="1:95" s="126" customFormat="1" ht="12.75" hidden="1" customHeight="1" x14ac:dyDescent="0.2">
      <c r="A179" s="35" t="s">
        <v>203</v>
      </c>
      <c r="B179" s="51"/>
      <c r="C179" s="35" t="s">
        <v>27</v>
      </c>
      <c r="D179" s="44"/>
      <c r="E179" s="53">
        <f t="shared" si="43"/>
        <v>0</v>
      </c>
      <c r="F179" s="53"/>
      <c r="G179" s="53"/>
      <c r="H179" s="53"/>
      <c r="I179" s="53"/>
      <c r="J179" s="53"/>
      <c r="K179" s="53">
        <f t="shared" si="44"/>
        <v>0</v>
      </c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>
        <f t="shared" si="47"/>
        <v>0</v>
      </c>
      <c r="X179" s="51"/>
      <c r="Y179" s="51"/>
      <c r="Z179" s="35" t="s">
        <v>203</v>
      </c>
      <c r="AA179" s="53"/>
      <c r="AB179" s="35" t="s">
        <v>27</v>
      </c>
      <c r="AC179" s="51"/>
      <c r="AD179" s="53"/>
      <c r="AE179" s="53"/>
      <c r="AF179" s="53"/>
      <c r="AG179" s="53"/>
      <c r="AH179" s="53"/>
      <c r="AI179" s="53"/>
      <c r="AJ179" s="45">
        <f t="shared" si="41"/>
        <v>0</v>
      </c>
      <c r="AK179" s="45"/>
      <c r="AL179" s="53"/>
      <c r="AM179" s="45"/>
      <c r="AN179" s="53"/>
      <c r="AO179" s="53"/>
      <c r="AP179" s="53"/>
      <c r="AQ179" s="53"/>
      <c r="AR179" s="53"/>
      <c r="AS179" s="53"/>
      <c r="AT179" s="45">
        <f t="shared" si="42"/>
        <v>0</v>
      </c>
      <c r="AU179" s="45"/>
      <c r="AV179" s="53">
        <v>0</v>
      </c>
      <c r="AW179" s="53"/>
      <c r="AX179" s="53">
        <v>0</v>
      </c>
      <c r="AY179" s="53"/>
      <c r="AZ179" s="53">
        <f t="shared" si="46"/>
        <v>0</v>
      </c>
      <c r="BA179" s="51"/>
      <c r="BB179" s="35" t="s">
        <v>203</v>
      </c>
      <c r="BC179" s="35"/>
      <c r="BD179" s="35" t="s">
        <v>27</v>
      </c>
      <c r="BE179" s="53"/>
      <c r="BF179" s="53"/>
      <c r="BG179" s="53"/>
      <c r="BH179" s="53"/>
      <c r="BI179" s="53"/>
      <c r="BJ179" s="53"/>
      <c r="BK179" s="53"/>
      <c r="BL179" s="53"/>
      <c r="BM179" s="53"/>
      <c r="BN179" s="53">
        <f t="shared" si="45"/>
        <v>0</v>
      </c>
      <c r="BO179" s="139"/>
      <c r="BS179" s="140"/>
      <c r="BT179" s="140"/>
      <c r="BU179" s="141"/>
      <c r="BV179" s="140"/>
      <c r="BW179" s="140"/>
      <c r="BX179" s="140"/>
      <c r="BY179" s="140"/>
      <c r="BZ179" s="140"/>
      <c r="CA179" s="140"/>
      <c r="CB179" s="140"/>
      <c r="CC179" s="140"/>
      <c r="CD179" s="140"/>
      <c r="CE179" s="140"/>
      <c r="CF179" s="140"/>
      <c r="CG179" s="140"/>
      <c r="CH179" s="140"/>
      <c r="CI179" s="140"/>
      <c r="CJ179" s="140"/>
      <c r="CK179" s="140"/>
      <c r="CL179" s="140"/>
      <c r="CM179" s="140"/>
      <c r="CN179" s="140"/>
      <c r="CO179" s="140"/>
      <c r="CP179" s="140"/>
      <c r="CQ179" s="140"/>
    </row>
    <row r="180" spans="1:95" s="35" customFormat="1" ht="12.75" customHeight="1" x14ac:dyDescent="0.2">
      <c r="A180" s="35" t="s">
        <v>204</v>
      </c>
      <c r="B180" s="51"/>
      <c r="C180" s="35" t="s">
        <v>125</v>
      </c>
      <c r="D180" s="44"/>
      <c r="E180" s="53">
        <f t="shared" si="43"/>
        <v>852933</v>
      </c>
      <c r="F180" s="53"/>
      <c r="G180" s="53">
        <v>6254672</v>
      </c>
      <c r="H180" s="53"/>
      <c r="I180" s="53">
        <v>7107605</v>
      </c>
      <c r="J180" s="53"/>
      <c r="K180" s="53">
        <f t="shared" si="44"/>
        <v>194542</v>
      </c>
      <c r="L180" s="53"/>
      <c r="M180" s="53">
        <v>6131012</v>
      </c>
      <c r="N180" s="53"/>
      <c r="O180" s="53">
        <v>6325554</v>
      </c>
      <c r="P180" s="53"/>
      <c r="Q180" s="53">
        <v>-138326</v>
      </c>
      <c r="R180" s="53"/>
      <c r="S180" s="53">
        <v>0</v>
      </c>
      <c r="T180" s="53"/>
      <c r="U180" s="53">
        <v>920377</v>
      </c>
      <c r="V180" s="53"/>
      <c r="W180" s="53">
        <f t="shared" si="47"/>
        <v>782051</v>
      </c>
      <c r="X180" s="51"/>
      <c r="Y180" s="51"/>
      <c r="Z180" s="35" t="s">
        <v>204</v>
      </c>
      <c r="AA180" s="53"/>
      <c r="AB180" s="35" t="s">
        <v>125</v>
      </c>
      <c r="AC180" s="51"/>
      <c r="AD180" s="53">
        <v>1378810</v>
      </c>
      <c r="AE180" s="53"/>
      <c r="AF180" s="53">
        <f>1145878-277713</f>
        <v>868165</v>
      </c>
      <c r="AG180" s="53"/>
      <c r="AH180" s="53">
        <v>277713</v>
      </c>
      <c r="AI180" s="53"/>
      <c r="AJ180" s="45">
        <f t="shared" si="41"/>
        <v>232932</v>
      </c>
      <c r="AK180" s="45"/>
      <c r="AL180" s="53">
        <v>-319946</v>
      </c>
      <c r="AM180" s="45"/>
      <c r="AN180" s="53">
        <v>0</v>
      </c>
      <c r="AO180" s="53"/>
      <c r="AP180" s="53">
        <v>0</v>
      </c>
      <c r="AQ180" s="53"/>
      <c r="AR180" s="53">
        <v>0</v>
      </c>
      <c r="AS180" s="53"/>
      <c r="AT180" s="45">
        <f t="shared" si="42"/>
        <v>-87014</v>
      </c>
      <c r="AU180" s="45"/>
      <c r="AV180" s="53">
        <v>0</v>
      </c>
      <c r="AW180" s="53"/>
      <c r="AX180" s="53">
        <v>0</v>
      </c>
      <c r="AY180" s="53"/>
      <c r="AZ180" s="53">
        <f t="shared" si="46"/>
        <v>658391</v>
      </c>
      <c r="BA180" s="51"/>
      <c r="BB180" s="35" t="s">
        <v>204</v>
      </c>
      <c r="BD180" s="35" t="s">
        <v>125</v>
      </c>
      <c r="BE180" s="53"/>
      <c r="BF180" s="53">
        <f>6131004+125000</f>
        <v>6256004</v>
      </c>
      <c r="BG180" s="53"/>
      <c r="BH180" s="53">
        <v>0</v>
      </c>
      <c r="BI180" s="53"/>
      <c r="BJ180" s="53">
        <v>0</v>
      </c>
      <c r="BK180" s="53"/>
      <c r="BL180" s="53">
        <f>8+5717</f>
        <v>5725</v>
      </c>
      <c r="BM180" s="53"/>
      <c r="BN180" s="53">
        <f t="shared" si="45"/>
        <v>6261729</v>
      </c>
      <c r="BO180" s="54"/>
      <c r="BS180" s="55"/>
      <c r="BT180" s="55"/>
      <c r="BU180" s="84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</row>
    <row r="181" spans="1:95" s="126" customFormat="1" ht="12.75" hidden="1" customHeight="1" x14ac:dyDescent="0.2">
      <c r="A181" s="35" t="s">
        <v>205</v>
      </c>
      <c r="B181" s="51"/>
      <c r="C181" s="35" t="s">
        <v>27</v>
      </c>
      <c r="D181" s="44"/>
      <c r="E181" s="53">
        <f t="shared" si="43"/>
        <v>0</v>
      </c>
      <c r="F181" s="53"/>
      <c r="G181" s="53"/>
      <c r="H181" s="53"/>
      <c r="I181" s="53"/>
      <c r="J181" s="53"/>
      <c r="K181" s="53">
        <f t="shared" si="44"/>
        <v>0</v>
      </c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>
        <f t="shared" si="47"/>
        <v>0</v>
      </c>
      <c r="X181" s="51"/>
      <c r="Y181" s="51"/>
      <c r="Z181" s="35" t="s">
        <v>205</v>
      </c>
      <c r="AA181" s="53"/>
      <c r="AB181" s="35" t="s">
        <v>27</v>
      </c>
      <c r="AC181" s="51"/>
      <c r="AD181" s="53"/>
      <c r="AE181" s="53"/>
      <c r="AF181" s="53"/>
      <c r="AG181" s="53"/>
      <c r="AH181" s="53"/>
      <c r="AI181" s="53"/>
      <c r="AJ181" s="45">
        <f t="shared" si="41"/>
        <v>0</v>
      </c>
      <c r="AK181" s="45"/>
      <c r="AL181" s="53"/>
      <c r="AM181" s="45"/>
      <c r="AN181" s="53"/>
      <c r="AO181" s="53"/>
      <c r="AP181" s="53"/>
      <c r="AQ181" s="53"/>
      <c r="AR181" s="53"/>
      <c r="AS181" s="53"/>
      <c r="AT181" s="45">
        <f t="shared" si="42"/>
        <v>0</v>
      </c>
      <c r="AU181" s="45"/>
      <c r="AV181" s="53">
        <v>0</v>
      </c>
      <c r="AW181" s="53"/>
      <c r="AX181" s="53">
        <v>0</v>
      </c>
      <c r="AY181" s="53"/>
      <c r="AZ181" s="53">
        <f t="shared" si="46"/>
        <v>0</v>
      </c>
      <c r="BA181" s="51"/>
      <c r="BB181" s="35" t="s">
        <v>205</v>
      </c>
      <c r="BC181" s="35"/>
      <c r="BD181" s="35" t="s">
        <v>27</v>
      </c>
      <c r="BE181" s="53"/>
      <c r="BF181" s="53"/>
      <c r="BG181" s="53"/>
      <c r="BH181" s="53"/>
      <c r="BI181" s="53"/>
      <c r="BJ181" s="53"/>
      <c r="BK181" s="53"/>
      <c r="BL181" s="53"/>
      <c r="BM181" s="53"/>
      <c r="BN181" s="53">
        <f t="shared" si="45"/>
        <v>0</v>
      </c>
      <c r="BO181" s="139"/>
      <c r="BS181" s="140"/>
      <c r="BT181" s="140"/>
      <c r="BU181" s="141"/>
      <c r="BV181" s="140"/>
      <c r="BW181" s="140"/>
      <c r="BX181" s="140"/>
      <c r="BY181" s="140"/>
      <c r="BZ181" s="140"/>
      <c r="CA181" s="140"/>
      <c r="CB181" s="140"/>
      <c r="CC181" s="140"/>
      <c r="CD181" s="140"/>
      <c r="CE181" s="140"/>
      <c r="CF181" s="140"/>
      <c r="CG181" s="140"/>
      <c r="CH181" s="140"/>
      <c r="CI181" s="140"/>
      <c r="CJ181" s="140"/>
      <c r="CK181" s="140"/>
      <c r="CL181" s="140"/>
      <c r="CM181" s="140"/>
      <c r="CN181" s="140"/>
      <c r="CO181" s="140"/>
      <c r="CP181" s="140"/>
      <c r="CQ181" s="140"/>
    </row>
    <row r="182" spans="1:95" s="35" customFormat="1" ht="12.75" customHeight="1" x14ac:dyDescent="0.2">
      <c r="A182" s="35" t="s">
        <v>206</v>
      </c>
      <c r="C182" s="35" t="s">
        <v>47</v>
      </c>
      <c r="D182" s="44"/>
      <c r="E182" s="53">
        <f t="shared" si="43"/>
        <v>8236900</v>
      </c>
      <c r="F182" s="53"/>
      <c r="G182" s="53">
        <v>13719630</v>
      </c>
      <c r="H182" s="53"/>
      <c r="I182" s="53">
        <v>21956530</v>
      </c>
      <c r="J182" s="53"/>
      <c r="K182" s="53">
        <f t="shared" si="44"/>
        <v>4346990</v>
      </c>
      <c r="L182" s="53"/>
      <c r="M182" s="53">
        <f>113819+28965</f>
        <v>142784</v>
      </c>
      <c r="N182" s="53"/>
      <c r="O182" s="53">
        <v>4489774</v>
      </c>
      <c r="P182" s="53"/>
      <c r="Q182" s="53">
        <v>9419630</v>
      </c>
      <c r="R182" s="53"/>
      <c r="S182" s="53">
        <v>0</v>
      </c>
      <c r="T182" s="53"/>
      <c r="U182" s="53">
        <v>8047126</v>
      </c>
      <c r="V182" s="53"/>
      <c r="W182" s="53">
        <f t="shared" si="47"/>
        <v>17466756</v>
      </c>
      <c r="X182" s="51"/>
      <c r="Y182" s="51"/>
      <c r="Z182" s="35" t="s">
        <v>206</v>
      </c>
      <c r="AA182" s="53"/>
      <c r="AB182" s="35" t="s">
        <v>47</v>
      </c>
      <c r="AD182" s="53">
        <v>3808051</v>
      </c>
      <c r="AE182" s="53"/>
      <c r="AF182" s="53">
        <f>3510069-519052</f>
        <v>2991017</v>
      </c>
      <c r="AG182" s="53"/>
      <c r="AH182" s="53">
        <v>519052</v>
      </c>
      <c r="AI182" s="53"/>
      <c r="AJ182" s="45">
        <f t="shared" si="41"/>
        <v>297982</v>
      </c>
      <c r="AK182" s="45"/>
      <c r="AL182" s="53">
        <v>-34902</v>
      </c>
      <c r="AM182" s="45"/>
      <c r="AN182" s="53">
        <v>0</v>
      </c>
      <c r="AO182" s="53"/>
      <c r="AP182" s="53">
        <v>0</v>
      </c>
      <c r="AQ182" s="53"/>
      <c r="AR182" s="53">
        <v>0</v>
      </c>
      <c r="AS182" s="53"/>
      <c r="AT182" s="45">
        <f t="shared" si="42"/>
        <v>263080</v>
      </c>
      <c r="AU182" s="45"/>
      <c r="AV182" s="53">
        <v>0</v>
      </c>
      <c r="AW182" s="53"/>
      <c r="AX182" s="53">
        <v>0</v>
      </c>
      <c r="AY182" s="53"/>
      <c r="AZ182" s="53">
        <f t="shared" si="46"/>
        <v>3889910</v>
      </c>
      <c r="BA182" s="51"/>
      <c r="BB182" s="35" t="s">
        <v>206</v>
      </c>
      <c r="BD182" s="35" t="s">
        <v>47</v>
      </c>
      <c r="BE182" s="53"/>
      <c r="BF182" s="53">
        <v>0</v>
      </c>
      <c r="BG182" s="53"/>
      <c r="BH182" s="53">
        <v>0</v>
      </c>
      <c r="BI182" s="53"/>
      <c r="BJ182" s="53">
        <v>0</v>
      </c>
      <c r="BK182" s="53"/>
      <c r="BL182" s="53">
        <f>113819+28965</f>
        <v>142784</v>
      </c>
      <c r="BM182" s="53"/>
      <c r="BN182" s="53">
        <f t="shared" si="45"/>
        <v>142784</v>
      </c>
      <c r="BO182" s="54"/>
      <c r="BS182" s="55"/>
      <c r="BT182" s="55"/>
      <c r="BU182" s="84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</row>
    <row r="183" spans="1:95" s="35" customFormat="1" ht="12.75" customHeight="1" x14ac:dyDescent="0.2">
      <c r="A183" s="35" t="s">
        <v>207</v>
      </c>
      <c r="B183" s="51"/>
      <c r="C183" s="35" t="s">
        <v>102</v>
      </c>
      <c r="D183" s="44"/>
      <c r="E183" s="53">
        <f t="shared" si="43"/>
        <v>2855783</v>
      </c>
      <c r="F183" s="53"/>
      <c r="G183" s="53">
        <v>21881758</v>
      </c>
      <c r="H183" s="53"/>
      <c r="I183" s="53">
        <v>24737541</v>
      </c>
      <c r="J183" s="53"/>
      <c r="K183" s="53">
        <f t="shared" si="44"/>
        <v>1047909</v>
      </c>
      <c r="L183" s="53"/>
      <c r="M183" s="53">
        <v>4155424</v>
      </c>
      <c r="N183" s="53"/>
      <c r="O183" s="53">
        <v>5203333</v>
      </c>
      <c r="P183" s="53"/>
      <c r="Q183" s="53">
        <v>16943649</v>
      </c>
      <c r="R183" s="53"/>
      <c r="S183" s="53">
        <v>0</v>
      </c>
      <c r="T183" s="53"/>
      <c r="U183" s="53">
        <v>2590559</v>
      </c>
      <c r="V183" s="53"/>
      <c r="W183" s="53">
        <f t="shared" si="47"/>
        <v>19534208</v>
      </c>
      <c r="X183" s="51"/>
      <c r="Y183" s="51"/>
      <c r="Z183" s="35" t="s">
        <v>207</v>
      </c>
      <c r="AA183" s="53"/>
      <c r="AB183" s="35" t="s">
        <v>102</v>
      </c>
      <c r="AC183" s="51"/>
      <c r="AD183" s="53">
        <v>2193255</v>
      </c>
      <c r="AE183" s="53"/>
      <c r="AF183" s="53">
        <f>1858907-499219</f>
        <v>1359688</v>
      </c>
      <c r="AG183" s="53"/>
      <c r="AH183" s="53">
        <v>499219</v>
      </c>
      <c r="AI183" s="53"/>
      <c r="AJ183" s="45">
        <f t="shared" si="41"/>
        <v>334348</v>
      </c>
      <c r="AK183" s="45"/>
      <c r="AL183" s="53">
        <v>-96806</v>
      </c>
      <c r="AM183" s="45"/>
      <c r="AN183" s="53">
        <v>0</v>
      </c>
      <c r="AO183" s="53"/>
      <c r="AP183" s="53">
        <v>0</v>
      </c>
      <c r="AQ183" s="53"/>
      <c r="AR183" s="53">
        <v>271787</v>
      </c>
      <c r="AS183" s="53"/>
      <c r="AT183" s="45">
        <f t="shared" si="42"/>
        <v>509329</v>
      </c>
      <c r="AU183" s="45"/>
      <c r="AV183" s="53">
        <v>0</v>
      </c>
      <c r="AW183" s="53"/>
      <c r="AX183" s="53">
        <v>0</v>
      </c>
      <c r="AY183" s="53"/>
      <c r="AZ183" s="53">
        <f t="shared" si="46"/>
        <v>1807874</v>
      </c>
      <c r="BA183" s="51"/>
      <c r="BB183" s="35" t="s">
        <v>207</v>
      </c>
      <c r="BD183" s="35" t="s">
        <v>102</v>
      </c>
      <c r="BE183" s="53"/>
      <c r="BF183" s="53">
        <f>205707+110000</f>
        <v>315707</v>
      </c>
      <c r="BG183" s="53"/>
      <c r="BH183" s="53">
        <v>0</v>
      </c>
      <c r="BI183" s="53"/>
      <c r="BJ183" s="53">
        <f>1427811+65944</f>
        <v>1493755</v>
      </c>
      <c r="BK183" s="53"/>
      <c r="BL183" s="53">
        <f>16072+69708+36901+2430000+6126+6449</f>
        <v>2565256</v>
      </c>
      <c r="BM183" s="53"/>
      <c r="BN183" s="53">
        <f t="shared" si="45"/>
        <v>4374718</v>
      </c>
      <c r="BO183" s="54"/>
      <c r="BS183" s="55"/>
      <c r="BT183" s="55"/>
      <c r="BU183" s="84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</row>
    <row r="184" spans="1:95" s="35" customFormat="1" ht="12.75" customHeight="1" x14ac:dyDescent="0.2">
      <c r="A184" s="35" t="s">
        <v>208</v>
      </c>
      <c r="B184" s="65"/>
      <c r="C184" s="35" t="s">
        <v>209</v>
      </c>
      <c r="D184" s="44"/>
      <c r="E184" s="53">
        <f t="shared" ref="E184:E214" si="48">I184-G184</f>
        <v>2759894</v>
      </c>
      <c r="F184" s="53"/>
      <c r="G184" s="53">
        <v>10686857</v>
      </c>
      <c r="H184" s="53"/>
      <c r="I184" s="53">
        <v>13446751</v>
      </c>
      <c r="J184" s="53"/>
      <c r="K184" s="53">
        <f t="shared" ref="K184:K214" si="49">O184-M184</f>
        <v>393424</v>
      </c>
      <c r="L184" s="53"/>
      <c r="M184" s="53">
        <v>519285</v>
      </c>
      <c r="N184" s="53"/>
      <c r="O184" s="53">
        <v>912709</v>
      </c>
      <c r="P184" s="53"/>
      <c r="Q184" s="53">
        <v>10205772</v>
      </c>
      <c r="R184" s="53"/>
      <c r="S184" s="53">
        <v>0</v>
      </c>
      <c r="T184" s="53"/>
      <c r="U184" s="53">
        <v>2328270</v>
      </c>
      <c r="V184" s="53"/>
      <c r="W184" s="53">
        <f t="shared" si="47"/>
        <v>12534042</v>
      </c>
      <c r="X184" s="65"/>
      <c r="Y184" s="65"/>
      <c r="Z184" s="35" t="s">
        <v>208</v>
      </c>
      <c r="AA184" s="53"/>
      <c r="AB184" s="35" t="s">
        <v>209</v>
      </c>
      <c r="AC184" s="65"/>
      <c r="AD184" s="53">
        <v>3152186</v>
      </c>
      <c r="AE184" s="53"/>
      <c r="AF184" s="53">
        <f>3281020-376161</f>
        <v>2904859</v>
      </c>
      <c r="AG184" s="53"/>
      <c r="AH184" s="53">
        <v>376161</v>
      </c>
      <c r="AI184" s="53"/>
      <c r="AJ184" s="45">
        <f t="shared" ref="AJ184:AJ226" si="50">+AD184-AF184-AH184</f>
        <v>-128834</v>
      </c>
      <c r="AK184" s="45"/>
      <c r="AL184" s="53">
        <v>268186</v>
      </c>
      <c r="AM184" s="45"/>
      <c r="AN184" s="53">
        <v>0</v>
      </c>
      <c r="AO184" s="53"/>
      <c r="AP184" s="53">
        <v>0</v>
      </c>
      <c r="AQ184" s="53"/>
      <c r="AR184" s="53">
        <v>0</v>
      </c>
      <c r="AS184" s="53"/>
      <c r="AT184" s="45">
        <f t="shared" ref="AT184:AT221" si="51">+AJ184+AL184+AN184-AP184+AR184</f>
        <v>139352</v>
      </c>
      <c r="AU184" s="45"/>
      <c r="AV184" s="53">
        <v>0</v>
      </c>
      <c r="AW184" s="53"/>
      <c r="AX184" s="53">
        <v>0</v>
      </c>
      <c r="AY184" s="53"/>
      <c r="AZ184" s="53">
        <f t="shared" si="46"/>
        <v>2366470</v>
      </c>
      <c r="BA184" s="65"/>
      <c r="BB184" s="35" t="s">
        <v>208</v>
      </c>
      <c r="BD184" s="35" t="s">
        <v>209</v>
      </c>
      <c r="BE184" s="53"/>
      <c r="BF184" s="53">
        <f>349500+131585</f>
        <v>481085</v>
      </c>
      <c r="BG184" s="53"/>
      <c r="BH184" s="53">
        <v>0</v>
      </c>
      <c r="BI184" s="53"/>
      <c r="BJ184" s="53">
        <v>0</v>
      </c>
      <c r="BK184" s="53"/>
      <c r="BL184" s="53">
        <f>169785+81147</f>
        <v>250932</v>
      </c>
      <c r="BM184" s="53"/>
      <c r="BN184" s="53">
        <f t="shared" si="45"/>
        <v>732017</v>
      </c>
      <c r="BO184" s="54"/>
      <c r="BS184" s="55"/>
      <c r="BT184" s="55"/>
      <c r="BU184" s="84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</row>
    <row r="185" spans="1:95" s="35" customFormat="1" ht="12.75" customHeight="1" x14ac:dyDescent="0.2">
      <c r="A185" s="44" t="s">
        <v>210</v>
      </c>
      <c r="B185" s="51"/>
      <c r="C185" s="44" t="s">
        <v>211</v>
      </c>
      <c r="D185" s="44"/>
      <c r="E185" s="53">
        <f t="shared" si="48"/>
        <v>1756338</v>
      </c>
      <c r="F185" s="53"/>
      <c r="G185" s="53">
        <v>3237787</v>
      </c>
      <c r="H185" s="53"/>
      <c r="I185" s="53">
        <v>4994125</v>
      </c>
      <c r="J185" s="53"/>
      <c r="K185" s="53">
        <f t="shared" si="49"/>
        <v>163197</v>
      </c>
      <c r="L185" s="53"/>
      <c r="M185" s="53">
        <v>1275874</v>
      </c>
      <c r="N185" s="53"/>
      <c r="O185" s="53">
        <v>1439071</v>
      </c>
      <c r="P185" s="53"/>
      <c r="Q185" s="53">
        <v>1933672</v>
      </c>
      <c r="R185" s="53"/>
      <c r="S185" s="53">
        <v>0</v>
      </c>
      <c r="T185" s="53"/>
      <c r="U185" s="53">
        <v>1621382</v>
      </c>
      <c r="V185" s="53"/>
      <c r="W185" s="53">
        <f t="shared" si="47"/>
        <v>3555054</v>
      </c>
      <c r="X185" s="66"/>
      <c r="Y185" s="64"/>
      <c r="Z185" s="44" t="s">
        <v>210</v>
      </c>
      <c r="AA185" s="53"/>
      <c r="AB185" s="44" t="s">
        <v>211</v>
      </c>
      <c r="AC185" s="51"/>
      <c r="AD185" s="53">
        <v>2545901</v>
      </c>
      <c r="AE185" s="53"/>
      <c r="AF185" s="53">
        <f>1506850-68986</f>
        <v>1437864</v>
      </c>
      <c r="AG185" s="53"/>
      <c r="AH185" s="53">
        <v>68986</v>
      </c>
      <c r="AI185" s="53"/>
      <c r="AJ185" s="45">
        <f t="shared" si="50"/>
        <v>1039051</v>
      </c>
      <c r="AK185" s="45"/>
      <c r="AL185" s="53">
        <f>15000-56725</f>
        <v>-41725</v>
      </c>
      <c r="AM185" s="45"/>
      <c r="AN185" s="53">
        <v>49947</v>
      </c>
      <c r="AO185" s="53"/>
      <c r="AP185" s="53">
        <v>51134</v>
      </c>
      <c r="AQ185" s="53"/>
      <c r="AR185" s="53">
        <v>0</v>
      </c>
      <c r="AS185" s="53"/>
      <c r="AT185" s="45">
        <f t="shared" si="51"/>
        <v>996139</v>
      </c>
      <c r="AU185" s="45"/>
      <c r="AV185" s="53">
        <v>0</v>
      </c>
      <c r="AW185" s="53"/>
      <c r="AX185" s="53">
        <v>0</v>
      </c>
      <c r="AY185" s="53"/>
      <c r="AZ185" s="53">
        <f t="shared" si="46"/>
        <v>1593141</v>
      </c>
      <c r="BA185" s="66"/>
      <c r="BB185" s="44" t="s">
        <v>210</v>
      </c>
      <c r="BD185" s="44" t="s">
        <v>211</v>
      </c>
      <c r="BE185" s="53"/>
      <c r="BF185" s="53">
        <v>0</v>
      </c>
      <c r="BG185" s="53"/>
      <c r="BH185" s="53">
        <v>0</v>
      </c>
      <c r="BI185" s="53"/>
      <c r="BJ185" s="53">
        <f>18274+1155382+1515+59491</f>
        <v>1234662</v>
      </c>
      <c r="BK185" s="53"/>
      <c r="BL185" s="53">
        <f>69453+32765+11350</f>
        <v>113568</v>
      </c>
      <c r="BM185" s="53"/>
      <c r="BN185" s="53">
        <f t="shared" si="45"/>
        <v>1348230</v>
      </c>
      <c r="BO185" s="54"/>
      <c r="BS185" s="55"/>
      <c r="BT185" s="55"/>
      <c r="BU185" s="84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</row>
    <row r="186" spans="1:95" s="35" customFormat="1" ht="12.75" customHeight="1" x14ac:dyDescent="0.2">
      <c r="A186" s="44" t="s">
        <v>212</v>
      </c>
      <c r="B186" s="51"/>
      <c r="C186" s="44" t="s">
        <v>213</v>
      </c>
      <c r="D186" s="44"/>
      <c r="E186" s="53">
        <f t="shared" si="48"/>
        <v>2328544</v>
      </c>
      <c r="F186" s="53"/>
      <c r="G186" s="53">
        <v>18417363</v>
      </c>
      <c r="H186" s="53"/>
      <c r="I186" s="53">
        <v>20745907</v>
      </c>
      <c r="J186" s="53"/>
      <c r="K186" s="53">
        <f t="shared" si="49"/>
        <v>2268871</v>
      </c>
      <c r="L186" s="53"/>
      <c r="M186" s="53">
        <v>8190276</v>
      </c>
      <c r="N186" s="53"/>
      <c r="O186" s="53">
        <v>10459147</v>
      </c>
      <c r="P186" s="53"/>
      <c r="Q186" s="53">
        <v>7810867</v>
      </c>
      <c r="R186" s="53"/>
      <c r="S186" s="53">
        <v>942914</v>
      </c>
      <c r="T186" s="53"/>
      <c r="U186" s="53">
        <v>1532979</v>
      </c>
      <c r="V186" s="53"/>
      <c r="W186" s="53">
        <f t="shared" si="47"/>
        <v>10286760</v>
      </c>
      <c r="X186" s="51"/>
      <c r="Y186" s="51"/>
      <c r="Z186" s="44" t="s">
        <v>212</v>
      </c>
      <c r="AA186" s="53"/>
      <c r="AB186" s="44" t="s">
        <v>213</v>
      </c>
      <c r="AC186" s="51"/>
      <c r="AD186" s="53">
        <v>6008887</v>
      </c>
      <c r="AE186" s="53"/>
      <c r="AF186" s="53">
        <f>5618050-1066143</f>
        <v>4551907</v>
      </c>
      <c r="AG186" s="53"/>
      <c r="AH186" s="53">
        <v>1066143</v>
      </c>
      <c r="AI186" s="53"/>
      <c r="AJ186" s="45">
        <f t="shared" si="50"/>
        <v>390837</v>
      </c>
      <c r="AK186" s="45"/>
      <c r="AL186" s="53">
        <v>-389444</v>
      </c>
      <c r="AM186" s="45"/>
      <c r="AN186" s="53">
        <v>0</v>
      </c>
      <c r="AO186" s="53"/>
      <c r="AP186" s="53">
        <v>0</v>
      </c>
      <c r="AQ186" s="53"/>
      <c r="AR186" s="53">
        <v>200210</v>
      </c>
      <c r="AS186" s="53"/>
      <c r="AT186" s="45">
        <f t="shared" si="51"/>
        <v>201603</v>
      </c>
      <c r="AU186" s="45"/>
      <c r="AV186" s="53">
        <v>0</v>
      </c>
      <c r="AW186" s="53"/>
      <c r="AX186" s="53">
        <v>0</v>
      </c>
      <c r="AY186" s="53"/>
      <c r="AZ186" s="53">
        <f t="shared" si="46"/>
        <v>59673</v>
      </c>
      <c r="BA186" s="51"/>
      <c r="BB186" s="44" t="s">
        <v>212</v>
      </c>
      <c r="BD186" s="44" t="s">
        <v>213</v>
      </c>
      <c r="BE186" s="53"/>
      <c r="BF186" s="53">
        <v>0</v>
      </c>
      <c r="BG186" s="53"/>
      <c r="BH186" s="53">
        <f>1605000+495000</f>
        <v>2100000</v>
      </c>
      <c r="BI186" s="53"/>
      <c r="BJ186" s="53">
        <f>3050653+155985</f>
        <v>3206638</v>
      </c>
      <c r="BK186" s="53"/>
      <c r="BL186" s="53">
        <f>3484913+49710+9787+563638</f>
        <v>4108048</v>
      </c>
      <c r="BM186" s="53"/>
      <c r="BN186" s="53">
        <f t="shared" si="45"/>
        <v>9414686</v>
      </c>
      <c r="BO186" s="54"/>
      <c r="BP186" s="55"/>
      <c r="BS186" s="55"/>
      <c r="BT186" s="55"/>
      <c r="BU186" s="84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</row>
    <row r="187" spans="1:95" s="126" customFormat="1" ht="12.75" hidden="1" customHeight="1" x14ac:dyDescent="0.2">
      <c r="A187" s="44" t="s">
        <v>214</v>
      </c>
      <c r="B187" s="51"/>
      <c r="C187" s="44" t="s">
        <v>86</v>
      </c>
      <c r="D187" s="44"/>
      <c r="E187" s="53">
        <f t="shared" si="48"/>
        <v>0</v>
      </c>
      <c r="F187" s="53"/>
      <c r="G187" s="53"/>
      <c r="H187" s="53"/>
      <c r="I187" s="53"/>
      <c r="J187" s="53"/>
      <c r="K187" s="53">
        <f t="shared" si="49"/>
        <v>0</v>
      </c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>
        <f t="shared" si="47"/>
        <v>0</v>
      </c>
      <c r="X187" s="51"/>
      <c r="Y187" s="51"/>
      <c r="Z187" s="44" t="s">
        <v>214</v>
      </c>
      <c r="AA187" s="53"/>
      <c r="AB187" s="44" t="s">
        <v>86</v>
      </c>
      <c r="AC187" s="51"/>
      <c r="AD187" s="53"/>
      <c r="AE187" s="53"/>
      <c r="AF187" s="53"/>
      <c r="AG187" s="53"/>
      <c r="AH187" s="53"/>
      <c r="AI187" s="53"/>
      <c r="AJ187" s="45">
        <f t="shared" si="50"/>
        <v>0</v>
      </c>
      <c r="AK187" s="45"/>
      <c r="AL187" s="53"/>
      <c r="AM187" s="45"/>
      <c r="AN187" s="53"/>
      <c r="AO187" s="53"/>
      <c r="AP187" s="53"/>
      <c r="AQ187" s="53"/>
      <c r="AR187" s="53"/>
      <c r="AS187" s="53"/>
      <c r="AT187" s="45">
        <f t="shared" si="51"/>
        <v>0</v>
      </c>
      <c r="AU187" s="45"/>
      <c r="AV187" s="53">
        <v>0</v>
      </c>
      <c r="AW187" s="53"/>
      <c r="AX187" s="53">
        <v>0</v>
      </c>
      <c r="AY187" s="53"/>
      <c r="AZ187" s="53">
        <f t="shared" si="46"/>
        <v>0</v>
      </c>
      <c r="BA187" s="51"/>
      <c r="BB187" s="44" t="s">
        <v>214</v>
      </c>
      <c r="BC187" s="35"/>
      <c r="BD187" s="44" t="s">
        <v>86</v>
      </c>
      <c r="BE187" s="53"/>
      <c r="BF187" s="53"/>
      <c r="BG187" s="53"/>
      <c r="BH187" s="53"/>
      <c r="BI187" s="53"/>
      <c r="BJ187" s="53"/>
      <c r="BK187" s="53"/>
      <c r="BL187" s="53"/>
      <c r="BM187" s="53"/>
      <c r="BN187" s="53">
        <f t="shared" si="45"/>
        <v>0</v>
      </c>
      <c r="BO187" s="139"/>
      <c r="BS187" s="140"/>
      <c r="BT187" s="140"/>
      <c r="BU187" s="141"/>
      <c r="BV187" s="140"/>
      <c r="BW187" s="140"/>
      <c r="BX187" s="140"/>
      <c r="BY187" s="140"/>
      <c r="BZ187" s="140"/>
      <c r="CA187" s="140"/>
      <c r="CB187" s="140"/>
      <c r="CC187" s="140"/>
      <c r="CD187" s="140"/>
      <c r="CE187" s="140"/>
      <c r="CF187" s="140"/>
      <c r="CG187" s="140"/>
      <c r="CH187" s="140"/>
      <c r="CI187" s="140"/>
      <c r="CJ187" s="140"/>
      <c r="CK187" s="140"/>
      <c r="CL187" s="140"/>
      <c r="CM187" s="140"/>
      <c r="CN187" s="140"/>
      <c r="CO187" s="140"/>
      <c r="CP187" s="140"/>
      <c r="CQ187" s="140"/>
    </row>
    <row r="188" spans="1:95" s="35" customFormat="1" ht="12.75" customHeight="1" x14ac:dyDescent="0.2">
      <c r="A188" s="35" t="s">
        <v>215</v>
      </c>
      <c r="C188" s="35" t="s">
        <v>22</v>
      </c>
      <c r="D188" s="44"/>
      <c r="E188" s="53">
        <f t="shared" si="48"/>
        <v>4196687</v>
      </c>
      <c r="F188" s="53"/>
      <c r="G188" s="53">
        <v>17543433</v>
      </c>
      <c r="H188" s="53"/>
      <c r="I188" s="53">
        <v>21740120</v>
      </c>
      <c r="J188" s="53"/>
      <c r="K188" s="53">
        <f t="shared" si="49"/>
        <v>253002</v>
      </c>
      <c r="L188" s="53"/>
      <c r="M188" s="53">
        <v>1585909</v>
      </c>
      <c r="N188" s="53"/>
      <c r="O188" s="53">
        <v>1838911</v>
      </c>
      <c r="P188" s="53"/>
      <c r="Q188" s="53">
        <v>15916033</v>
      </c>
      <c r="R188" s="53"/>
      <c r="S188" s="53">
        <v>0</v>
      </c>
      <c r="T188" s="53"/>
      <c r="U188" s="53">
        <v>3985176</v>
      </c>
      <c r="V188" s="53"/>
      <c r="W188" s="53">
        <f t="shared" si="47"/>
        <v>19901209</v>
      </c>
      <c r="X188" s="51"/>
      <c r="Y188" s="51"/>
      <c r="Z188" s="35" t="s">
        <v>215</v>
      </c>
      <c r="AB188" s="35" t="s">
        <v>22</v>
      </c>
      <c r="AC188" s="51"/>
      <c r="AD188" s="53">
        <v>2743601</v>
      </c>
      <c r="AE188" s="53"/>
      <c r="AF188" s="53">
        <f>3984010-654910</f>
        <v>3329100</v>
      </c>
      <c r="AG188" s="53"/>
      <c r="AH188" s="53">
        <v>654910</v>
      </c>
      <c r="AI188" s="53"/>
      <c r="AJ188" s="45">
        <f t="shared" si="50"/>
        <v>-1240409</v>
      </c>
      <c r="AK188" s="45"/>
      <c r="AL188" s="53">
        <v>1068838</v>
      </c>
      <c r="AM188" s="45"/>
      <c r="AN188" s="53">
        <v>0</v>
      </c>
      <c r="AO188" s="53"/>
      <c r="AP188" s="53">
        <v>0</v>
      </c>
      <c r="AQ188" s="53"/>
      <c r="AR188" s="53">
        <v>0</v>
      </c>
      <c r="AS188" s="53"/>
      <c r="AT188" s="45">
        <f t="shared" si="51"/>
        <v>-171571</v>
      </c>
      <c r="AU188" s="45"/>
      <c r="AV188" s="53">
        <v>0</v>
      </c>
      <c r="AW188" s="53"/>
      <c r="AX188" s="53">
        <v>0</v>
      </c>
      <c r="AY188" s="53"/>
      <c r="AZ188" s="53">
        <f t="shared" si="46"/>
        <v>3943685</v>
      </c>
      <c r="BA188" s="51"/>
      <c r="BB188" s="35" t="s">
        <v>215</v>
      </c>
      <c r="BD188" s="35" t="s">
        <v>22</v>
      </c>
      <c r="BE188" s="53"/>
      <c r="BF188" s="53">
        <v>0</v>
      </c>
      <c r="BG188" s="53"/>
      <c r="BH188" s="53">
        <v>0</v>
      </c>
      <c r="BI188" s="53"/>
      <c r="BJ188" s="53">
        <f>260574+1232318+27823+90640</f>
        <v>1611355</v>
      </c>
      <c r="BK188" s="53"/>
      <c r="BL188" s="53">
        <f>82172+10845+5200+35261</f>
        <v>133478</v>
      </c>
      <c r="BM188" s="53"/>
      <c r="BN188" s="53">
        <f>SUM(BF188:BL188)</f>
        <v>1744833</v>
      </c>
      <c r="BO188" s="54"/>
      <c r="BS188" s="55"/>
      <c r="BT188" s="55"/>
      <c r="BU188" s="84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</row>
    <row r="189" spans="1:95" s="35" customFormat="1" ht="12.75" customHeight="1" x14ac:dyDescent="0.2">
      <c r="A189" s="35" t="s">
        <v>216</v>
      </c>
      <c r="B189" s="51"/>
      <c r="C189" s="35" t="s">
        <v>45</v>
      </c>
      <c r="D189" s="44"/>
      <c r="E189" s="53">
        <f t="shared" si="48"/>
        <v>345535</v>
      </c>
      <c r="F189" s="53"/>
      <c r="G189" s="53">
        <f>6135+710384</f>
        <v>716519</v>
      </c>
      <c r="H189" s="53"/>
      <c r="I189" s="53">
        <v>1062054</v>
      </c>
      <c r="J189" s="53"/>
      <c r="K189" s="53">
        <f t="shared" si="49"/>
        <v>61247</v>
      </c>
      <c r="L189" s="53"/>
      <c r="M189" s="53">
        <v>81401</v>
      </c>
      <c r="N189" s="53"/>
      <c r="O189" s="53">
        <v>142648</v>
      </c>
      <c r="P189" s="53"/>
      <c r="Q189" s="53">
        <v>716519</v>
      </c>
      <c r="R189" s="53"/>
      <c r="S189" s="53">
        <v>0</v>
      </c>
      <c r="T189" s="53"/>
      <c r="U189" s="53">
        <v>202887</v>
      </c>
      <c r="V189" s="53"/>
      <c r="W189" s="53">
        <f t="shared" ref="W189:W194" si="52">SUM(Q189:U189)</f>
        <v>919406</v>
      </c>
      <c r="X189" s="51"/>
      <c r="Y189" s="51"/>
      <c r="Z189" s="35" t="s">
        <v>216</v>
      </c>
      <c r="AA189" s="53"/>
      <c r="AB189" s="35" t="s">
        <v>45</v>
      </c>
      <c r="AC189" s="51"/>
      <c r="AD189" s="53">
        <v>1429866</v>
      </c>
      <c r="AE189" s="53"/>
      <c r="AF189" s="53">
        <f>1500073-59195</f>
        <v>1440878</v>
      </c>
      <c r="AG189" s="53"/>
      <c r="AH189" s="53">
        <v>59195</v>
      </c>
      <c r="AI189" s="53"/>
      <c r="AJ189" s="45">
        <f t="shared" si="50"/>
        <v>-70207</v>
      </c>
      <c r="AK189" s="45"/>
      <c r="AL189" s="53">
        <v>-723</v>
      </c>
      <c r="AM189" s="45"/>
      <c r="AN189" s="53">
        <v>11330</v>
      </c>
      <c r="AO189" s="53"/>
      <c r="AP189" s="53">
        <v>0</v>
      </c>
      <c r="AQ189" s="53"/>
      <c r="AR189" s="53">
        <v>0</v>
      </c>
      <c r="AS189" s="53"/>
      <c r="AT189" s="45">
        <f t="shared" si="51"/>
        <v>-59600</v>
      </c>
      <c r="AU189" s="45"/>
      <c r="AV189" s="53">
        <v>0</v>
      </c>
      <c r="AW189" s="53"/>
      <c r="AX189" s="53">
        <v>0</v>
      </c>
      <c r="AY189" s="53"/>
      <c r="AZ189" s="53">
        <f t="shared" ref="AZ189:AZ194" si="53">E189-K189</f>
        <v>284288</v>
      </c>
      <c r="BA189" s="51"/>
      <c r="BB189" s="35" t="s">
        <v>216</v>
      </c>
      <c r="BD189" s="35" t="s">
        <v>45</v>
      </c>
      <c r="BE189" s="53"/>
      <c r="BF189" s="53">
        <v>0</v>
      </c>
      <c r="BG189" s="53"/>
      <c r="BH189" s="53">
        <v>0</v>
      </c>
      <c r="BI189" s="53"/>
      <c r="BJ189" s="53">
        <v>0</v>
      </c>
      <c r="BK189" s="53"/>
      <c r="BL189" s="53">
        <f>81401+17984</f>
        <v>99385</v>
      </c>
      <c r="BM189" s="53"/>
      <c r="BN189" s="53">
        <f t="shared" si="45"/>
        <v>99385</v>
      </c>
      <c r="BO189" s="54"/>
      <c r="BS189" s="55"/>
      <c r="BT189" s="55"/>
      <c r="BU189" s="84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</row>
    <row r="190" spans="1:95" s="35" customFormat="1" ht="12.75" customHeight="1" x14ac:dyDescent="0.2">
      <c r="A190" s="35" t="s">
        <v>217</v>
      </c>
      <c r="B190" s="65"/>
      <c r="C190" s="35" t="s">
        <v>43</v>
      </c>
      <c r="D190" s="44"/>
      <c r="E190" s="53">
        <f t="shared" si="48"/>
        <v>1970147</v>
      </c>
      <c r="F190" s="53"/>
      <c r="G190" s="53">
        <v>22781819</v>
      </c>
      <c r="H190" s="53"/>
      <c r="I190" s="53">
        <v>24751966</v>
      </c>
      <c r="J190" s="53"/>
      <c r="K190" s="53">
        <f t="shared" si="49"/>
        <v>1306856</v>
      </c>
      <c r="L190" s="53"/>
      <c r="M190" s="53">
        <v>1535770</v>
      </c>
      <c r="N190" s="53"/>
      <c r="O190" s="53">
        <v>2842626</v>
      </c>
      <c r="P190" s="53"/>
      <c r="Q190" s="53">
        <v>21499563</v>
      </c>
      <c r="R190" s="53"/>
      <c r="S190" s="53">
        <v>0</v>
      </c>
      <c r="T190" s="53"/>
      <c r="U190" s="53">
        <v>409777</v>
      </c>
      <c r="V190" s="53"/>
      <c r="W190" s="53">
        <f t="shared" si="52"/>
        <v>21909340</v>
      </c>
      <c r="X190" s="65"/>
      <c r="Y190" s="65"/>
      <c r="Z190" s="35" t="s">
        <v>217</v>
      </c>
      <c r="AA190" s="53"/>
      <c r="AB190" s="35" t="s">
        <v>43</v>
      </c>
      <c r="AC190" s="65"/>
      <c r="AD190" s="53">
        <v>5203135</v>
      </c>
      <c r="AE190" s="53"/>
      <c r="AF190" s="53">
        <f>5604271-649350</f>
        <v>4954921</v>
      </c>
      <c r="AG190" s="53"/>
      <c r="AH190" s="53">
        <v>649350</v>
      </c>
      <c r="AI190" s="53"/>
      <c r="AJ190" s="45">
        <f t="shared" si="50"/>
        <v>-401136</v>
      </c>
      <c r="AK190" s="45"/>
      <c r="AL190" s="53">
        <v>-72592</v>
      </c>
      <c r="AM190" s="45"/>
      <c r="AN190" s="53">
        <v>0</v>
      </c>
      <c r="AO190" s="53"/>
      <c r="AP190" s="53">
        <v>0</v>
      </c>
      <c r="AQ190" s="53"/>
      <c r="AR190" s="53">
        <f>32059+170821</f>
        <v>202880</v>
      </c>
      <c r="AS190" s="53"/>
      <c r="AT190" s="45">
        <f t="shared" si="51"/>
        <v>-270848</v>
      </c>
      <c r="AU190" s="45"/>
      <c r="AV190" s="53">
        <v>0</v>
      </c>
      <c r="AW190" s="53"/>
      <c r="AX190" s="53">
        <v>0</v>
      </c>
      <c r="AY190" s="53"/>
      <c r="AZ190" s="53">
        <f t="shared" si="53"/>
        <v>663291</v>
      </c>
      <c r="BA190" s="65"/>
      <c r="BB190" s="35" t="s">
        <v>217</v>
      </c>
      <c r="BD190" s="35" t="s">
        <v>43</v>
      </c>
      <c r="BE190" s="53"/>
      <c r="BF190" s="53">
        <f>599600+246585</f>
        <v>846185</v>
      </c>
      <c r="BG190" s="53"/>
      <c r="BH190" s="53">
        <v>0</v>
      </c>
      <c r="BI190" s="53"/>
      <c r="BJ190" s="53">
        <f>812386+61497</f>
        <v>873883</v>
      </c>
      <c r="BK190" s="53"/>
      <c r="BL190" s="53">
        <f>75188+48596+20504</f>
        <v>144288</v>
      </c>
      <c r="BM190" s="53"/>
      <c r="BN190" s="53">
        <f t="shared" si="45"/>
        <v>1864356</v>
      </c>
      <c r="BO190" s="54"/>
      <c r="BS190" s="55"/>
      <c r="BT190" s="55"/>
      <c r="BU190" s="84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</row>
    <row r="191" spans="1:95" s="126" customFormat="1" ht="12.75" hidden="1" customHeight="1" x14ac:dyDescent="0.2">
      <c r="A191" s="35" t="s">
        <v>218</v>
      </c>
      <c r="B191" s="51"/>
      <c r="C191" s="35" t="s">
        <v>27</v>
      </c>
      <c r="D191" s="44"/>
      <c r="E191" s="53">
        <f t="shared" si="48"/>
        <v>0</v>
      </c>
      <c r="F191" s="53"/>
      <c r="G191" s="53"/>
      <c r="H191" s="53"/>
      <c r="I191" s="53"/>
      <c r="J191" s="53"/>
      <c r="K191" s="53">
        <f t="shared" si="49"/>
        <v>0</v>
      </c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>
        <f t="shared" si="52"/>
        <v>0</v>
      </c>
      <c r="X191" s="51"/>
      <c r="Y191" s="51"/>
      <c r="Z191" s="35" t="s">
        <v>218</v>
      </c>
      <c r="AA191" s="53"/>
      <c r="AB191" s="35" t="s">
        <v>27</v>
      </c>
      <c r="AC191" s="51"/>
      <c r="AD191" s="53"/>
      <c r="AE191" s="53"/>
      <c r="AF191" s="53"/>
      <c r="AG191" s="53"/>
      <c r="AH191" s="53"/>
      <c r="AI191" s="53"/>
      <c r="AJ191" s="45">
        <f t="shared" si="50"/>
        <v>0</v>
      </c>
      <c r="AK191" s="45"/>
      <c r="AL191" s="53"/>
      <c r="AM191" s="45"/>
      <c r="AN191" s="53"/>
      <c r="AO191" s="53"/>
      <c r="AP191" s="53"/>
      <c r="AQ191" s="53"/>
      <c r="AR191" s="53"/>
      <c r="AS191" s="53"/>
      <c r="AT191" s="45">
        <f t="shared" si="51"/>
        <v>0</v>
      </c>
      <c r="AU191" s="45"/>
      <c r="AV191" s="53">
        <v>0</v>
      </c>
      <c r="AW191" s="53"/>
      <c r="AX191" s="53">
        <v>0</v>
      </c>
      <c r="AY191" s="53"/>
      <c r="AZ191" s="53">
        <f t="shared" si="53"/>
        <v>0</v>
      </c>
      <c r="BA191" s="51"/>
      <c r="BB191" s="35" t="s">
        <v>218</v>
      </c>
      <c r="BC191" s="35"/>
      <c r="BD191" s="35" t="s">
        <v>27</v>
      </c>
      <c r="BE191" s="53"/>
      <c r="BF191" s="53"/>
      <c r="BG191" s="53"/>
      <c r="BH191" s="53"/>
      <c r="BI191" s="53"/>
      <c r="BJ191" s="53"/>
      <c r="BK191" s="53"/>
      <c r="BL191" s="53"/>
      <c r="BM191" s="53"/>
      <c r="BN191" s="53">
        <f t="shared" si="45"/>
        <v>0</v>
      </c>
      <c r="BO191" s="139"/>
      <c r="BS191" s="140"/>
      <c r="BT191" s="140"/>
      <c r="BU191" s="141"/>
      <c r="BV191" s="140"/>
      <c r="BW191" s="140"/>
      <c r="BX191" s="140"/>
      <c r="BY191" s="140"/>
      <c r="BZ191" s="140"/>
      <c r="CA191" s="140"/>
      <c r="CB191" s="140"/>
      <c r="CC191" s="140"/>
      <c r="CD191" s="140"/>
      <c r="CE191" s="140"/>
      <c r="CF191" s="140"/>
      <c r="CG191" s="140"/>
      <c r="CH191" s="140"/>
      <c r="CI191" s="140"/>
      <c r="CJ191" s="140"/>
      <c r="CK191" s="140"/>
      <c r="CL191" s="140"/>
      <c r="CM191" s="140"/>
      <c r="CN191" s="140"/>
      <c r="CO191" s="140"/>
      <c r="CP191" s="140"/>
      <c r="CQ191" s="140"/>
    </row>
    <row r="192" spans="1:95" s="35" customFormat="1" ht="12.75" customHeight="1" x14ac:dyDescent="0.2">
      <c r="A192" s="35" t="s">
        <v>219</v>
      </c>
      <c r="B192" s="51"/>
      <c r="C192" s="35" t="s">
        <v>199</v>
      </c>
      <c r="D192" s="44"/>
      <c r="E192" s="53">
        <f t="shared" si="48"/>
        <v>796382</v>
      </c>
      <c r="F192" s="53"/>
      <c r="G192" s="53">
        <v>5473896</v>
      </c>
      <c r="H192" s="53"/>
      <c r="I192" s="53">
        <v>6270278</v>
      </c>
      <c r="J192" s="53"/>
      <c r="K192" s="53">
        <f t="shared" si="49"/>
        <v>183761</v>
      </c>
      <c r="L192" s="53"/>
      <c r="M192" s="53">
        <v>1364193</v>
      </c>
      <c r="N192" s="53"/>
      <c r="O192" s="53">
        <v>1547954</v>
      </c>
      <c r="P192" s="53"/>
      <c r="Q192" s="53">
        <v>4012746</v>
      </c>
      <c r="R192" s="53"/>
      <c r="S192" s="53">
        <v>0</v>
      </c>
      <c r="T192" s="53"/>
      <c r="U192" s="53">
        <v>709578</v>
      </c>
      <c r="V192" s="53"/>
      <c r="W192" s="53">
        <f t="shared" si="52"/>
        <v>4722324</v>
      </c>
      <c r="X192" s="51"/>
      <c r="Y192" s="51"/>
      <c r="Z192" s="35" t="s">
        <v>219</v>
      </c>
      <c r="AA192" s="53"/>
      <c r="AB192" s="35" t="s">
        <v>199</v>
      </c>
      <c r="AC192" s="51"/>
      <c r="AD192" s="53">
        <v>525257</v>
      </c>
      <c r="AE192" s="53"/>
      <c r="AF192" s="53">
        <f>754625-205908</f>
        <v>548717</v>
      </c>
      <c r="AG192" s="53"/>
      <c r="AH192" s="53">
        <v>205908</v>
      </c>
      <c r="AI192" s="53"/>
      <c r="AJ192" s="45">
        <f t="shared" si="50"/>
        <v>-229368</v>
      </c>
      <c r="AK192" s="45"/>
      <c r="AL192" s="53">
        <v>279556</v>
      </c>
      <c r="AM192" s="45"/>
      <c r="AN192" s="53">
        <v>0</v>
      </c>
      <c r="AO192" s="53"/>
      <c r="AP192" s="53">
        <v>0</v>
      </c>
      <c r="AQ192" s="53"/>
      <c r="AR192" s="53">
        <v>140117</v>
      </c>
      <c r="AS192" s="53"/>
      <c r="AT192" s="45">
        <f t="shared" si="51"/>
        <v>190305</v>
      </c>
      <c r="AU192" s="45"/>
      <c r="AV192" s="53">
        <v>0</v>
      </c>
      <c r="AW192" s="53"/>
      <c r="AX192" s="53">
        <v>0</v>
      </c>
      <c r="AY192" s="53"/>
      <c r="AZ192" s="53">
        <f t="shared" si="53"/>
        <v>612621</v>
      </c>
      <c r="BA192" s="51"/>
      <c r="BB192" s="35" t="s">
        <v>219</v>
      </c>
      <c r="BD192" s="35" t="s">
        <v>199</v>
      </c>
      <c r="BE192" s="53"/>
      <c r="BF192" s="53">
        <f>1060000+70000</f>
        <v>1130000</v>
      </c>
      <c r="BG192" s="53"/>
      <c r="BH192" s="53">
        <v>0</v>
      </c>
      <c r="BI192" s="53"/>
      <c r="BJ192" s="53">
        <f>292744+16991</f>
        <v>309735</v>
      </c>
      <c r="BK192" s="53"/>
      <c r="BL192" s="53">
        <f>11449+16039</f>
        <v>27488</v>
      </c>
      <c r="BM192" s="53"/>
      <c r="BN192" s="53">
        <f t="shared" si="45"/>
        <v>1467223</v>
      </c>
      <c r="BO192" s="54"/>
      <c r="BS192" s="55"/>
      <c r="BT192" s="55"/>
      <c r="BU192" s="84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</row>
    <row r="193" spans="1:227" s="126" customFormat="1" ht="12.75" hidden="1" customHeight="1" x14ac:dyDescent="0.2">
      <c r="A193" s="35" t="s">
        <v>220</v>
      </c>
      <c r="B193" s="51"/>
      <c r="C193" s="35" t="s">
        <v>66</v>
      </c>
      <c r="D193" s="44"/>
      <c r="E193" s="53">
        <f t="shared" si="48"/>
        <v>0</v>
      </c>
      <c r="F193" s="53"/>
      <c r="G193" s="53"/>
      <c r="H193" s="53"/>
      <c r="I193" s="53"/>
      <c r="J193" s="53"/>
      <c r="K193" s="53">
        <f t="shared" si="49"/>
        <v>0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>
        <f t="shared" si="52"/>
        <v>0</v>
      </c>
      <c r="X193" s="51"/>
      <c r="Y193" s="51"/>
      <c r="Z193" s="35" t="s">
        <v>220</v>
      </c>
      <c r="AA193" s="53"/>
      <c r="AB193" s="35" t="s">
        <v>66</v>
      </c>
      <c r="AC193" s="51"/>
      <c r="AD193" s="53"/>
      <c r="AE193" s="53"/>
      <c r="AF193" s="53"/>
      <c r="AG193" s="53"/>
      <c r="AH193" s="53"/>
      <c r="AI193" s="53"/>
      <c r="AJ193" s="45">
        <f t="shared" si="50"/>
        <v>0</v>
      </c>
      <c r="AK193" s="45"/>
      <c r="AL193" s="53"/>
      <c r="AM193" s="45"/>
      <c r="AN193" s="53"/>
      <c r="AO193" s="53"/>
      <c r="AP193" s="53"/>
      <c r="AQ193" s="53"/>
      <c r="AR193" s="53"/>
      <c r="AS193" s="53"/>
      <c r="AT193" s="45">
        <f t="shared" si="51"/>
        <v>0</v>
      </c>
      <c r="AU193" s="45"/>
      <c r="AV193" s="53">
        <v>0</v>
      </c>
      <c r="AW193" s="53"/>
      <c r="AX193" s="53">
        <v>0</v>
      </c>
      <c r="AY193" s="53"/>
      <c r="AZ193" s="53">
        <f t="shared" si="53"/>
        <v>0</v>
      </c>
      <c r="BA193" s="51"/>
      <c r="BB193" s="35" t="s">
        <v>220</v>
      </c>
      <c r="BC193" s="35"/>
      <c r="BD193" s="35" t="s">
        <v>66</v>
      </c>
      <c r="BE193" s="53"/>
      <c r="BF193" s="53"/>
      <c r="BG193" s="53"/>
      <c r="BH193" s="53"/>
      <c r="BI193" s="53"/>
      <c r="BJ193" s="53"/>
      <c r="BK193" s="53"/>
      <c r="BL193" s="53"/>
      <c r="BM193" s="53"/>
      <c r="BN193" s="53">
        <f t="shared" si="45"/>
        <v>0</v>
      </c>
      <c r="BO193" s="139"/>
      <c r="BS193" s="140"/>
      <c r="BT193" s="140"/>
      <c r="BU193" s="141"/>
      <c r="BV193" s="140"/>
      <c r="BW193" s="140"/>
      <c r="BX193" s="140"/>
      <c r="BY193" s="140"/>
      <c r="BZ193" s="140"/>
      <c r="CA193" s="140"/>
      <c r="CB193" s="140"/>
      <c r="CC193" s="140"/>
      <c r="CD193" s="140"/>
      <c r="CE193" s="140"/>
      <c r="CF193" s="140"/>
      <c r="CG193" s="140"/>
      <c r="CH193" s="140"/>
      <c r="CI193" s="140"/>
      <c r="CJ193" s="140"/>
      <c r="CK193" s="140"/>
      <c r="CL193" s="140"/>
      <c r="CM193" s="140"/>
      <c r="CN193" s="140"/>
      <c r="CO193" s="140"/>
      <c r="CP193" s="140"/>
      <c r="CQ193" s="140"/>
    </row>
    <row r="194" spans="1:227" s="126" customFormat="1" ht="12.75" hidden="1" customHeight="1" x14ac:dyDescent="0.2">
      <c r="A194" s="35" t="s">
        <v>221</v>
      </c>
      <c r="B194" s="51"/>
      <c r="C194" s="35" t="s">
        <v>27</v>
      </c>
      <c r="D194" s="44"/>
      <c r="E194" s="53">
        <f t="shared" si="48"/>
        <v>0</v>
      </c>
      <c r="F194" s="53"/>
      <c r="G194" s="53"/>
      <c r="H194" s="53"/>
      <c r="I194" s="53"/>
      <c r="J194" s="53"/>
      <c r="K194" s="53">
        <f t="shared" si="49"/>
        <v>0</v>
      </c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>
        <f t="shared" si="52"/>
        <v>0</v>
      </c>
      <c r="X194" s="51"/>
      <c r="Y194" s="51"/>
      <c r="Z194" s="35" t="s">
        <v>221</v>
      </c>
      <c r="AA194" s="53"/>
      <c r="AB194" s="35" t="s">
        <v>27</v>
      </c>
      <c r="AC194" s="51"/>
      <c r="AD194" s="53"/>
      <c r="AE194" s="53"/>
      <c r="AF194" s="53"/>
      <c r="AG194" s="53"/>
      <c r="AH194" s="53"/>
      <c r="AI194" s="53"/>
      <c r="AJ194" s="45">
        <f t="shared" si="50"/>
        <v>0</v>
      </c>
      <c r="AK194" s="45"/>
      <c r="AL194" s="53"/>
      <c r="AM194" s="45"/>
      <c r="AN194" s="53"/>
      <c r="AO194" s="53"/>
      <c r="AP194" s="53"/>
      <c r="AQ194" s="53"/>
      <c r="AR194" s="53"/>
      <c r="AS194" s="53"/>
      <c r="AT194" s="45">
        <f t="shared" si="51"/>
        <v>0</v>
      </c>
      <c r="AU194" s="45"/>
      <c r="AV194" s="53">
        <v>0</v>
      </c>
      <c r="AW194" s="53"/>
      <c r="AX194" s="53">
        <v>0</v>
      </c>
      <c r="AY194" s="53"/>
      <c r="AZ194" s="53">
        <f t="shared" si="53"/>
        <v>0</v>
      </c>
      <c r="BA194" s="51"/>
      <c r="BB194" s="35" t="s">
        <v>221</v>
      </c>
      <c r="BC194" s="35"/>
      <c r="BD194" s="35" t="s">
        <v>27</v>
      </c>
      <c r="BE194" s="53"/>
      <c r="BF194" s="53"/>
      <c r="BG194" s="53"/>
      <c r="BH194" s="53"/>
      <c r="BI194" s="53"/>
      <c r="BJ194" s="53"/>
      <c r="BK194" s="53"/>
      <c r="BL194" s="53"/>
      <c r="BM194" s="53"/>
      <c r="BN194" s="53">
        <f t="shared" si="45"/>
        <v>0</v>
      </c>
      <c r="BO194" s="139"/>
      <c r="BS194" s="140"/>
      <c r="BT194" s="140"/>
      <c r="BU194" s="141"/>
      <c r="BV194" s="140"/>
      <c r="BW194" s="140"/>
      <c r="BX194" s="140"/>
      <c r="BY194" s="140"/>
      <c r="BZ194" s="140"/>
      <c r="CA194" s="140"/>
      <c r="CB194" s="140"/>
      <c r="CC194" s="140"/>
      <c r="CD194" s="140"/>
      <c r="CE194" s="140"/>
      <c r="CF194" s="140"/>
      <c r="CG194" s="140"/>
      <c r="CH194" s="140"/>
      <c r="CI194" s="140"/>
      <c r="CJ194" s="140"/>
      <c r="CK194" s="140"/>
      <c r="CL194" s="140"/>
      <c r="CM194" s="140"/>
      <c r="CN194" s="140"/>
      <c r="CO194" s="140"/>
      <c r="CP194" s="140"/>
      <c r="CQ194" s="140"/>
    </row>
    <row r="195" spans="1:227" s="35" customFormat="1" ht="12.75" customHeight="1" x14ac:dyDescent="0.2">
      <c r="A195" s="35" t="s">
        <v>222</v>
      </c>
      <c r="B195" s="51"/>
      <c r="C195" s="35" t="s">
        <v>47</v>
      </c>
      <c r="D195" s="44"/>
      <c r="E195" s="53">
        <f t="shared" si="48"/>
        <v>0</v>
      </c>
      <c r="F195" s="53"/>
      <c r="G195" s="53">
        <v>1373199</v>
      </c>
      <c r="H195" s="53"/>
      <c r="I195" s="53">
        <v>1373199</v>
      </c>
      <c r="J195" s="53"/>
      <c r="K195" s="53">
        <f t="shared" si="49"/>
        <v>74571</v>
      </c>
      <c r="L195" s="53"/>
      <c r="M195" s="53">
        <v>1326707</v>
      </c>
      <c r="N195" s="53"/>
      <c r="O195" s="53">
        <v>1401278</v>
      </c>
      <c r="P195" s="53"/>
      <c r="Q195" s="53">
        <v>-22392</v>
      </c>
      <c r="R195" s="53"/>
      <c r="S195" s="53">
        <v>0</v>
      </c>
      <c r="T195" s="53"/>
      <c r="U195" s="53">
        <v>-5687</v>
      </c>
      <c r="V195" s="53"/>
      <c r="W195" s="53">
        <f t="shared" ref="W195:W238" si="54">SUM(Q195:U195)</f>
        <v>-28079</v>
      </c>
      <c r="X195" s="51"/>
      <c r="Y195" s="51"/>
      <c r="Z195" s="35" t="s">
        <v>222</v>
      </c>
      <c r="AA195" s="53"/>
      <c r="AB195" s="35" t="s">
        <v>47</v>
      </c>
      <c r="AC195" s="51"/>
      <c r="AD195" s="53">
        <v>118408</v>
      </c>
      <c r="AE195" s="53"/>
      <c r="AF195" s="53">
        <f>370409-59344</f>
        <v>311065</v>
      </c>
      <c r="AG195" s="53"/>
      <c r="AH195" s="53">
        <v>59344</v>
      </c>
      <c r="AI195" s="53"/>
      <c r="AJ195" s="45">
        <f t="shared" si="50"/>
        <v>-252001</v>
      </c>
      <c r="AK195" s="45"/>
      <c r="AL195" s="53">
        <v>-70669</v>
      </c>
      <c r="AM195" s="45"/>
      <c r="AN195" s="53">
        <v>-957195</v>
      </c>
      <c r="AO195" s="53"/>
      <c r="AP195" s="53">
        <v>0</v>
      </c>
      <c r="AQ195" s="53"/>
      <c r="AR195" s="53">
        <v>0</v>
      </c>
      <c r="AS195" s="53"/>
      <c r="AT195" s="45">
        <f t="shared" si="51"/>
        <v>-1279865</v>
      </c>
      <c r="AU195" s="45"/>
      <c r="AV195" s="53">
        <v>0</v>
      </c>
      <c r="AW195" s="53"/>
      <c r="AX195" s="53">
        <v>0</v>
      </c>
      <c r="AY195" s="53"/>
      <c r="AZ195" s="53">
        <f t="shared" ref="AZ195:AZ242" si="55">E195-K195</f>
        <v>-74571</v>
      </c>
      <c r="BA195" s="51"/>
      <c r="BB195" s="35" t="s">
        <v>222</v>
      </c>
      <c r="BD195" s="35" t="s">
        <v>47</v>
      </c>
      <c r="BE195" s="53"/>
      <c r="BF195" s="53">
        <f>1326707+68884</f>
        <v>1395591</v>
      </c>
      <c r="BG195" s="53"/>
      <c r="BH195" s="53">
        <v>0</v>
      </c>
      <c r="BI195" s="53"/>
      <c r="BJ195" s="53">
        <v>0</v>
      </c>
      <c r="BK195" s="53"/>
      <c r="BL195" s="53">
        <v>0</v>
      </c>
      <c r="BM195" s="53"/>
      <c r="BN195" s="53">
        <f t="shared" si="45"/>
        <v>1395591</v>
      </c>
      <c r="BO195" s="54"/>
      <c r="BS195" s="55"/>
      <c r="BT195" s="55"/>
      <c r="BU195" s="84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</row>
    <row r="196" spans="1:227" s="35" customFormat="1" ht="12.75" customHeight="1" x14ac:dyDescent="0.2">
      <c r="A196" s="35" t="s">
        <v>223</v>
      </c>
      <c r="B196" s="51"/>
      <c r="C196" s="35" t="s">
        <v>94</v>
      </c>
      <c r="D196" s="44"/>
      <c r="E196" s="53">
        <f t="shared" si="48"/>
        <v>3889076</v>
      </c>
      <c r="F196" s="53"/>
      <c r="G196" s="53">
        <v>8963710</v>
      </c>
      <c r="H196" s="53"/>
      <c r="I196" s="53">
        <v>12852786</v>
      </c>
      <c r="J196" s="53"/>
      <c r="K196" s="53">
        <f t="shared" si="49"/>
        <v>120478</v>
      </c>
      <c r="L196" s="53"/>
      <c r="M196" s="53">
        <v>832203</v>
      </c>
      <c r="N196" s="53"/>
      <c r="O196" s="53">
        <v>952681</v>
      </c>
      <c r="P196" s="53"/>
      <c r="Q196" s="53">
        <v>8166087</v>
      </c>
      <c r="R196" s="53"/>
      <c r="S196" s="53">
        <v>0</v>
      </c>
      <c r="T196" s="53"/>
      <c r="U196" s="53">
        <v>3734018</v>
      </c>
      <c r="V196" s="53"/>
      <c r="W196" s="53">
        <f t="shared" si="54"/>
        <v>11900105</v>
      </c>
      <c r="X196" s="51"/>
      <c r="Y196" s="51"/>
      <c r="Z196" s="35" t="s">
        <v>223</v>
      </c>
      <c r="AA196" s="53"/>
      <c r="AB196" s="35" t="s">
        <v>94</v>
      </c>
      <c r="AC196" s="51"/>
      <c r="AD196" s="53">
        <v>1632931</v>
      </c>
      <c r="AE196" s="53"/>
      <c r="AF196" s="53">
        <f>1822081-399895</f>
        <v>1422186</v>
      </c>
      <c r="AG196" s="53"/>
      <c r="AH196" s="53">
        <v>399895</v>
      </c>
      <c r="AI196" s="53"/>
      <c r="AJ196" s="45">
        <f t="shared" si="50"/>
        <v>-189150</v>
      </c>
      <c r="AK196" s="45"/>
      <c r="AL196" s="53">
        <v>0</v>
      </c>
      <c r="AM196" s="45"/>
      <c r="AN196" s="53">
        <v>0</v>
      </c>
      <c r="AO196" s="53"/>
      <c r="AP196" s="53">
        <v>0</v>
      </c>
      <c r="AQ196" s="53"/>
      <c r="AR196" s="53">
        <v>0</v>
      </c>
      <c r="AS196" s="53"/>
      <c r="AT196" s="45">
        <f t="shared" si="51"/>
        <v>-189150</v>
      </c>
      <c r="AU196" s="45"/>
      <c r="AV196" s="53">
        <v>0</v>
      </c>
      <c r="AW196" s="53"/>
      <c r="AX196" s="53">
        <v>0</v>
      </c>
      <c r="AY196" s="53"/>
      <c r="AZ196" s="53">
        <f t="shared" si="55"/>
        <v>3768598</v>
      </c>
      <c r="BA196" s="51"/>
      <c r="BB196" s="35" t="s">
        <v>223</v>
      </c>
      <c r="BD196" s="35" t="s">
        <v>94</v>
      </c>
      <c r="BE196" s="53"/>
      <c r="BF196" s="53">
        <v>0</v>
      </c>
      <c r="BG196" s="53"/>
      <c r="BH196" s="53">
        <v>0</v>
      </c>
      <c r="BI196" s="53"/>
      <c r="BJ196" s="53">
        <f>770525+27098</f>
        <v>797623</v>
      </c>
      <c r="BK196" s="53"/>
      <c r="BL196" s="53">
        <f>61678+4260</f>
        <v>65938</v>
      </c>
      <c r="BM196" s="53"/>
      <c r="BN196" s="53">
        <f t="shared" si="45"/>
        <v>863561</v>
      </c>
      <c r="BO196" s="54"/>
      <c r="BS196" s="55"/>
      <c r="BT196" s="55"/>
      <c r="BU196" s="84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</row>
    <row r="197" spans="1:227" s="35" customFormat="1" ht="12.75" customHeight="1" x14ac:dyDescent="0.2">
      <c r="A197" s="35" t="s">
        <v>76</v>
      </c>
      <c r="B197" s="51"/>
      <c r="C197" s="35" t="s">
        <v>132</v>
      </c>
      <c r="D197" s="44"/>
      <c r="E197" s="53">
        <f t="shared" si="48"/>
        <v>7963300</v>
      </c>
      <c r="F197" s="53"/>
      <c r="G197" s="53">
        <v>28812011</v>
      </c>
      <c r="H197" s="53"/>
      <c r="I197" s="53">
        <v>36775311</v>
      </c>
      <c r="J197" s="53"/>
      <c r="K197" s="53">
        <f t="shared" si="49"/>
        <v>1310838</v>
      </c>
      <c r="L197" s="53"/>
      <c r="M197" s="53">
        <v>16116710</v>
      </c>
      <c r="N197" s="53"/>
      <c r="O197" s="53">
        <v>17427548</v>
      </c>
      <c r="P197" s="53"/>
      <c r="Q197" s="53">
        <v>12645664</v>
      </c>
      <c r="R197" s="53"/>
      <c r="S197" s="53">
        <v>0</v>
      </c>
      <c r="T197" s="53"/>
      <c r="U197" s="53">
        <v>6702099</v>
      </c>
      <c r="V197" s="53"/>
      <c r="W197" s="53">
        <f t="shared" si="54"/>
        <v>19347763</v>
      </c>
      <c r="X197" s="51"/>
      <c r="Y197" s="51"/>
      <c r="Z197" s="35" t="s">
        <v>76</v>
      </c>
      <c r="AA197" s="53"/>
      <c r="AB197" s="35" t="s">
        <v>132</v>
      </c>
      <c r="AC197" s="51"/>
      <c r="AD197" s="53">
        <v>5296814</v>
      </c>
      <c r="AE197" s="53"/>
      <c r="AF197" s="53">
        <f>4770271-980069</f>
        <v>3790202</v>
      </c>
      <c r="AG197" s="53"/>
      <c r="AH197" s="53">
        <v>980069</v>
      </c>
      <c r="AI197" s="53"/>
      <c r="AJ197" s="45">
        <f t="shared" si="50"/>
        <v>526543</v>
      </c>
      <c r="AK197" s="45"/>
      <c r="AL197" s="53">
        <v>-529879</v>
      </c>
      <c r="AM197" s="45"/>
      <c r="AN197" s="53">
        <v>0</v>
      </c>
      <c r="AO197" s="53"/>
      <c r="AP197" s="53">
        <v>4092</v>
      </c>
      <c r="AQ197" s="53"/>
      <c r="AR197" s="53">
        <v>0</v>
      </c>
      <c r="AS197" s="53"/>
      <c r="AT197" s="45">
        <f t="shared" si="51"/>
        <v>-7428</v>
      </c>
      <c r="AU197" s="45"/>
      <c r="AV197" s="53">
        <v>0</v>
      </c>
      <c r="AW197" s="53"/>
      <c r="AX197" s="53">
        <v>0</v>
      </c>
      <c r="AY197" s="53"/>
      <c r="AZ197" s="53">
        <f t="shared" si="55"/>
        <v>6652462</v>
      </c>
      <c r="BA197" s="51"/>
      <c r="BB197" s="35" t="s">
        <v>76</v>
      </c>
      <c r="BD197" s="35" t="s">
        <v>132</v>
      </c>
      <c r="BE197" s="53"/>
      <c r="BF197" s="53">
        <f>140000+5000</f>
        <v>145000</v>
      </c>
      <c r="BG197" s="53"/>
      <c r="BH197" s="53">
        <v>0</v>
      </c>
      <c r="BI197" s="53"/>
      <c r="BJ197" s="53">
        <f>15541187+231714+413985+40779</f>
        <v>16227665</v>
      </c>
      <c r="BK197" s="53"/>
      <c r="BL197" s="53">
        <f>203809+23646</f>
        <v>227455</v>
      </c>
      <c r="BM197" s="53"/>
      <c r="BN197" s="53">
        <f t="shared" si="45"/>
        <v>16600120</v>
      </c>
      <c r="BO197" s="54"/>
      <c r="BS197" s="55"/>
      <c r="BT197" s="55"/>
      <c r="BU197" s="84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</row>
    <row r="198" spans="1:227" s="126" customFormat="1" ht="12.75" hidden="1" customHeight="1" x14ac:dyDescent="0.2">
      <c r="A198" s="35" t="s">
        <v>224</v>
      </c>
      <c r="B198" s="51"/>
      <c r="C198" s="35" t="s">
        <v>27</v>
      </c>
      <c r="D198" s="44"/>
      <c r="E198" s="53">
        <f t="shared" si="48"/>
        <v>0</v>
      </c>
      <c r="F198" s="53"/>
      <c r="G198" s="53"/>
      <c r="H198" s="53"/>
      <c r="I198" s="53"/>
      <c r="J198" s="53"/>
      <c r="K198" s="53">
        <f t="shared" si="49"/>
        <v>0</v>
      </c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>
        <f t="shared" si="54"/>
        <v>0</v>
      </c>
      <c r="X198" s="51"/>
      <c r="Y198" s="51"/>
      <c r="Z198" s="35" t="s">
        <v>224</v>
      </c>
      <c r="AA198" s="53"/>
      <c r="AB198" s="35" t="s">
        <v>27</v>
      </c>
      <c r="AC198" s="51"/>
      <c r="AD198" s="53"/>
      <c r="AE198" s="53"/>
      <c r="AF198" s="53"/>
      <c r="AG198" s="53"/>
      <c r="AH198" s="53"/>
      <c r="AI198" s="53"/>
      <c r="AJ198" s="45">
        <f t="shared" si="50"/>
        <v>0</v>
      </c>
      <c r="AK198" s="45"/>
      <c r="AL198" s="53"/>
      <c r="AM198" s="45"/>
      <c r="AN198" s="53"/>
      <c r="AO198" s="53"/>
      <c r="AP198" s="53"/>
      <c r="AQ198" s="53"/>
      <c r="AR198" s="53"/>
      <c r="AS198" s="53"/>
      <c r="AT198" s="45">
        <f t="shared" si="51"/>
        <v>0</v>
      </c>
      <c r="AU198" s="45"/>
      <c r="AV198" s="53">
        <v>0</v>
      </c>
      <c r="AW198" s="53"/>
      <c r="AX198" s="53">
        <v>0</v>
      </c>
      <c r="AY198" s="53"/>
      <c r="AZ198" s="53">
        <f t="shared" si="55"/>
        <v>0</v>
      </c>
      <c r="BA198" s="51"/>
      <c r="BB198" s="35" t="s">
        <v>224</v>
      </c>
      <c r="BC198" s="35"/>
      <c r="BD198" s="35" t="s">
        <v>27</v>
      </c>
      <c r="BE198" s="53"/>
      <c r="BF198" s="53"/>
      <c r="BG198" s="53"/>
      <c r="BH198" s="53"/>
      <c r="BI198" s="53"/>
      <c r="BJ198" s="53"/>
      <c r="BK198" s="53"/>
      <c r="BL198" s="53"/>
      <c r="BM198" s="53"/>
      <c r="BN198" s="53">
        <f t="shared" si="45"/>
        <v>0</v>
      </c>
      <c r="BO198" s="139"/>
      <c r="BS198" s="140"/>
      <c r="BT198" s="140"/>
      <c r="BU198" s="141"/>
      <c r="BV198" s="140"/>
      <c r="BW198" s="140"/>
      <c r="BX198" s="140"/>
      <c r="BY198" s="140"/>
      <c r="BZ198" s="140"/>
      <c r="CA198" s="140"/>
      <c r="CB198" s="140"/>
      <c r="CC198" s="140"/>
      <c r="CD198" s="140"/>
      <c r="CE198" s="140"/>
      <c r="CF198" s="140"/>
      <c r="CG198" s="140"/>
      <c r="CH198" s="140"/>
      <c r="CI198" s="140"/>
      <c r="CJ198" s="140"/>
      <c r="CK198" s="140"/>
      <c r="CL198" s="140"/>
      <c r="CM198" s="140"/>
      <c r="CN198" s="140"/>
      <c r="CO198" s="140"/>
      <c r="CP198" s="140"/>
      <c r="CQ198" s="140"/>
    </row>
    <row r="199" spans="1:227" s="126" customFormat="1" ht="12.75" hidden="1" customHeight="1" x14ac:dyDescent="0.2">
      <c r="A199" s="35" t="s">
        <v>225</v>
      </c>
      <c r="B199" s="51"/>
      <c r="C199" s="35" t="s">
        <v>27</v>
      </c>
      <c r="D199" s="44"/>
      <c r="E199" s="53">
        <f t="shared" si="48"/>
        <v>0</v>
      </c>
      <c r="F199" s="53"/>
      <c r="G199" s="53"/>
      <c r="H199" s="53"/>
      <c r="I199" s="53"/>
      <c r="J199" s="53"/>
      <c r="K199" s="53">
        <f t="shared" si="49"/>
        <v>0</v>
      </c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>
        <f t="shared" si="54"/>
        <v>0</v>
      </c>
      <c r="X199" s="51"/>
      <c r="Y199" s="51"/>
      <c r="Z199" s="35" t="s">
        <v>225</v>
      </c>
      <c r="AA199" s="53"/>
      <c r="AB199" s="35" t="s">
        <v>27</v>
      </c>
      <c r="AC199" s="51"/>
      <c r="AD199" s="53"/>
      <c r="AE199" s="53"/>
      <c r="AF199" s="53"/>
      <c r="AG199" s="53"/>
      <c r="AH199" s="53"/>
      <c r="AI199" s="53"/>
      <c r="AJ199" s="45">
        <f t="shared" si="50"/>
        <v>0</v>
      </c>
      <c r="AK199" s="45"/>
      <c r="AL199" s="53"/>
      <c r="AM199" s="45"/>
      <c r="AN199" s="53"/>
      <c r="AO199" s="53"/>
      <c r="AP199" s="53"/>
      <c r="AQ199" s="53"/>
      <c r="AR199" s="53"/>
      <c r="AS199" s="53"/>
      <c r="AT199" s="45">
        <f t="shared" si="51"/>
        <v>0</v>
      </c>
      <c r="AU199" s="45"/>
      <c r="AV199" s="53">
        <v>0</v>
      </c>
      <c r="AW199" s="53"/>
      <c r="AX199" s="53">
        <v>0</v>
      </c>
      <c r="AY199" s="53"/>
      <c r="AZ199" s="53">
        <f t="shared" si="55"/>
        <v>0</v>
      </c>
      <c r="BA199" s="51"/>
      <c r="BB199" s="35" t="s">
        <v>225</v>
      </c>
      <c r="BC199" s="35"/>
      <c r="BD199" s="35" t="s">
        <v>27</v>
      </c>
      <c r="BE199" s="53"/>
      <c r="BF199" s="53"/>
      <c r="BG199" s="53"/>
      <c r="BH199" s="53"/>
      <c r="BI199" s="53"/>
      <c r="BJ199" s="53"/>
      <c r="BK199" s="53"/>
      <c r="BL199" s="53"/>
      <c r="BM199" s="53"/>
      <c r="BN199" s="53">
        <f t="shared" si="45"/>
        <v>0</v>
      </c>
      <c r="BO199" s="139"/>
      <c r="BS199" s="140"/>
      <c r="BT199" s="140"/>
      <c r="BU199" s="141"/>
      <c r="BV199" s="140"/>
      <c r="BW199" s="140"/>
      <c r="BX199" s="140"/>
      <c r="BY199" s="140"/>
      <c r="BZ199" s="140"/>
      <c r="CA199" s="140"/>
      <c r="CB199" s="140"/>
      <c r="CC199" s="140"/>
      <c r="CD199" s="140"/>
      <c r="CE199" s="140"/>
      <c r="CF199" s="140"/>
      <c r="CG199" s="140"/>
      <c r="CH199" s="140"/>
      <c r="CI199" s="140"/>
      <c r="CJ199" s="140"/>
      <c r="CK199" s="140"/>
      <c r="CL199" s="140"/>
      <c r="CM199" s="140"/>
      <c r="CN199" s="140"/>
      <c r="CO199" s="140"/>
      <c r="CP199" s="140"/>
      <c r="CQ199" s="140"/>
    </row>
    <row r="200" spans="1:227" s="126" customFormat="1" ht="12.75" hidden="1" customHeight="1" x14ac:dyDescent="0.2">
      <c r="A200" s="35" t="s">
        <v>226</v>
      </c>
      <c r="B200" s="51"/>
      <c r="C200" s="35" t="s">
        <v>45</v>
      </c>
      <c r="D200" s="44"/>
      <c r="E200" s="53">
        <f t="shared" si="48"/>
        <v>0</v>
      </c>
      <c r="F200" s="53"/>
      <c r="G200" s="53"/>
      <c r="H200" s="53"/>
      <c r="I200" s="53"/>
      <c r="J200" s="53"/>
      <c r="K200" s="53">
        <f t="shared" si="49"/>
        <v>0</v>
      </c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>
        <f t="shared" si="54"/>
        <v>0</v>
      </c>
      <c r="X200" s="51"/>
      <c r="Y200" s="51"/>
      <c r="Z200" s="35" t="s">
        <v>226</v>
      </c>
      <c r="AA200" s="53"/>
      <c r="AB200" s="35" t="s">
        <v>45</v>
      </c>
      <c r="AC200" s="51"/>
      <c r="AD200" s="53"/>
      <c r="AE200" s="53"/>
      <c r="AF200" s="53"/>
      <c r="AG200" s="53"/>
      <c r="AH200" s="53"/>
      <c r="AI200" s="53"/>
      <c r="AJ200" s="45">
        <f t="shared" si="50"/>
        <v>0</v>
      </c>
      <c r="AK200" s="45"/>
      <c r="AL200" s="53"/>
      <c r="AM200" s="45"/>
      <c r="AN200" s="53"/>
      <c r="AO200" s="53"/>
      <c r="AP200" s="53"/>
      <c r="AQ200" s="53"/>
      <c r="AR200" s="53"/>
      <c r="AS200" s="53"/>
      <c r="AT200" s="45">
        <f t="shared" si="51"/>
        <v>0</v>
      </c>
      <c r="AU200" s="45"/>
      <c r="AV200" s="53">
        <v>0</v>
      </c>
      <c r="AW200" s="53"/>
      <c r="AX200" s="53">
        <v>0</v>
      </c>
      <c r="AY200" s="53"/>
      <c r="AZ200" s="53">
        <f t="shared" si="55"/>
        <v>0</v>
      </c>
      <c r="BA200" s="51"/>
      <c r="BB200" s="35" t="s">
        <v>226</v>
      </c>
      <c r="BC200" s="35"/>
      <c r="BD200" s="35" t="s">
        <v>45</v>
      </c>
      <c r="BE200" s="53"/>
      <c r="BF200" s="53"/>
      <c r="BG200" s="53"/>
      <c r="BH200" s="53"/>
      <c r="BI200" s="53"/>
      <c r="BJ200" s="53"/>
      <c r="BK200" s="53"/>
      <c r="BL200" s="53"/>
      <c r="BM200" s="53"/>
      <c r="BN200" s="53">
        <f t="shared" si="45"/>
        <v>0</v>
      </c>
      <c r="BO200" s="139"/>
      <c r="BS200" s="140"/>
      <c r="BT200" s="140"/>
      <c r="BU200" s="141"/>
      <c r="BV200" s="140"/>
      <c r="BW200" s="140"/>
      <c r="BX200" s="140"/>
      <c r="BY200" s="140"/>
      <c r="BZ200" s="140"/>
      <c r="CA200" s="140"/>
      <c r="CB200" s="140"/>
      <c r="CC200" s="140"/>
      <c r="CD200" s="140"/>
      <c r="CE200" s="140"/>
      <c r="CF200" s="140"/>
      <c r="CG200" s="140"/>
      <c r="CH200" s="140"/>
      <c r="CI200" s="140"/>
      <c r="CJ200" s="140"/>
      <c r="CK200" s="140"/>
      <c r="CL200" s="140"/>
      <c r="CM200" s="140"/>
      <c r="CN200" s="140"/>
      <c r="CO200" s="140"/>
      <c r="CP200" s="140"/>
      <c r="CQ200" s="140"/>
    </row>
    <row r="201" spans="1:227" s="35" customFormat="1" ht="12.75" customHeight="1" x14ac:dyDescent="0.2">
      <c r="A201" s="35" t="s">
        <v>227</v>
      </c>
      <c r="C201" s="35" t="s">
        <v>17</v>
      </c>
      <c r="D201" s="44"/>
      <c r="E201" s="53">
        <f t="shared" si="48"/>
        <v>232979</v>
      </c>
      <c r="F201" s="53"/>
      <c r="G201" s="53">
        <v>520897</v>
      </c>
      <c r="H201" s="53"/>
      <c r="I201" s="53">
        <v>753876</v>
      </c>
      <c r="J201" s="53"/>
      <c r="K201" s="53">
        <f t="shared" si="49"/>
        <v>145225</v>
      </c>
      <c r="L201" s="53"/>
      <c r="M201" s="53">
        <v>24383</v>
      </c>
      <c r="N201" s="53"/>
      <c r="O201" s="53">
        <v>169608</v>
      </c>
      <c r="P201" s="53"/>
      <c r="Q201" s="53">
        <v>430897</v>
      </c>
      <c r="R201" s="53"/>
      <c r="S201" s="53">
        <v>0</v>
      </c>
      <c r="T201" s="53"/>
      <c r="U201" s="53">
        <v>153371</v>
      </c>
      <c r="V201" s="53"/>
      <c r="W201" s="53">
        <f t="shared" si="54"/>
        <v>584268</v>
      </c>
      <c r="X201" s="51"/>
      <c r="Y201" s="51"/>
      <c r="Z201" s="35" t="s">
        <v>227</v>
      </c>
      <c r="AA201" s="53"/>
      <c r="AB201" s="35" t="s">
        <v>17</v>
      </c>
      <c r="AD201" s="53">
        <v>622038</v>
      </c>
      <c r="AE201" s="53"/>
      <c r="AF201" s="53">
        <f>691348-17220</f>
        <v>674128</v>
      </c>
      <c r="AG201" s="53"/>
      <c r="AH201" s="53">
        <v>17220</v>
      </c>
      <c r="AI201" s="53"/>
      <c r="AJ201" s="45">
        <f t="shared" si="50"/>
        <v>-69310</v>
      </c>
      <c r="AK201" s="45"/>
      <c r="AL201" s="53">
        <v>-3416</v>
      </c>
      <c r="AM201" s="45"/>
      <c r="AN201" s="53">
        <v>0</v>
      </c>
      <c r="AO201" s="53"/>
      <c r="AP201" s="53">
        <v>0</v>
      </c>
      <c r="AQ201" s="53"/>
      <c r="AR201" s="53">
        <v>0</v>
      </c>
      <c r="AS201" s="53"/>
      <c r="AT201" s="45">
        <f t="shared" si="51"/>
        <v>-72726</v>
      </c>
      <c r="AU201" s="45"/>
      <c r="AV201" s="53">
        <v>0</v>
      </c>
      <c r="AW201" s="53"/>
      <c r="AX201" s="53">
        <v>0</v>
      </c>
      <c r="AY201" s="53"/>
      <c r="AZ201" s="53">
        <f t="shared" si="55"/>
        <v>87754</v>
      </c>
      <c r="BA201" s="51"/>
      <c r="BB201" s="35" t="s">
        <v>227</v>
      </c>
      <c r="BD201" s="35" t="s">
        <v>17</v>
      </c>
      <c r="BE201" s="53"/>
      <c r="BF201" s="53">
        <v>0</v>
      </c>
      <c r="BG201" s="53"/>
      <c r="BH201" s="53">
        <v>0</v>
      </c>
      <c r="BI201" s="53"/>
      <c r="BJ201" s="53">
        <v>0</v>
      </c>
      <c r="BK201" s="53"/>
      <c r="BL201" s="53">
        <f>24383+558</f>
        <v>24941</v>
      </c>
      <c r="BM201" s="53"/>
      <c r="BN201" s="53">
        <f t="shared" si="45"/>
        <v>24941</v>
      </c>
      <c r="BO201" s="54"/>
      <c r="BS201" s="55"/>
      <c r="BT201" s="55"/>
      <c r="BU201" s="84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</row>
    <row r="202" spans="1:227" s="35" customFormat="1" ht="12.75" customHeight="1" x14ac:dyDescent="0.2">
      <c r="A202" s="35" t="s">
        <v>228</v>
      </c>
      <c r="B202" s="51"/>
      <c r="C202" s="35" t="s">
        <v>153</v>
      </c>
      <c r="D202" s="44"/>
      <c r="E202" s="53">
        <f t="shared" si="48"/>
        <v>1216233</v>
      </c>
      <c r="F202" s="53"/>
      <c r="G202" s="53">
        <v>10140517</v>
      </c>
      <c r="H202" s="53"/>
      <c r="I202" s="53">
        <v>11356750</v>
      </c>
      <c r="J202" s="53"/>
      <c r="K202" s="53">
        <f t="shared" si="49"/>
        <v>416621</v>
      </c>
      <c r="L202" s="53"/>
      <c r="M202" s="53">
        <v>2208957</v>
      </c>
      <c r="N202" s="53"/>
      <c r="O202" s="53">
        <v>2625578</v>
      </c>
      <c r="P202" s="53"/>
      <c r="Q202" s="53">
        <v>7749065</v>
      </c>
      <c r="R202" s="53"/>
      <c r="S202" s="53">
        <v>0</v>
      </c>
      <c r="T202" s="53"/>
      <c r="U202" s="53">
        <v>982107</v>
      </c>
      <c r="V202" s="53"/>
      <c r="W202" s="53">
        <f t="shared" si="54"/>
        <v>8731172</v>
      </c>
      <c r="X202" s="51"/>
      <c r="Y202" s="51"/>
      <c r="Z202" s="35" t="s">
        <v>228</v>
      </c>
      <c r="AA202" s="53"/>
      <c r="AB202" s="35" t="s">
        <v>153</v>
      </c>
      <c r="AC202" s="51"/>
      <c r="AD202" s="53">
        <v>1847270</v>
      </c>
      <c r="AE202" s="53"/>
      <c r="AF202" s="53">
        <f>1983395-340683</f>
        <v>1642712</v>
      </c>
      <c r="AG202" s="53"/>
      <c r="AH202" s="53">
        <v>340683</v>
      </c>
      <c r="AI202" s="53"/>
      <c r="AJ202" s="45">
        <f t="shared" si="50"/>
        <v>-136125</v>
      </c>
      <c r="AK202" s="45"/>
      <c r="AL202" s="53">
        <v>-67269</v>
      </c>
      <c r="AM202" s="45"/>
      <c r="AN202" s="53">
        <v>0</v>
      </c>
      <c r="AO202" s="53"/>
      <c r="AP202" s="53">
        <v>0</v>
      </c>
      <c r="AQ202" s="53"/>
      <c r="AR202" s="53">
        <v>0</v>
      </c>
      <c r="AS202" s="53"/>
      <c r="AT202" s="45">
        <f t="shared" si="51"/>
        <v>-203394</v>
      </c>
      <c r="AU202" s="45"/>
      <c r="AV202" s="53">
        <v>0</v>
      </c>
      <c r="AW202" s="53"/>
      <c r="AX202" s="53">
        <v>0</v>
      </c>
      <c r="AY202" s="53"/>
      <c r="AZ202" s="53">
        <f t="shared" si="55"/>
        <v>799612</v>
      </c>
      <c r="BA202" s="51"/>
      <c r="BB202" s="35" t="s">
        <v>228</v>
      </c>
      <c r="BD202" s="35" t="s">
        <v>153</v>
      </c>
      <c r="BE202" s="53"/>
      <c r="BF202" s="53">
        <f>2167930+223522</f>
        <v>2391452</v>
      </c>
      <c r="BG202" s="53"/>
      <c r="BH202" s="53">
        <v>0</v>
      </c>
      <c r="BI202" s="53"/>
      <c r="BJ202" s="53">
        <v>0</v>
      </c>
      <c r="BK202" s="53"/>
      <c r="BL202" s="53">
        <f>41027+14435</f>
        <v>55462</v>
      </c>
      <c r="BM202" s="53"/>
      <c r="BN202" s="53">
        <f t="shared" si="45"/>
        <v>2446914</v>
      </c>
      <c r="BO202" s="54"/>
      <c r="BP202" s="55"/>
      <c r="BS202" s="55"/>
      <c r="BT202" s="55"/>
      <c r="BU202" s="84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</row>
    <row r="203" spans="1:227" s="35" customFormat="1" ht="12.75" customHeight="1" x14ac:dyDescent="0.2">
      <c r="A203" s="35" t="s">
        <v>229</v>
      </c>
      <c r="B203" s="51"/>
      <c r="C203" s="35" t="s">
        <v>228</v>
      </c>
      <c r="D203" s="44"/>
      <c r="E203" s="53">
        <f t="shared" si="48"/>
        <v>5869538</v>
      </c>
      <c r="F203" s="53"/>
      <c r="G203" s="53">
        <v>15291487</v>
      </c>
      <c r="H203" s="53"/>
      <c r="I203" s="53">
        <v>21161025</v>
      </c>
      <c r="J203" s="53"/>
      <c r="K203" s="53">
        <f t="shared" si="49"/>
        <v>660670</v>
      </c>
      <c r="L203" s="53"/>
      <c r="M203" s="53">
        <v>7290483</v>
      </c>
      <c r="N203" s="53"/>
      <c r="O203" s="53">
        <v>7951153</v>
      </c>
      <c r="P203" s="53"/>
      <c r="Q203" s="53">
        <v>10059417</v>
      </c>
      <c r="R203" s="53"/>
      <c r="S203" s="53">
        <v>0</v>
      </c>
      <c r="T203" s="53"/>
      <c r="U203" s="53">
        <v>3150455</v>
      </c>
      <c r="V203" s="53"/>
      <c r="W203" s="53">
        <f t="shared" si="54"/>
        <v>13209872</v>
      </c>
      <c r="Z203" s="35" t="s">
        <v>229</v>
      </c>
      <c r="AA203" s="53"/>
      <c r="AB203" s="35" t="s">
        <v>228</v>
      </c>
      <c r="AC203" s="51"/>
      <c r="AD203" s="53">
        <v>3417327</v>
      </c>
      <c r="AE203" s="53"/>
      <c r="AF203" s="53">
        <f>3547373-448231</f>
        <v>3099142</v>
      </c>
      <c r="AG203" s="53"/>
      <c r="AH203" s="53">
        <v>448231</v>
      </c>
      <c r="AI203" s="53"/>
      <c r="AJ203" s="45">
        <f t="shared" si="50"/>
        <v>-130046</v>
      </c>
      <c r="AK203" s="45"/>
      <c r="AL203" s="53">
        <v>-20481</v>
      </c>
      <c r="AM203" s="45"/>
      <c r="AN203" s="53">
        <v>0</v>
      </c>
      <c r="AO203" s="53"/>
      <c r="AP203" s="53">
        <v>0</v>
      </c>
      <c r="AQ203" s="53"/>
      <c r="AR203" s="53">
        <v>36112</v>
      </c>
      <c r="AS203" s="53"/>
      <c r="AT203" s="45">
        <f t="shared" si="51"/>
        <v>-114415</v>
      </c>
      <c r="AU203" s="45"/>
      <c r="AV203" s="53">
        <v>0</v>
      </c>
      <c r="AW203" s="53"/>
      <c r="AX203" s="53">
        <v>0</v>
      </c>
      <c r="AY203" s="53"/>
      <c r="AZ203" s="53">
        <f t="shared" si="55"/>
        <v>5208868</v>
      </c>
      <c r="BA203" s="51"/>
      <c r="BB203" s="35" t="s">
        <v>229</v>
      </c>
      <c r="BD203" s="35" t="s">
        <v>228</v>
      </c>
      <c r="BE203" s="53"/>
      <c r="BF203" s="53">
        <f>7081869+295518</f>
        <v>7377387</v>
      </c>
      <c r="BG203" s="53"/>
      <c r="BH203" s="53">
        <v>0</v>
      </c>
      <c r="BI203" s="53"/>
      <c r="BJ203" s="53">
        <v>0</v>
      </c>
      <c r="BK203" s="53"/>
      <c r="BL203" s="53">
        <f>208614+3352</f>
        <v>211966</v>
      </c>
      <c r="BM203" s="53"/>
      <c r="BN203" s="53">
        <f t="shared" si="45"/>
        <v>7589353</v>
      </c>
      <c r="BO203" s="54"/>
      <c r="BS203" s="55"/>
      <c r="BT203" s="55"/>
      <c r="BU203" s="84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</row>
    <row r="204" spans="1:227" s="126" customFormat="1" ht="12.75" hidden="1" customHeight="1" x14ac:dyDescent="0.2">
      <c r="A204" s="126" t="s">
        <v>230</v>
      </c>
      <c r="B204" s="124"/>
      <c r="C204" s="126" t="s">
        <v>45</v>
      </c>
      <c r="D204" s="121"/>
      <c r="E204" s="137">
        <f t="shared" si="48"/>
        <v>0</v>
      </c>
      <c r="F204" s="137"/>
      <c r="G204" s="137"/>
      <c r="H204" s="137"/>
      <c r="I204" s="137"/>
      <c r="J204" s="137"/>
      <c r="K204" s="137">
        <f t="shared" si="49"/>
        <v>0</v>
      </c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>
        <f t="shared" si="54"/>
        <v>0</v>
      </c>
      <c r="X204" s="124"/>
      <c r="Y204" s="124"/>
      <c r="Z204" s="126" t="s">
        <v>230</v>
      </c>
      <c r="AA204" s="137"/>
      <c r="AB204" s="126" t="s">
        <v>45</v>
      </c>
      <c r="AC204" s="124"/>
      <c r="AD204" s="137"/>
      <c r="AE204" s="137"/>
      <c r="AF204" s="137"/>
      <c r="AG204" s="137"/>
      <c r="AH204" s="137"/>
      <c r="AI204" s="137"/>
      <c r="AJ204" s="127">
        <f t="shared" si="50"/>
        <v>0</v>
      </c>
      <c r="AK204" s="127"/>
      <c r="AL204" s="137"/>
      <c r="AM204" s="127"/>
      <c r="AN204" s="137"/>
      <c r="AO204" s="137"/>
      <c r="AP204" s="137"/>
      <c r="AQ204" s="137"/>
      <c r="AR204" s="137"/>
      <c r="AS204" s="137"/>
      <c r="AT204" s="127">
        <f t="shared" si="51"/>
        <v>0</v>
      </c>
      <c r="AU204" s="127"/>
      <c r="AV204" s="137">
        <v>0</v>
      </c>
      <c r="AW204" s="137"/>
      <c r="AX204" s="137">
        <v>0</v>
      </c>
      <c r="AY204" s="137"/>
      <c r="AZ204" s="137">
        <f t="shared" si="55"/>
        <v>0</v>
      </c>
      <c r="BA204" s="124"/>
      <c r="BB204" s="126" t="s">
        <v>230</v>
      </c>
      <c r="BD204" s="126" t="s">
        <v>45</v>
      </c>
      <c r="BE204" s="137"/>
      <c r="BF204" s="137"/>
      <c r="BG204" s="137"/>
      <c r="BH204" s="137"/>
      <c r="BI204" s="137"/>
      <c r="BJ204" s="137"/>
      <c r="BK204" s="137"/>
      <c r="BL204" s="137"/>
      <c r="BM204" s="137"/>
      <c r="BN204" s="137">
        <f t="shared" si="45"/>
        <v>0</v>
      </c>
      <c r="BO204" s="139"/>
      <c r="BP204" s="44" t="s">
        <v>509</v>
      </c>
      <c r="BS204" s="140"/>
      <c r="BT204" s="140"/>
      <c r="BU204" s="141"/>
      <c r="BV204" s="140"/>
      <c r="BW204" s="140"/>
      <c r="BX204" s="140"/>
      <c r="BY204" s="140"/>
      <c r="BZ204" s="140"/>
      <c r="CA204" s="140"/>
      <c r="CB204" s="140"/>
      <c r="CC204" s="140"/>
      <c r="CD204" s="140"/>
      <c r="CE204" s="140"/>
      <c r="CF204" s="140"/>
      <c r="CG204" s="140"/>
      <c r="CH204" s="140"/>
      <c r="CI204" s="140"/>
      <c r="CJ204" s="140"/>
      <c r="CK204" s="140"/>
      <c r="CL204" s="140"/>
      <c r="CM204" s="140"/>
      <c r="CN204" s="140"/>
      <c r="CO204" s="140"/>
      <c r="CP204" s="140"/>
      <c r="CQ204" s="140"/>
    </row>
    <row r="205" spans="1:227" s="64" customFormat="1" ht="12.75" customHeight="1" x14ac:dyDescent="0.2">
      <c r="A205" s="35" t="s">
        <v>231</v>
      </c>
      <c r="B205" s="51"/>
      <c r="C205" s="35" t="s">
        <v>27</v>
      </c>
      <c r="D205" s="44"/>
      <c r="E205" s="53">
        <f t="shared" si="48"/>
        <v>7331594</v>
      </c>
      <c r="F205" s="53"/>
      <c r="G205" s="53">
        <v>62153093</v>
      </c>
      <c r="H205" s="53"/>
      <c r="I205" s="53">
        <v>69484687</v>
      </c>
      <c r="J205" s="53"/>
      <c r="K205" s="53">
        <f t="shared" si="49"/>
        <v>2225714</v>
      </c>
      <c r="L205" s="53"/>
      <c r="M205" s="53">
        <v>10757841</v>
      </c>
      <c r="N205" s="53"/>
      <c r="O205" s="53">
        <v>12983555</v>
      </c>
      <c r="P205" s="53"/>
      <c r="Q205" s="53">
        <v>49771569</v>
      </c>
      <c r="R205" s="53"/>
      <c r="S205" s="53">
        <v>0</v>
      </c>
      <c r="T205" s="53"/>
      <c r="U205" s="53">
        <v>6729563</v>
      </c>
      <c r="V205" s="53"/>
      <c r="W205" s="53">
        <f t="shared" si="54"/>
        <v>56501132</v>
      </c>
      <c r="X205" s="51"/>
      <c r="Y205" s="51"/>
      <c r="Z205" s="35" t="s">
        <v>231</v>
      </c>
      <c r="AA205" s="53"/>
      <c r="AB205" s="35" t="s">
        <v>27</v>
      </c>
      <c r="AC205" s="51"/>
      <c r="AD205" s="53">
        <v>7857666</v>
      </c>
      <c r="AE205" s="53"/>
      <c r="AF205" s="53">
        <f>4878899-1766978</f>
        <v>3111921</v>
      </c>
      <c r="AG205" s="53"/>
      <c r="AH205" s="53">
        <v>1766978</v>
      </c>
      <c r="AI205" s="53"/>
      <c r="AJ205" s="45">
        <f t="shared" si="50"/>
        <v>2978767</v>
      </c>
      <c r="AK205" s="45"/>
      <c r="AL205" s="53">
        <v>-227897</v>
      </c>
      <c r="AM205" s="45"/>
      <c r="AN205" s="53">
        <v>66410</v>
      </c>
      <c r="AO205" s="53"/>
      <c r="AP205" s="53">
        <v>371317</v>
      </c>
      <c r="AQ205" s="53"/>
      <c r="AR205" s="53">
        <v>10000</v>
      </c>
      <c r="AS205" s="53"/>
      <c r="AT205" s="45">
        <f t="shared" si="51"/>
        <v>2455963</v>
      </c>
      <c r="AU205" s="45"/>
      <c r="AV205" s="53">
        <v>0</v>
      </c>
      <c r="AW205" s="53"/>
      <c r="AX205" s="53">
        <v>0</v>
      </c>
      <c r="AY205" s="53"/>
      <c r="AZ205" s="53">
        <f t="shared" si="55"/>
        <v>5105880</v>
      </c>
      <c r="BA205" s="51"/>
      <c r="BB205" s="35" t="s">
        <v>231</v>
      </c>
      <c r="BC205" s="35"/>
      <c r="BD205" s="35" t="s">
        <v>27</v>
      </c>
      <c r="BE205" s="53"/>
      <c r="BF205" s="53">
        <v>0</v>
      </c>
      <c r="BG205" s="53"/>
      <c r="BH205" s="53">
        <v>0</v>
      </c>
      <c r="BI205" s="53"/>
      <c r="BJ205" s="53">
        <f>10612313+1769211</f>
        <v>12381524</v>
      </c>
      <c r="BK205" s="53"/>
      <c r="BL205" s="53">
        <f>145528+43768</f>
        <v>189296</v>
      </c>
      <c r="BM205" s="53"/>
      <c r="BN205" s="53">
        <f t="shared" si="45"/>
        <v>12570820</v>
      </c>
      <c r="BO205" s="91"/>
      <c r="BS205" s="90"/>
      <c r="BT205" s="90"/>
      <c r="BU205" s="95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</row>
    <row r="206" spans="1:227" s="126" customFormat="1" ht="12.75" hidden="1" customHeight="1" x14ac:dyDescent="0.2">
      <c r="A206" s="35" t="s">
        <v>232</v>
      </c>
      <c r="B206" s="51"/>
      <c r="C206" s="35" t="s">
        <v>27</v>
      </c>
      <c r="D206" s="44"/>
      <c r="E206" s="53">
        <f t="shared" si="48"/>
        <v>0</v>
      </c>
      <c r="F206" s="53"/>
      <c r="G206" s="53"/>
      <c r="H206" s="53"/>
      <c r="I206" s="53"/>
      <c r="J206" s="53"/>
      <c r="K206" s="53">
        <f t="shared" si="49"/>
        <v>0</v>
      </c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>
        <f t="shared" si="54"/>
        <v>0</v>
      </c>
      <c r="X206" s="51"/>
      <c r="Y206" s="51"/>
      <c r="Z206" s="35" t="s">
        <v>232</v>
      </c>
      <c r="AA206" s="53"/>
      <c r="AB206" s="35" t="s">
        <v>27</v>
      </c>
      <c r="AC206" s="51"/>
      <c r="AD206" s="53"/>
      <c r="AE206" s="53"/>
      <c r="AF206" s="53"/>
      <c r="AG206" s="53"/>
      <c r="AH206" s="53"/>
      <c r="AI206" s="53"/>
      <c r="AJ206" s="45">
        <f t="shared" si="50"/>
        <v>0</v>
      </c>
      <c r="AK206" s="45"/>
      <c r="AL206" s="53"/>
      <c r="AM206" s="45"/>
      <c r="AN206" s="53"/>
      <c r="AO206" s="53"/>
      <c r="AP206" s="53"/>
      <c r="AQ206" s="53"/>
      <c r="AR206" s="53"/>
      <c r="AS206" s="53"/>
      <c r="AT206" s="45">
        <f t="shared" si="51"/>
        <v>0</v>
      </c>
      <c r="AU206" s="45"/>
      <c r="AV206" s="53">
        <v>0</v>
      </c>
      <c r="AW206" s="53"/>
      <c r="AX206" s="53">
        <v>0</v>
      </c>
      <c r="AY206" s="53"/>
      <c r="AZ206" s="53">
        <f t="shared" si="55"/>
        <v>0</v>
      </c>
      <c r="BA206" s="51"/>
      <c r="BB206" s="35" t="s">
        <v>232</v>
      </c>
      <c r="BC206" s="35"/>
      <c r="BD206" s="35" t="s">
        <v>27</v>
      </c>
      <c r="BE206" s="53"/>
      <c r="BF206" s="53"/>
      <c r="BG206" s="53"/>
      <c r="BH206" s="53"/>
      <c r="BI206" s="53"/>
      <c r="BJ206" s="53"/>
      <c r="BK206" s="53"/>
      <c r="BL206" s="53"/>
      <c r="BM206" s="53"/>
      <c r="BN206" s="53">
        <f t="shared" si="45"/>
        <v>0</v>
      </c>
      <c r="BO206" s="139"/>
      <c r="BP206" s="142"/>
      <c r="BQ206" s="142"/>
      <c r="BR206" s="142"/>
      <c r="BS206" s="140"/>
      <c r="BT206" s="140"/>
      <c r="BU206" s="141"/>
      <c r="BV206" s="140"/>
      <c r="BW206" s="140"/>
      <c r="BX206" s="140"/>
      <c r="BY206" s="140"/>
      <c r="BZ206" s="140"/>
      <c r="CA206" s="140"/>
      <c r="CB206" s="140"/>
      <c r="CC206" s="140"/>
      <c r="CD206" s="140"/>
      <c r="CE206" s="140"/>
      <c r="CF206" s="140"/>
      <c r="CG206" s="140"/>
      <c r="CH206" s="140"/>
      <c r="CI206" s="140"/>
      <c r="CJ206" s="140"/>
      <c r="CK206" s="140"/>
      <c r="CL206" s="140"/>
      <c r="CM206" s="140"/>
      <c r="CN206" s="140"/>
      <c r="CO206" s="140"/>
      <c r="CP206" s="140"/>
      <c r="CQ206" s="140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2"/>
      <c r="DE206" s="142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42"/>
      <c r="DU206" s="142"/>
      <c r="DV206" s="142"/>
      <c r="DW206" s="142"/>
      <c r="DX206" s="142"/>
      <c r="DY206" s="142"/>
      <c r="DZ206" s="142"/>
      <c r="EA206" s="142"/>
      <c r="EB206" s="142"/>
      <c r="EC206" s="142"/>
      <c r="ED206" s="142"/>
      <c r="EE206" s="142"/>
      <c r="EF206" s="142"/>
      <c r="EG206" s="142"/>
      <c r="EH206" s="142"/>
      <c r="EI206" s="142"/>
      <c r="EJ206" s="142"/>
      <c r="EK206" s="142"/>
      <c r="EL206" s="142"/>
      <c r="EM206" s="142"/>
      <c r="EN206" s="142"/>
      <c r="EO206" s="142"/>
      <c r="EP206" s="142"/>
      <c r="EQ206" s="142"/>
      <c r="ER206" s="142"/>
      <c r="ES206" s="142"/>
      <c r="ET206" s="142"/>
      <c r="EU206" s="142"/>
      <c r="EV206" s="142"/>
      <c r="EW206" s="142"/>
      <c r="EX206" s="142"/>
      <c r="EY206" s="142"/>
      <c r="EZ206" s="142"/>
      <c r="FA206" s="142"/>
      <c r="FB206" s="142"/>
      <c r="FC206" s="142"/>
      <c r="FD206" s="142"/>
      <c r="FE206" s="142"/>
      <c r="FF206" s="142"/>
      <c r="FG206" s="142"/>
      <c r="FH206" s="142"/>
      <c r="FI206" s="142"/>
      <c r="FJ206" s="142"/>
      <c r="FK206" s="142"/>
      <c r="FL206" s="142"/>
      <c r="FM206" s="142"/>
      <c r="FN206" s="142"/>
      <c r="FO206" s="142"/>
      <c r="FP206" s="142"/>
      <c r="FQ206" s="142"/>
      <c r="FR206" s="142"/>
      <c r="FS206" s="142"/>
      <c r="FT206" s="142"/>
      <c r="FU206" s="142"/>
      <c r="FV206" s="142"/>
      <c r="FW206" s="142"/>
      <c r="FX206" s="142"/>
      <c r="FY206" s="142"/>
      <c r="FZ206" s="142"/>
      <c r="GA206" s="142"/>
      <c r="GB206" s="142"/>
      <c r="GC206" s="142"/>
      <c r="GD206" s="142"/>
      <c r="GE206" s="142"/>
      <c r="GF206" s="142"/>
      <c r="GG206" s="142"/>
      <c r="GH206" s="142"/>
      <c r="GI206" s="142"/>
      <c r="GJ206" s="142"/>
      <c r="GK206" s="142"/>
      <c r="GL206" s="142"/>
      <c r="GM206" s="142"/>
      <c r="GN206" s="142"/>
      <c r="GO206" s="142"/>
      <c r="GP206" s="142"/>
      <c r="GQ206" s="142"/>
      <c r="GR206" s="142"/>
      <c r="GS206" s="142"/>
      <c r="GT206" s="142"/>
      <c r="GU206" s="142"/>
      <c r="GV206" s="142"/>
      <c r="GW206" s="142"/>
      <c r="GX206" s="142"/>
      <c r="GY206" s="142"/>
      <c r="GZ206" s="142"/>
      <c r="HA206" s="142"/>
      <c r="HB206" s="142"/>
      <c r="HC206" s="142"/>
      <c r="HD206" s="142"/>
      <c r="HE206" s="142"/>
      <c r="HF206" s="142"/>
      <c r="HG206" s="142"/>
      <c r="HH206" s="142"/>
      <c r="HI206" s="142"/>
      <c r="HJ206" s="142"/>
      <c r="HK206" s="142"/>
      <c r="HL206" s="142"/>
      <c r="HM206" s="142"/>
      <c r="HN206" s="142"/>
      <c r="HO206" s="142"/>
      <c r="HP206" s="142"/>
      <c r="HQ206" s="142"/>
      <c r="HR206" s="142"/>
      <c r="HS206" s="142"/>
    </row>
    <row r="207" spans="1:227" s="35" customFormat="1" ht="12.75" customHeight="1" x14ac:dyDescent="0.2">
      <c r="A207" s="35" t="s">
        <v>233</v>
      </c>
      <c r="B207" s="51"/>
      <c r="C207" s="35" t="s">
        <v>111</v>
      </c>
      <c r="D207" s="44"/>
      <c r="E207" s="53">
        <f t="shared" si="48"/>
        <v>361230</v>
      </c>
      <c r="F207" s="53"/>
      <c r="G207" s="53">
        <v>10348218</v>
      </c>
      <c r="H207" s="53"/>
      <c r="I207" s="53">
        <v>10709448</v>
      </c>
      <c r="J207" s="53"/>
      <c r="K207" s="53">
        <f t="shared" si="49"/>
        <v>322563</v>
      </c>
      <c r="L207" s="53"/>
      <c r="M207" s="53">
        <v>2341310</v>
      </c>
      <c r="N207" s="53"/>
      <c r="O207" s="53">
        <v>2663873</v>
      </c>
      <c r="P207" s="53"/>
      <c r="Q207" s="53">
        <v>7758583</v>
      </c>
      <c r="R207" s="53"/>
      <c r="S207" s="53">
        <v>0</v>
      </c>
      <c r="T207" s="53"/>
      <c r="U207" s="53">
        <v>286992</v>
      </c>
      <c r="V207" s="53"/>
      <c r="W207" s="53">
        <f t="shared" si="54"/>
        <v>8045575</v>
      </c>
      <c r="X207" s="51"/>
      <c r="Y207" s="51"/>
      <c r="Z207" s="35" t="s">
        <v>233</v>
      </c>
      <c r="AA207" s="53"/>
      <c r="AB207" s="35" t="s">
        <v>111</v>
      </c>
      <c r="AC207" s="51"/>
      <c r="AD207" s="53">
        <v>3703654</v>
      </c>
      <c r="AE207" s="53"/>
      <c r="AF207" s="53">
        <f>2900382-628169</f>
        <v>2272213</v>
      </c>
      <c r="AG207" s="53"/>
      <c r="AH207" s="53">
        <v>628169</v>
      </c>
      <c r="AI207" s="53"/>
      <c r="AJ207" s="45">
        <f t="shared" si="50"/>
        <v>803272</v>
      </c>
      <c r="AK207" s="45"/>
      <c r="AL207" s="53">
        <v>-540052</v>
      </c>
      <c r="AM207" s="45"/>
      <c r="AN207" s="53">
        <v>250000</v>
      </c>
      <c r="AO207" s="53"/>
      <c r="AP207" s="53">
        <v>0</v>
      </c>
      <c r="AQ207" s="53"/>
      <c r="AR207" s="53">
        <v>134417</v>
      </c>
      <c r="AS207" s="53"/>
      <c r="AT207" s="45">
        <f t="shared" si="51"/>
        <v>647637</v>
      </c>
      <c r="AU207" s="45"/>
      <c r="AV207" s="53">
        <v>0</v>
      </c>
      <c r="AW207" s="53"/>
      <c r="AX207" s="53">
        <v>0</v>
      </c>
      <c r="AY207" s="53"/>
      <c r="AZ207" s="53">
        <f t="shared" si="55"/>
        <v>38667</v>
      </c>
      <c r="BA207" s="51"/>
      <c r="BB207" s="35" t="s">
        <v>233</v>
      </c>
      <c r="BD207" s="35" t="s">
        <v>111</v>
      </c>
      <c r="BE207" s="53"/>
      <c r="BF207" s="53">
        <f>2231221+196622</f>
        <v>2427843</v>
      </c>
      <c r="BG207" s="53"/>
      <c r="BH207" s="53">
        <v>0</v>
      </c>
      <c r="BI207" s="53"/>
      <c r="BJ207" s="53">
        <v>0</v>
      </c>
      <c r="BK207" s="53"/>
      <c r="BL207" s="53">
        <f>65729+2556+14026+96063</f>
        <v>178374</v>
      </c>
      <c r="BM207" s="53"/>
      <c r="BN207" s="53">
        <f t="shared" si="45"/>
        <v>2606217</v>
      </c>
      <c r="BO207" s="54"/>
      <c r="BS207" s="55"/>
      <c r="BT207" s="55"/>
      <c r="BU207" s="84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</row>
    <row r="208" spans="1:227" s="126" customFormat="1" ht="12.75" hidden="1" customHeight="1" x14ac:dyDescent="0.2">
      <c r="A208" s="35" t="s">
        <v>234</v>
      </c>
      <c r="B208" s="51"/>
      <c r="C208" s="35" t="s">
        <v>45</v>
      </c>
      <c r="D208" s="44"/>
      <c r="E208" s="53">
        <f t="shared" si="48"/>
        <v>0</v>
      </c>
      <c r="F208" s="53"/>
      <c r="G208" s="53"/>
      <c r="H208" s="53"/>
      <c r="I208" s="53"/>
      <c r="J208" s="53"/>
      <c r="K208" s="53">
        <f t="shared" si="49"/>
        <v>0</v>
      </c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>
        <f t="shared" si="54"/>
        <v>0</v>
      </c>
      <c r="X208" s="51"/>
      <c r="Y208" s="51"/>
      <c r="Z208" s="35" t="s">
        <v>234</v>
      </c>
      <c r="AA208" s="53"/>
      <c r="AB208" s="35" t="s">
        <v>45</v>
      </c>
      <c r="AC208" s="51"/>
      <c r="AD208" s="53"/>
      <c r="AE208" s="53"/>
      <c r="AF208" s="53"/>
      <c r="AG208" s="53"/>
      <c r="AH208" s="53"/>
      <c r="AI208" s="53"/>
      <c r="AJ208" s="45">
        <f t="shared" si="50"/>
        <v>0</v>
      </c>
      <c r="AK208" s="45"/>
      <c r="AL208" s="53"/>
      <c r="AM208" s="45"/>
      <c r="AN208" s="53"/>
      <c r="AO208" s="53"/>
      <c r="AP208" s="53"/>
      <c r="AQ208" s="53"/>
      <c r="AR208" s="53"/>
      <c r="AS208" s="53"/>
      <c r="AT208" s="45">
        <f t="shared" si="51"/>
        <v>0</v>
      </c>
      <c r="AU208" s="45"/>
      <c r="AV208" s="53">
        <v>0</v>
      </c>
      <c r="AW208" s="53"/>
      <c r="AX208" s="53">
        <v>0</v>
      </c>
      <c r="AY208" s="53"/>
      <c r="AZ208" s="53">
        <f t="shared" si="55"/>
        <v>0</v>
      </c>
      <c r="BA208" s="51"/>
      <c r="BB208" s="35" t="s">
        <v>234</v>
      </c>
      <c r="BC208" s="35"/>
      <c r="BD208" s="35" t="s">
        <v>45</v>
      </c>
      <c r="BE208" s="53"/>
      <c r="BF208" s="53"/>
      <c r="BG208" s="53"/>
      <c r="BH208" s="53"/>
      <c r="BI208" s="53"/>
      <c r="BJ208" s="53"/>
      <c r="BK208" s="53"/>
      <c r="BL208" s="53"/>
      <c r="BM208" s="53"/>
      <c r="BN208" s="53">
        <f t="shared" si="45"/>
        <v>0</v>
      </c>
      <c r="BO208" s="139"/>
      <c r="BS208" s="140"/>
      <c r="BT208" s="140"/>
      <c r="BU208" s="141"/>
      <c r="BV208" s="140"/>
      <c r="BW208" s="140"/>
      <c r="BX208" s="140"/>
      <c r="BY208" s="140"/>
      <c r="BZ208" s="140"/>
      <c r="CA208" s="140"/>
      <c r="CB208" s="140"/>
      <c r="CC208" s="140"/>
      <c r="CD208" s="140"/>
      <c r="CE208" s="140"/>
      <c r="CF208" s="140"/>
      <c r="CG208" s="140"/>
      <c r="CH208" s="140"/>
      <c r="CI208" s="140"/>
      <c r="CJ208" s="140"/>
      <c r="CK208" s="140"/>
      <c r="CL208" s="140"/>
      <c r="CM208" s="140"/>
      <c r="CN208" s="140"/>
      <c r="CO208" s="140"/>
      <c r="CP208" s="140"/>
      <c r="CQ208" s="140"/>
    </row>
    <row r="209" spans="1:95" s="35" customFormat="1" ht="12.75" customHeight="1" x14ac:dyDescent="0.2">
      <c r="A209" s="35" t="s">
        <v>235</v>
      </c>
      <c r="B209" s="51"/>
      <c r="C209" s="35" t="s">
        <v>183</v>
      </c>
      <c r="D209" s="44"/>
      <c r="E209" s="53">
        <f t="shared" si="48"/>
        <v>17438075</v>
      </c>
      <c r="F209" s="53"/>
      <c r="G209" s="53">
        <v>14508857</v>
      </c>
      <c r="H209" s="53"/>
      <c r="I209" s="53">
        <v>31946932</v>
      </c>
      <c r="J209" s="53"/>
      <c r="K209" s="53">
        <f t="shared" si="49"/>
        <v>1643189</v>
      </c>
      <c r="L209" s="53"/>
      <c r="M209" s="53">
        <v>7962847</v>
      </c>
      <c r="N209" s="53"/>
      <c r="O209" s="53">
        <v>9606036</v>
      </c>
      <c r="P209" s="53"/>
      <c r="Q209" s="53">
        <v>10765505</v>
      </c>
      <c r="R209" s="53"/>
      <c r="S209" s="53">
        <v>0</v>
      </c>
      <c r="T209" s="53"/>
      <c r="U209" s="53">
        <v>11575391</v>
      </c>
      <c r="V209" s="53"/>
      <c r="W209" s="53">
        <f t="shared" si="54"/>
        <v>22340896</v>
      </c>
      <c r="X209" s="51"/>
      <c r="Y209" s="51"/>
      <c r="Z209" s="35" t="s">
        <v>235</v>
      </c>
      <c r="AA209" s="53"/>
      <c r="AB209" s="35" t="s">
        <v>183</v>
      </c>
      <c r="AC209" s="51"/>
      <c r="AD209" s="53">
        <v>7075408</v>
      </c>
      <c r="AE209" s="53"/>
      <c r="AF209" s="53">
        <f>6523054-1017299</f>
        <v>5505755</v>
      </c>
      <c r="AG209" s="53"/>
      <c r="AH209" s="53">
        <v>1017299</v>
      </c>
      <c r="AI209" s="53"/>
      <c r="AJ209" s="45">
        <f t="shared" si="50"/>
        <v>552354</v>
      </c>
      <c r="AK209" s="45"/>
      <c r="AL209" s="53">
        <v>-56009</v>
      </c>
      <c r="AM209" s="45"/>
      <c r="AN209" s="53">
        <v>0</v>
      </c>
      <c r="AO209" s="53"/>
      <c r="AP209" s="53">
        <v>0</v>
      </c>
      <c r="AQ209" s="53"/>
      <c r="AR209" s="53">
        <v>16991</v>
      </c>
      <c r="AS209" s="53"/>
      <c r="AT209" s="45">
        <f t="shared" si="51"/>
        <v>513336</v>
      </c>
      <c r="AU209" s="45"/>
      <c r="AV209" s="53">
        <v>0</v>
      </c>
      <c r="AW209" s="53"/>
      <c r="AX209" s="53">
        <v>0</v>
      </c>
      <c r="AY209" s="53"/>
      <c r="AZ209" s="53">
        <f t="shared" si="55"/>
        <v>15794886</v>
      </c>
      <c r="BA209" s="51"/>
      <c r="BB209" s="35" t="s">
        <v>235</v>
      </c>
      <c r="BD209" s="35" t="s">
        <v>183</v>
      </c>
      <c r="BE209" s="53"/>
      <c r="BF209" s="53">
        <f>7599002+598632</f>
        <v>8197634</v>
      </c>
      <c r="BG209" s="53"/>
      <c r="BH209" s="53">
        <v>0</v>
      </c>
      <c r="BI209" s="53"/>
      <c r="BJ209" s="53">
        <v>0</v>
      </c>
      <c r="BK209" s="53"/>
      <c r="BL209" s="53">
        <f>35000+363845</f>
        <v>398845</v>
      </c>
      <c r="BM209" s="53"/>
      <c r="BN209" s="53">
        <f t="shared" si="45"/>
        <v>8596479</v>
      </c>
      <c r="BO209" s="54"/>
      <c r="BS209" s="55"/>
      <c r="BT209" s="55"/>
      <c r="BU209" s="84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</row>
    <row r="210" spans="1:95" s="126" customFormat="1" ht="12.75" hidden="1" customHeight="1" x14ac:dyDescent="0.2">
      <c r="A210" s="35" t="s">
        <v>236</v>
      </c>
      <c r="B210" s="51"/>
      <c r="C210" s="35" t="s">
        <v>45</v>
      </c>
      <c r="D210" s="44"/>
      <c r="E210" s="53">
        <f t="shared" si="48"/>
        <v>0</v>
      </c>
      <c r="F210" s="53"/>
      <c r="G210" s="53"/>
      <c r="H210" s="53"/>
      <c r="I210" s="53"/>
      <c r="J210" s="53"/>
      <c r="K210" s="53">
        <f t="shared" si="49"/>
        <v>0</v>
      </c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>
        <f t="shared" si="54"/>
        <v>0</v>
      </c>
      <c r="X210" s="51"/>
      <c r="Y210" s="51"/>
      <c r="Z210" s="35" t="s">
        <v>236</v>
      </c>
      <c r="AA210" s="53"/>
      <c r="AB210" s="35" t="s">
        <v>45</v>
      </c>
      <c r="AC210" s="51"/>
      <c r="AD210" s="53"/>
      <c r="AE210" s="53"/>
      <c r="AF210" s="53"/>
      <c r="AG210" s="53"/>
      <c r="AH210" s="53"/>
      <c r="AI210" s="53"/>
      <c r="AJ210" s="45">
        <f t="shared" si="50"/>
        <v>0</v>
      </c>
      <c r="AK210" s="45"/>
      <c r="AL210" s="53"/>
      <c r="AM210" s="45"/>
      <c r="AN210" s="53"/>
      <c r="AO210" s="53"/>
      <c r="AP210" s="53"/>
      <c r="AQ210" s="53"/>
      <c r="AR210" s="53"/>
      <c r="AS210" s="53"/>
      <c r="AT210" s="45">
        <f t="shared" si="51"/>
        <v>0</v>
      </c>
      <c r="AU210" s="45"/>
      <c r="AV210" s="53">
        <v>0</v>
      </c>
      <c r="AW210" s="53"/>
      <c r="AX210" s="53">
        <v>0</v>
      </c>
      <c r="AY210" s="53"/>
      <c r="AZ210" s="53">
        <f t="shared" si="55"/>
        <v>0</v>
      </c>
      <c r="BA210" s="51"/>
      <c r="BB210" s="35" t="s">
        <v>236</v>
      </c>
      <c r="BC210" s="35"/>
      <c r="BD210" s="35" t="s">
        <v>45</v>
      </c>
      <c r="BE210" s="53"/>
      <c r="BF210" s="53"/>
      <c r="BG210" s="53"/>
      <c r="BH210" s="53"/>
      <c r="BI210" s="53"/>
      <c r="BJ210" s="53"/>
      <c r="BK210" s="53"/>
      <c r="BL210" s="53"/>
      <c r="BM210" s="53"/>
      <c r="BN210" s="53">
        <f t="shared" si="45"/>
        <v>0</v>
      </c>
      <c r="BO210" s="139"/>
      <c r="BS210" s="140"/>
      <c r="BT210" s="140"/>
      <c r="BU210" s="141"/>
      <c r="BV210" s="140"/>
      <c r="BW210" s="140"/>
      <c r="BX210" s="140"/>
      <c r="BY210" s="140"/>
      <c r="BZ210" s="140"/>
      <c r="CA210" s="140"/>
      <c r="CB210" s="140"/>
      <c r="CC210" s="140"/>
      <c r="CD210" s="140"/>
      <c r="CE210" s="140"/>
      <c r="CF210" s="140"/>
      <c r="CG210" s="140"/>
      <c r="CH210" s="140"/>
      <c r="CI210" s="140"/>
      <c r="CJ210" s="140"/>
      <c r="CK210" s="140"/>
      <c r="CL210" s="140"/>
      <c r="CM210" s="140"/>
      <c r="CN210" s="140"/>
      <c r="CO210" s="140"/>
      <c r="CP210" s="140"/>
      <c r="CQ210" s="140"/>
    </row>
    <row r="211" spans="1:95" s="35" customFormat="1" ht="12.75" customHeight="1" x14ac:dyDescent="0.2">
      <c r="A211" s="35" t="s">
        <v>237</v>
      </c>
      <c r="B211" s="51"/>
      <c r="C211" s="35" t="s">
        <v>33</v>
      </c>
      <c r="D211" s="44"/>
      <c r="E211" s="53">
        <f t="shared" si="48"/>
        <v>230766</v>
      </c>
      <c r="F211" s="53"/>
      <c r="G211" s="53">
        <v>1643046</v>
      </c>
      <c r="H211" s="53"/>
      <c r="I211" s="53">
        <v>1873812</v>
      </c>
      <c r="J211" s="53"/>
      <c r="K211" s="53">
        <f t="shared" si="49"/>
        <v>128041</v>
      </c>
      <c r="L211" s="53"/>
      <c r="M211" s="53">
        <v>553890</v>
      </c>
      <c r="N211" s="53"/>
      <c r="O211" s="53">
        <v>681931</v>
      </c>
      <c r="P211" s="53"/>
      <c r="Q211" s="53">
        <v>1281337</v>
      </c>
      <c r="R211" s="53"/>
      <c r="S211" s="53">
        <v>0</v>
      </c>
      <c r="T211" s="53"/>
      <c r="U211" s="53">
        <v>-89456</v>
      </c>
      <c r="V211" s="53"/>
      <c r="W211" s="53">
        <f t="shared" si="54"/>
        <v>1191881</v>
      </c>
      <c r="X211" s="51"/>
      <c r="Y211" s="51"/>
      <c r="Z211" s="35" t="s">
        <v>237</v>
      </c>
      <c r="AA211" s="53"/>
      <c r="AB211" s="35" t="s">
        <v>33</v>
      </c>
      <c r="AC211" s="51"/>
      <c r="AD211" s="53">
        <v>891100</v>
      </c>
      <c r="AE211" s="53"/>
      <c r="AF211" s="53">
        <f>1034605-269320</f>
        <v>765285</v>
      </c>
      <c r="AG211" s="53"/>
      <c r="AH211" s="53">
        <v>269320</v>
      </c>
      <c r="AI211" s="53"/>
      <c r="AJ211" s="45">
        <f t="shared" si="50"/>
        <v>-143505</v>
      </c>
      <c r="AK211" s="45"/>
      <c r="AL211" s="53">
        <v>-11732</v>
      </c>
      <c r="AM211" s="45"/>
      <c r="AN211" s="53">
        <v>0</v>
      </c>
      <c r="AO211" s="53"/>
      <c r="AP211" s="53">
        <v>0</v>
      </c>
      <c r="AQ211" s="53"/>
      <c r="AR211" s="53">
        <v>0</v>
      </c>
      <c r="AS211" s="53"/>
      <c r="AT211" s="45">
        <f t="shared" si="51"/>
        <v>-155237</v>
      </c>
      <c r="AU211" s="45"/>
      <c r="AV211" s="53">
        <v>0</v>
      </c>
      <c r="AW211" s="53"/>
      <c r="AX211" s="53">
        <v>0</v>
      </c>
      <c r="AY211" s="53"/>
      <c r="AZ211" s="53">
        <f t="shared" si="55"/>
        <v>102725</v>
      </c>
      <c r="BA211" s="51"/>
      <c r="BB211" s="35" t="s">
        <v>237</v>
      </c>
      <c r="BD211" s="35" t="s">
        <v>33</v>
      </c>
      <c r="BE211" s="53"/>
      <c r="BF211" s="53">
        <f>241823+5000</f>
        <v>246823</v>
      </c>
      <c r="BG211" s="53"/>
      <c r="BH211" s="53">
        <v>0</v>
      </c>
      <c r="BI211" s="53"/>
      <c r="BJ211" s="53">
        <f>37938+2426</f>
        <v>40364</v>
      </c>
      <c r="BK211" s="53"/>
      <c r="BL211" s="53">
        <f>263000+11129+1371</f>
        <v>275500</v>
      </c>
      <c r="BM211" s="53"/>
      <c r="BN211" s="53">
        <f t="shared" si="45"/>
        <v>562687</v>
      </c>
      <c r="BO211" s="54"/>
      <c r="BS211" s="55"/>
      <c r="BT211" s="55"/>
      <c r="BU211" s="84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</row>
    <row r="212" spans="1:95" s="35" customFormat="1" ht="12.75" customHeight="1" x14ac:dyDescent="0.2">
      <c r="A212" s="35" t="s">
        <v>238</v>
      </c>
      <c r="B212" s="51"/>
      <c r="C212" s="35" t="s">
        <v>239</v>
      </c>
      <c r="D212" s="44"/>
      <c r="E212" s="53">
        <f t="shared" si="48"/>
        <v>1193880</v>
      </c>
      <c r="F212" s="53"/>
      <c r="G212" s="53">
        <v>4680396</v>
      </c>
      <c r="H212" s="53"/>
      <c r="I212" s="53">
        <v>5874276</v>
      </c>
      <c r="J212" s="53"/>
      <c r="K212" s="53">
        <f t="shared" si="49"/>
        <v>65900</v>
      </c>
      <c r="L212" s="53"/>
      <c r="M212" s="53">
        <v>74222</v>
      </c>
      <c r="N212" s="53"/>
      <c r="O212" s="53">
        <v>140122</v>
      </c>
      <c r="P212" s="53"/>
      <c r="Q212" s="53">
        <v>4680396</v>
      </c>
      <c r="R212" s="53"/>
      <c r="S212" s="53">
        <v>0</v>
      </c>
      <c r="T212" s="53"/>
      <c r="U212" s="53">
        <v>1053758</v>
      </c>
      <c r="V212" s="53"/>
      <c r="W212" s="53">
        <f t="shared" si="54"/>
        <v>5734154</v>
      </c>
      <c r="X212" s="51"/>
      <c r="Y212" s="51"/>
      <c r="Z212" s="35" t="s">
        <v>238</v>
      </c>
      <c r="AA212" s="53"/>
      <c r="AB212" s="35" t="s">
        <v>239</v>
      </c>
      <c r="AC212" s="51"/>
      <c r="AD212" s="53">
        <v>1118881</v>
      </c>
      <c r="AE212" s="53"/>
      <c r="AF212" s="53">
        <f>1454648-246269</f>
        <v>1208379</v>
      </c>
      <c r="AG212" s="53"/>
      <c r="AH212" s="53">
        <v>246269</v>
      </c>
      <c r="AI212" s="53"/>
      <c r="AJ212" s="45">
        <f t="shared" si="50"/>
        <v>-335767</v>
      </c>
      <c r="AK212" s="45"/>
      <c r="AL212" s="53">
        <v>1970</v>
      </c>
      <c r="AM212" s="45"/>
      <c r="AN212" s="53">
        <v>0</v>
      </c>
      <c r="AO212" s="53"/>
      <c r="AP212" s="53">
        <v>0</v>
      </c>
      <c r="AQ212" s="53"/>
      <c r="AR212" s="53">
        <v>0</v>
      </c>
      <c r="AS212" s="53"/>
      <c r="AT212" s="45">
        <f t="shared" si="51"/>
        <v>-333797</v>
      </c>
      <c r="AU212" s="45"/>
      <c r="AV212" s="53">
        <v>0</v>
      </c>
      <c r="AW212" s="53"/>
      <c r="AX212" s="53">
        <v>0</v>
      </c>
      <c r="AY212" s="53"/>
      <c r="AZ212" s="53">
        <f t="shared" si="55"/>
        <v>1127980</v>
      </c>
      <c r="BA212" s="51"/>
      <c r="BB212" s="35" t="s">
        <v>238</v>
      </c>
      <c r="BD212" s="35" t="s">
        <v>239</v>
      </c>
      <c r="BE212" s="53"/>
      <c r="BF212" s="53">
        <v>0</v>
      </c>
      <c r="BG212" s="53"/>
      <c r="BH212" s="53">
        <v>0</v>
      </c>
      <c r="BI212" s="53"/>
      <c r="BJ212" s="53">
        <v>0</v>
      </c>
      <c r="BK212" s="53"/>
      <c r="BL212" s="53">
        <f>74222+22353</f>
        <v>96575</v>
      </c>
      <c r="BM212" s="53"/>
      <c r="BN212" s="53">
        <f t="shared" si="45"/>
        <v>96575</v>
      </c>
      <c r="BO212" s="54"/>
      <c r="BS212" s="55"/>
      <c r="BT212" s="55"/>
      <c r="BU212" s="84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</row>
    <row r="213" spans="1:95" s="35" customFormat="1" ht="12.75" customHeight="1" x14ac:dyDescent="0.2">
      <c r="A213" s="35" t="s">
        <v>486</v>
      </c>
      <c r="B213" s="51"/>
      <c r="C213" s="35" t="s">
        <v>249</v>
      </c>
      <c r="D213" s="44"/>
      <c r="E213" s="53">
        <f t="shared" si="48"/>
        <v>1859168</v>
      </c>
      <c r="F213" s="53"/>
      <c r="G213" s="53">
        <v>41043882</v>
      </c>
      <c r="H213" s="53"/>
      <c r="I213" s="53">
        <v>42903050</v>
      </c>
      <c r="J213" s="53"/>
      <c r="K213" s="53">
        <f t="shared" si="49"/>
        <v>2222153</v>
      </c>
      <c r="L213" s="53"/>
      <c r="M213" s="53">
        <v>30562699</v>
      </c>
      <c r="N213" s="53"/>
      <c r="O213" s="53">
        <v>32784852</v>
      </c>
      <c r="P213" s="53"/>
      <c r="Q213" s="53">
        <v>8761875</v>
      </c>
      <c r="R213" s="53"/>
      <c r="S213" s="53">
        <v>0</v>
      </c>
      <c r="T213" s="53"/>
      <c r="U213" s="53">
        <v>1356323</v>
      </c>
      <c r="V213" s="53"/>
      <c r="W213" s="53">
        <f t="shared" si="54"/>
        <v>10118198</v>
      </c>
      <c r="X213" s="51"/>
      <c r="Y213" s="51"/>
      <c r="Z213" s="35" t="s">
        <v>486</v>
      </c>
      <c r="AA213" s="53"/>
      <c r="AB213" s="35" t="s">
        <v>249</v>
      </c>
      <c r="AC213" s="51"/>
      <c r="AD213" s="53">
        <v>4678829</v>
      </c>
      <c r="AE213" s="53"/>
      <c r="AF213" s="53">
        <f>3678814-844870</f>
        <v>2833944</v>
      </c>
      <c r="AG213" s="53"/>
      <c r="AH213" s="53">
        <v>844870</v>
      </c>
      <c r="AI213" s="53"/>
      <c r="AJ213" s="45">
        <f t="shared" si="50"/>
        <v>1000015</v>
      </c>
      <c r="AK213" s="45"/>
      <c r="AL213" s="53">
        <v>-1269920</v>
      </c>
      <c r="AM213" s="45"/>
      <c r="AN213" s="53">
        <v>0</v>
      </c>
      <c r="AO213" s="53"/>
      <c r="AP213" s="53">
        <v>0</v>
      </c>
      <c r="AQ213" s="53"/>
      <c r="AR213" s="53">
        <v>0</v>
      </c>
      <c r="AS213" s="53"/>
      <c r="AT213" s="45">
        <f t="shared" si="51"/>
        <v>-269905</v>
      </c>
      <c r="AU213" s="45"/>
      <c r="AV213" s="53">
        <v>0</v>
      </c>
      <c r="AW213" s="53"/>
      <c r="AX213" s="53">
        <v>0</v>
      </c>
      <c r="AY213" s="53"/>
      <c r="AZ213" s="53">
        <f t="shared" si="55"/>
        <v>-362985</v>
      </c>
      <c r="BA213" s="51"/>
      <c r="BB213" s="35" t="s">
        <v>486</v>
      </c>
      <c r="BD213" s="35" t="s">
        <v>249</v>
      </c>
      <c r="BE213" s="53"/>
      <c r="BF213" s="53">
        <f>821250+54000</f>
        <v>875250</v>
      </c>
      <c r="BG213" s="53"/>
      <c r="BH213" s="53">
        <v>0</v>
      </c>
      <c r="BI213" s="53"/>
      <c r="BJ213" s="53">
        <f>29479027+186337+26820+1687910</f>
        <v>31380094</v>
      </c>
      <c r="BK213" s="53"/>
      <c r="BL213" s="53">
        <f>76085+16637</f>
        <v>92722</v>
      </c>
      <c r="BM213" s="53"/>
      <c r="BN213" s="53">
        <f>SUM(BF213:BL213)</f>
        <v>32348066</v>
      </c>
      <c r="BO213" s="54"/>
      <c r="BS213" s="55"/>
      <c r="BT213" s="55"/>
      <c r="BU213" s="84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</row>
    <row r="214" spans="1:95" s="35" customFormat="1" ht="12.75" customHeight="1" x14ac:dyDescent="0.2">
      <c r="A214" s="35" t="s">
        <v>240</v>
      </c>
      <c r="B214" s="51"/>
      <c r="C214" s="35" t="s">
        <v>13</v>
      </c>
      <c r="D214" s="44"/>
      <c r="E214" s="53">
        <f t="shared" si="48"/>
        <v>5936511</v>
      </c>
      <c r="F214" s="53"/>
      <c r="G214" s="53">
        <v>22189032</v>
      </c>
      <c r="H214" s="53"/>
      <c r="I214" s="53">
        <v>28125543</v>
      </c>
      <c r="J214" s="53"/>
      <c r="K214" s="53">
        <f t="shared" si="49"/>
        <v>1028982</v>
      </c>
      <c r="L214" s="53"/>
      <c r="M214" s="53">
        <v>1153156</v>
      </c>
      <c r="N214" s="53"/>
      <c r="O214" s="53">
        <v>2182138</v>
      </c>
      <c r="P214" s="53"/>
      <c r="Q214" s="53">
        <v>20906453</v>
      </c>
      <c r="R214" s="53"/>
      <c r="S214" s="53">
        <v>0</v>
      </c>
      <c r="T214" s="53"/>
      <c r="U214" s="53">
        <v>5036952</v>
      </c>
      <c r="V214" s="53"/>
      <c r="W214" s="53">
        <f t="shared" si="54"/>
        <v>25943405</v>
      </c>
      <c r="X214" s="51"/>
      <c r="Y214" s="51"/>
      <c r="Z214" s="35" t="s">
        <v>240</v>
      </c>
      <c r="AA214" s="53"/>
      <c r="AB214" s="35" t="s">
        <v>13</v>
      </c>
      <c r="AC214" s="51"/>
      <c r="AD214" s="53">
        <v>5005098</v>
      </c>
      <c r="AE214" s="53"/>
      <c r="AF214" s="53">
        <f>3787532-349943</f>
        <v>3437589</v>
      </c>
      <c r="AG214" s="53"/>
      <c r="AH214" s="53">
        <v>349943</v>
      </c>
      <c r="AI214" s="53"/>
      <c r="AJ214" s="45">
        <f t="shared" si="50"/>
        <v>1217566</v>
      </c>
      <c r="AK214" s="45"/>
      <c r="AL214" s="53">
        <v>199353</v>
      </c>
      <c r="AM214" s="45"/>
      <c r="AN214" s="53">
        <v>0</v>
      </c>
      <c r="AO214" s="53"/>
      <c r="AP214" s="53">
        <v>0</v>
      </c>
      <c r="AQ214" s="53"/>
      <c r="AR214" s="53">
        <v>0</v>
      </c>
      <c r="AS214" s="53"/>
      <c r="AT214" s="45">
        <f t="shared" si="51"/>
        <v>1416919</v>
      </c>
      <c r="AU214" s="45"/>
      <c r="AV214" s="53">
        <v>0</v>
      </c>
      <c r="AW214" s="53"/>
      <c r="AX214" s="53">
        <v>0</v>
      </c>
      <c r="AY214" s="53"/>
      <c r="AZ214" s="53">
        <f t="shared" si="55"/>
        <v>4907529</v>
      </c>
      <c r="BA214" s="51"/>
      <c r="BB214" s="35" t="s">
        <v>240</v>
      </c>
      <c r="BD214" s="35" t="s">
        <v>13</v>
      </c>
      <c r="BE214" s="53"/>
      <c r="BF214" s="53">
        <f>499749+14854</f>
        <v>514603</v>
      </c>
      <c r="BG214" s="53"/>
      <c r="BH214" s="53">
        <v>0</v>
      </c>
      <c r="BI214" s="53"/>
      <c r="BJ214" s="53">
        <f>156392+150000+11584</f>
        <v>317976</v>
      </c>
      <c r="BK214" s="53"/>
      <c r="BL214" s="53">
        <f>200000+147015+37068</f>
        <v>384083</v>
      </c>
      <c r="BM214" s="53"/>
      <c r="BN214" s="53">
        <f t="shared" si="45"/>
        <v>1216662</v>
      </c>
      <c r="BO214" s="54"/>
      <c r="BS214" s="55"/>
      <c r="BT214" s="55"/>
      <c r="BU214" s="84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</row>
    <row r="215" spans="1:95" s="35" customFormat="1" ht="12.75" customHeight="1" x14ac:dyDescent="0.2">
      <c r="A215" s="64" t="s">
        <v>241</v>
      </c>
      <c r="B215" s="64"/>
      <c r="C215" s="64" t="s">
        <v>22</v>
      </c>
      <c r="D215" s="46"/>
      <c r="E215" s="53">
        <f t="shared" ref="E215:E242" si="56">I215-G215</f>
        <v>5418160</v>
      </c>
      <c r="F215" s="53"/>
      <c r="G215" s="53">
        <v>6246381</v>
      </c>
      <c r="H215" s="53"/>
      <c r="I215" s="53">
        <v>11664541</v>
      </c>
      <c r="J215" s="53"/>
      <c r="K215" s="53">
        <f t="shared" ref="K215:K242" si="57">O215-M215</f>
        <v>228440</v>
      </c>
      <c r="L215" s="53"/>
      <c r="M215" s="53">
        <v>492698</v>
      </c>
      <c r="N215" s="53"/>
      <c r="O215" s="53">
        <v>721138</v>
      </c>
      <c r="P215" s="53"/>
      <c r="Q215" s="53">
        <v>5757632</v>
      </c>
      <c r="R215" s="53"/>
      <c r="S215" s="53">
        <v>0</v>
      </c>
      <c r="T215" s="53"/>
      <c r="U215" s="53">
        <v>5185771</v>
      </c>
      <c r="V215" s="53"/>
      <c r="W215" s="53">
        <f t="shared" si="54"/>
        <v>10943403</v>
      </c>
      <c r="X215" s="51"/>
      <c r="Y215" s="51"/>
      <c r="Z215" s="64" t="s">
        <v>241</v>
      </c>
      <c r="AA215" s="79"/>
      <c r="AB215" s="64" t="s">
        <v>22</v>
      </c>
      <c r="AC215" s="64"/>
      <c r="AD215" s="53">
        <v>5257298</v>
      </c>
      <c r="AE215" s="53"/>
      <c r="AF215" s="53">
        <f>2468741-307973</f>
        <v>2160768</v>
      </c>
      <c r="AG215" s="53"/>
      <c r="AH215" s="53">
        <v>307973</v>
      </c>
      <c r="AI215" s="53"/>
      <c r="AJ215" s="45">
        <f t="shared" si="50"/>
        <v>2788557</v>
      </c>
      <c r="AK215" s="45"/>
      <c r="AL215" s="53">
        <v>-10275</v>
      </c>
      <c r="AM215" s="45"/>
      <c r="AN215" s="53">
        <v>21679</v>
      </c>
      <c r="AO215" s="53"/>
      <c r="AP215" s="53">
        <v>0</v>
      </c>
      <c r="AQ215" s="53"/>
      <c r="AR215" s="53">
        <v>0</v>
      </c>
      <c r="AS215" s="53"/>
      <c r="AT215" s="45">
        <f t="shared" si="51"/>
        <v>2799961</v>
      </c>
      <c r="AU215" s="45"/>
      <c r="AV215" s="53">
        <v>0</v>
      </c>
      <c r="AW215" s="53"/>
      <c r="AX215" s="53">
        <v>0</v>
      </c>
      <c r="AY215" s="53"/>
      <c r="AZ215" s="53">
        <f t="shared" si="55"/>
        <v>5189720</v>
      </c>
      <c r="BA215" s="51"/>
      <c r="BB215" s="64" t="s">
        <v>241</v>
      </c>
      <c r="BC215" s="64"/>
      <c r="BD215" s="64" t="s">
        <v>22</v>
      </c>
      <c r="BE215" s="79"/>
      <c r="BF215" s="53">
        <v>0</v>
      </c>
      <c r="BG215" s="53"/>
      <c r="BH215" s="53">
        <v>0</v>
      </c>
      <c r="BI215" s="53"/>
      <c r="BJ215" s="53">
        <f>470535+11530</f>
        <v>482065</v>
      </c>
      <c r="BK215" s="53"/>
      <c r="BL215" s="53">
        <f>19845+2318+4366+7571</f>
        <v>34100</v>
      </c>
      <c r="BM215" s="53"/>
      <c r="BN215" s="53">
        <f t="shared" si="45"/>
        <v>516165</v>
      </c>
      <c r="BO215" s="54"/>
      <c r="BS215" s="55"/>
      <c r="BT215" s="55"/>
      <c r="BU215" s="84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</row>
    <row r="216" spans="1:95" s="126" customFormat="1" ht="12.75" hidden="1" customHeight="1" x14ac:dyDescent="0.2">
      <c r="A216" s="35" t="s">
        <v>242</v>
      </c>
      <c r="B216" s="51"/>
      <c r="C216" s="35" t="s">
        <v>27</v>
      </c>
      <c r="D216" s="44"/>
      <c r="E216" s="53">
        <f t="shared" si="56"/>
        <v>0</v>
      </c>
      <c r="F216" s="53"/>
      <c r="G216" s="53"/>
      <c r="H216" s="53"/>
      <c r="I216" s="53"/>
      <c r="J216" s="53"/>
      <c r="K216" s="53">
        <f t="shared" si="57"/>
        <v>0</v>
      </c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>
        <f t="shared" si="54"/>
        <v>0</v>
      </c>
      <c r="X216" s="51"/>
      <c r="Y216" s="51"/>
      <c r="Z216" s="35" t="s">
        <v>242</v>
      </c>
      <c r="AA216" s="53"/>
      <c r="AB216" s="35" t="s">
        <v>27</v>
      </c>
      <c r="AC216" s="51"/>
      <c r="AD216" s="53"/>
      <c r="AE216" s="53"/>
      <c r="AF216" s="53"/>
      <c r="AG216" s="53"/>
      <c r="AH216" s="53"/>
      <c r="AI216" s="53"/>
      <c r="AJ216" s="45">
        <f t="shared" si="50"/>
        <v>0</v>
      </c>
      <c r="AK216" s="45"/>
      <c r="AL216" s="53"/>
      <c r="AM216" s="45"/>
      <c r="AN216" s="53"/>
      <c r="AO216" s="53"/>
      <c r="AP216" s="53"/>
      <c r="AQ216" s="53"/>
      <c r="AR216" s="53"/>
      <c r="AS216" s="53"/>
      <c r="AT216" s="45">
        <f t="shared" si="51"/>
        <v>0</v>
      </c>
      <c r="AU216" s="45"/>
      <c r="AV216" s="53">
        <v>0</v>
      </c>
      <c r="AW216" s="53"/>
      <c r="AX216" s="53">
        <v>0</v>
      </c>
      <c r="AY216" s="53"/>
      <c r="AZ216" s="53">
        <f t="shared" si="55"/>
        <v>0</v>
      </c>
      <c r="BA216" s="51"/>
      <c r="BB216" s="35" t="s">
        <v>242</v>
      </c>
      <c r="BC216" s="35"/>
      <c r="BD216" s="35" t="s">
        <v>27</v>
      </c>
      <c r="BE216" s="53"/>
      <c r="BF216" s="53"/>
      <c r="BG216" s="53"/>
      <c r="BH216" s="53"/>
      <c r="BI216" s="53"/>
      <c r="BJ216" s="53"/>
      <c r="BK216" s="53"/>
      <c r="BL216" s="53"/>
      <c r="BM216" s="53"/>
      <c r="BN216" s="53">
        <f t="shared" si="45"/>
        <v>0</v>
      </c>
      <c r="BO216" s="139"/>
      <c r="BS216" s="140"/>
      <c r="BT216" s="140"/>
      <c r="BU216" s="141"/>
      <c r="BV216" s="140"/>
      <c r="BW216" s="140"/>
      <c r="BX216" s="140"/>
      <c r="BY216" s="140"/>
      <c r="BZ216" s="140"/>
      <c r="CA216" s="140"/>
      <c r="CB216" s="140"/>
      <c r="CC216" s="140"/>
      <c r="CD216" s="140"/>
      <c r="CE216" s="140"/>
      <c r="CF216" s="140"/>
      <c r="CG216" s="140"/>
      <c r="CH216" s="140"/>
      <c r="CI216" s="140"/>
      <c r="CJ216" s="140"/>
      <c r="CK216" s="140"/>
      <c r="CL216" s="140"/>
      <c r="CM216" s="140"/>
      <c r="CN216" s="140"/>
      <c r="CO216" s="140"/>
      <c r="CP216" s="140"/>
      <c r="CQ216" s="140"/>
    </row>
    <row r="217" spans="1:95" s="35" customFormat="1" ht="12.75" customHeight="1" x14ac:dyDescent="0.2">
      <c r="A217" s="35" t="s">
        <v>243</v>
      </c>
      <c r="C217" s="35" t="s">
        <v>163</v>
      </c>
      <c r="D217" s="44"/>
      <c r="E217" s="53">
        <f t="shared" si="56"/>
        <v>4142324</v>
      </c>
      <c r="F217" s="53"/>
      <c r="G217" s="53">
        <v>7330823</v>
      </c>
      <c r="H217" s="53"/>
      <c r="I217" s="53">
        <v>11473147</v>
      </c>
      <c r="J217" s="53"/>
      <c r="K217" s="53">
        <f t="shared" si="57"/>
        <v>246287</v>
      </c>
      <c r="L217" s="53"/>
      <c r="M217" s="53">
        <v>3124832</v>
      </c>
      <c r="N217" s="53"/>
      <c r="O217" s="53">
        <v>3371119</v>
      </c>
      <c r="P217" s="53"/>
      <c r="Q217" s="53">
        <v>4270823</v>
      </c>
      <c r="R217" s="53"/>
      <c r="S217" s="53">
        <v>0</v>
      </c>
      <c r="T217" s="53"/>
      <c r="U217" s="53">
        <v>3831205</v>
      </c>
      <c r="V217" s="53"/>
      <c r="W217" s="53">
        <f t="shared" si="54"/>
        <v>8102028</v>
      </c>
      <c r="Z217" s="35" t="s">
        <v>243</v>
      </c>
      <c r="AA217" s="53"/>
      <c r="AB217" s="35" t="s">
        <v>163</v>
      </c>
      <c r="AD217" s="53">
        <v>3549422</v>
      </c>
      <c r="AE217" s="53"/>
      <c r="AF217" s="53">
        <f>3419697-253374</f>
        <v>3166323</v>
      </c>
      <c r="AG217" s="53"/>
      <c r="AH217" s="53">
        <v>253374</v>
      </c>
      <c r="AI217" s="53"/>
      <c r="AJ217" s="45">
        <f t="shared" si="50"/>
        <v>129725</v>
      </c>
      <c r="AK217" s="45"/>
      <c r="AL217" s="53">
        <v>612571</v>
      </c>
      <c r="AM217" s="45"/>
      <c r="AN217" s="53">
        <v>0</v>
      </c>
      <c r="AO217" s="53"/>
      <c r="AP217" s="53">
        <v>12483</v>
      </c>
      <c r="AQ217" s="53"/>
      <c r="AR217" s="53">
        <v>0</v>
      </c>
      <c r="AS217" s="53"/>
      <c r="AT217" s="45">
        <f t="shared" si="51"/>
        <v>729813</v>
      </c>
      <c r="AU217" s="45"/>
      <c r="AV217" s="53">
        <v>0</v>
      </c>
      <c r="AW217" s="53"/>
      <c r="AX217" s="53">
        <v>0</v>
      </c>
      <c r="AY217" s="53"/>
      <c r="AZ217" s="53">
        <f t="shared" si="55"/>
        <v>3896037</v>
      </c>
      <c r="BA217" s="65"/>
      <c r="BB217" s="35" t="s">
        <v>243</v>
      </c>
      <c r="BD217" s="35" t="s">
        <v>163</v>
      </c>
      <c r="BE217" s="53"/>
      <c r="BF217" s="53">
        <f>2935000+125000</f>
        <v>3060000</v>
      </c>
      <c r="BG217" s="53"/>
      <c r="BH217" s="53">
        <v>0</v>
      </c>
      <c r="BI217" s="53"/>
      <c r="BJ217" s="53">
        <v>0</v>
      </c>
      <c r="BK217" s="53"/>
      <c r="BL217" s="53">
        <v>189832</v>
      </c>
      <c r="BM217" s="53"/>
      <c r="BN217" s="53">
        <f t="shared" ref="BN217" si="58">SUM(BF217:BL217)</f>
        <v>3249832</v>
      </c>
      <c r="BO217" s="54"/>
      <c r="BS217" s="55"/>
      <c r="BT217" s="55"/>
      <c r="BU217" s="84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</row>
    <row r="218" spans="1:95" s="35" customFormat="1" ht="12.75" customHeight="1" x14ac:dyDescent="0.2">
      <c r="A218" s="35" t="s">
        <v>244</v>
      </c>
      <c r="B218" s="51"/>
      <c r="C218" s="35" t="s">
        <v>13</v>
      </c>
      <c r="D218" s="44"/>
      <c r="E218" s="53">
        <f t="shared" si="56"/>
        <v>3371384</v>
      </c>
      <c r="F218" s="53"/>
      <c r="G218" s="53">
        <v>6683379</v>
      </c>
      <c r="H218" s="53"/>
      <c r="I218" s="53">
        <v>10054763</v>
      </c>
      <c r="J218" s="53"/>
      <c r="K218" s="53">
        <f t="shared" si="57"/>
        <v>340346</v>
      </c>
      <c r="L218" s="53"/>
      <c r="M218" s="53">
        <v>1303970</v>
      </c>
      <c r="N218" s="53"/>
      <c r="O218" s="53">
        <v>1644316</v>
      </c>
      <c r="P218" s="53"/>
      <c r="Q218" s="53">
        <v>5330049</v>
      </c>
      <c r="R218" s="53"/>
      <c r="S218" s="53">
        <v>0</v>
      </c>
      <c r="T218" s="53"/>
      <c r="U218" s="53">
        <v>3080398</v>
      </c>
      <c r="V218" s="53"/>
      <c r="W218" s="53">
        <f t="shared" si="54"/>
        <v>8410447</v>
      </c>
      <c r="X218" s="51"/>
      <c r="Y218" s="51"/>
      <c r="Z218" s="35" t="s">
        <v>244</v>
      </c>
      <c r="AA218" s="53"/>
      <c r="AB218" s="35" t="s">
        <v>13</v>
      </c>
      <c r="AC218" s="51"/>
      <c r="AD218" s="53">
        <v>1919202</v>
      </c>
      <c r="AE218" s="53"/>
      <c r="AF218" s="53">
        <f>1816961-298145</f>
        <v>1518816</v>
      </c>
      <c r="AG218" s="53"/>
      <c r="AH218" s="53">
        <v>298145</v>
      </c>
      <c r="AI218" s="53"/>
      <c r="AJ218" s="45">
        <f t="shared" si="50"/>
        <v>102241</v>
      </c>
      <c r="AK218" s="45"/>
      <c r="AL218" s="53">
        <v>-56696</v>
      </c>
      <c r="AM218" s="45"/>
      <c r="AN218" s="53">
        <v>0</v>
      </c>
      <c r="AO218" s="53"/>
      <c r="AP218" s="53">
        <v>0</v>
      </c>
      <c r="AQ218" s="53"/>
      <c r="AR218" s="53">
        <v>0</v>
      </c>
      <c r="AS218" s="53"/>
      <c r="AT218" s="45">
        <f t="shared" si="51"/>
        <v>45545</v>
      </c>
      <c r="AU218" s="45"/>
      <c r="AV218" s="53">
        <v>0</v>
      </c>
      <c r="AW218" s="53"/>
      <c r="AX218" s="53">
        <v>0</v>
      </c>
      <c r="AY218" s="53"/>
      <c r="AZ218" s="53">
        <f t="shared" si="55"/>
        <v>3031038</v>
      </c>
      <c r="BA218" s="51"/>
      <c r="BB218" s="35" t="s">
        <v>244</v>
      </c>
      <c r="BD218" s="35" t="s">
        <v>13</v>
      </c>
      <c r="BE218" s="53"/>
      <c r="BF218" s="53">
        <v>0</v>
      </c>
      <c r="BG218" s="53"/>
      <c r="BH218" s="53">
        <v>0</v>
      </c>
      <c r="BI218" s="53"/>
      <c r="BJ218" s="53">
        <f>1267148+48056</f>
        <v>1315204</v>
      </c>
      <c r="BK218" s="53"/>
      <c r="BL218" s="53">
        <f>24039+5425+662+8000+12121+1894</f>
        <v>52141</v>
      </c>
      <c r="BM218" s="53"/>
      <c r="BN218" s="53">
        <f t="shared" ref="BN218:BN238" si="59">SUM(BF218:BL218)</f>
        <v>1367345</v>
      </c>
      <c r="BO218" s="54"/>
      <c r="BS218" s="55"/>
      <c r="BT218" s="55"/>
      <c r="BU218" s="84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</row>
    <row r="219" spans="1:95" s="35" customFormat="1" ht="12.75" hidden="1" customHeight="1" x14ac:dyDescent="0.2">
      <c r="A219" s="35" t="s">
        <v>245</v>
      </c>
      <c r="B219" s="51"/>
      <c r="C219" s="35" t="s">
        <v>110</v>
      </c>
      <c r="D219" s="44"/>
      <c r="E219" s="53">
        <f t="shared" si="56"/>
        <v>0</v>
      </c>
      <c r="F219" s="53"/>
      <c r="G219" s="53"/>
      <c r="H219" s="53"/>
      <c r="I219" s="53"/>
      <c r="J219" s="53"/>
      <c r="K219" s="53">
        <f t="shared" si="57"/>
        <v>0</v>
      </c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>
        <f t="shared" si="54"/>
        <v>0</v>
      </c>
      <c r="Z219" s="35" t="s">
        <v>245</v>
      </c>
      <c r="AA219" s="53"/>
      <c r="AB219" s="35" t="s">
        <v>110</v>
      </c>
      <c r="AC219" s="51"/>
      <c r="AD219" s="53"/>
      <c r="AE219" s="53"/>
      <c r="AF219" s="53"/>
      <c r="AG219" s="53"/>
      <c r="AH219" s="53"/>
      <c r="AI219" s="53"/>
      <c r="AJ219" s="45">
        <f t="shared" si="50"/>
        <v>0</v>
      </c>
      <c r="AK219" s="45"/>
      <c r="AL219" s="53"/>
      <c r="AM219" s="45"/>
      <c r="AN219" s="53"/>
      <c r="AO219" s="53"/>
      <c r="AP219" s="53"/>
      <c r="AQ219" s="53"/>
      <c r="AR219" s="53"/>
      <c r="AS219" s="53"/>
      <c r="AT219" s="45">
        <f t="shared" si="51"/>
        <v>0</v>
      </c>
      <c r="AU219" s="45"/>
      <c r="AV219" s="53">
        <v>0</v>
      </c>
      <c r="AW219" s="53"/>
      <c r="AX219" s="53">
        <v>0</v>
      </c>
      <c r="AY219" s="53"/>
      <c r="AZ219" s="53">
        <f t="shared" si="55"/>
        <v>0</v>
      </c>
      <c r="BA219" s="51"/>
      <c r="BB219" s="35" t="s">
        <v>245</v>
      </c>
      <c r="BD219" s="35" t="s">
        <v>110</v>
      </c>
      <c r="BE219" s="53"/>
      <c r="BF219" s="53"/>
      <c r="BG219" s="53"/>
      <c r="BH219" s="53"/>
      <c r="BI219" s="53"/>
      <c r="BJ219" s="53"/>
      <c r="BK219" s="53"/>
      <c r="BL219" s="53"/>
      <c r="BM219" s="53"/>
      <c r="BN219" s="53">
        <f t="shared" si="59"/>
        <v>0</v>
      </c>
      <c r="BO219" s="54"/>
      <c r="BP219" s="55"/>
      <c r="BS219" s="55"/>
      <c r="BT219" s="55"/>
      <c r="BU219" s="84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</row>
    <row r="220" spans="1:95" s="35" customFormat="1" ht="12.75" customHeight="1" x14ac:dyDescent="0.2">
      <c r="A220" s="35" t="s">
        <v>246</v>
      </c>
      <c r="B220" s="51"/>
      <c r="C220" s="35" t="s">
        <v>209</v>
      </c>
      <c r="D220" s="44"/>
      <c r="E220" s="53">
        <f t="shared" si="56"/>
        <v>3694698</v>
      </c>
      <c r="F220" s="53"/>
      <c r="G220" s="53">
        <v>10604199</v>
      </c>
      <c r="H220" s="53"/>
      <c r="I220" s="53">
        <v>14298897</v>
      </c>
      <c r="J220" s="53"/>
      <c r="K220" s="53">
        <f t="shared" si="57"/>
        <v>1838075</v>
      </c>
      <c r="L220" s="53"/>
      <c r="M220" s="53">
        <v>709513</v>
      </c>
      <c r="N220" s="53"/>
      <c r="O220" s="53">
        <v>2547588</v>
      </c>
      <c r="P220" s="53"/>
      <c r="Q220" s="53">
        <v>8188826</v>
      </c>
      <c r="R220" s="53"/>
      <c r="S220" s="53">
        <v>0</v>
      </c>
      <c r="T220" s="53"/>
      <c r="U220" s="53">
        <v>3562483</v>
      </c>
      <c r="V220" s="53"/>
      <c r="W220" s="53">
        <f t="shared" si="54"/>
        <v>11751309</v>
      </c>
      <c r="X220" s="51"/>
      <c r="Y220" s="51"/>
      <c r="Z220" s="35" t="s">
        <v>246</v>
      </c>
      <c r="AA220" s="53"/>
      <c r="AB220" s="35" t="s">
        <v>209</v>
      </c>
      <c r="AC220" s="51"/>
      <c r="AD220" s="53">
        <v>2240758</v>
      </c>
      <c r="AE220" s="53"/>
      <c r="AF220" s="53">
        <f>2309604-318433</f>
        <v>1991171</v>
      </c>
      <c r="AG220" s="53"/>
      <c r="AH220" s="53">
        <v>318433</v>
      </c>
      <c r="AI220" s="53"/>
      <c r="AJ220" s="45">
        <f t="shared" si="50"/>
        <v>-68846</v>
      </c>
      <c r="AK220" s="45"/>
      <c r="AL220" s="53">
        <v>-118905</v>
      </c>
      <c r="AM220" s="45"/>
      <c r="AN220" s="53">
        <v>0</v>
      </c>
      <c r="AO220" s="53"/>
      <c r="AP220" s="53">
        <v>5605</v>
      </c>
      <c r="AQ220" s="53"/>
      <c r="AR220" s="53">
        <v>504377</v>
      </c>
      <c r="AS220" s="53"/>
      <c r="AT220" s="45">
        <f t="shared" si="51"/>
        <v>311021</v>
      </c>
      <c r="AU220" s="45"/>
      <c r="AV220" s="53">
        <v>0</v>
      </c>
      <c r="AW220" s="53"/>
      <c r="AX220" s="53">
        <v>0</v>
      </c>
      <c r="AY220" s="53"/>
      <c r="AZ220" s="53">
        <f t="shared" si="55"/>
        <v>1856623</v>
      </c>
      <c r="BA220" s="51"/>
      <c r="BB220" s="35" t="s">
        <v>246</v>
      </c>
      <c r="BD220" s="35" t="s">
        <v>209</v>
      </c>
      <c r="BE220" s="53"/>
      <c r="BF220" s="53">
        <v>0</v>
      </c>
      <c r="BG220" s="53"/>
      <c r="BH220" s="53">
        <v>0</v>
      </c>
      <c r="BI220" s="53"/>
      <c r="BJ220" s="53">
        <f>675655+30000</f>
        <v>705655</v>
      </c>
      <c r="BK220" s="53"/>
      <c r="BL220" s="53">
        <f>33858+24396</f>
        <v>58254</v>
      </c>
      <c r="BM220" s="53"/>
      <c r="BN220" s="53">
        <f t="shared" si="59"/>
        <v>763909</v>
      </c>
      <c r="BO220" s="54"/>
      <c r="BS220" s="55"/>
      <c r="BT220" s="55"/>
      <c r="BU220" s="84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</row>
    <row r="221" spans="1:95" s="126" customFormat="1" ht="12.75" hidden="1" customHeight="1" x14ac:dyDescent="0.2">
      <c r="A221" s="126" t="s">
        <v>247</v>
      </c>
      <c r="C221" s="126" t="s">
        <v>163</v>
      </c>
      <c r="D221" s="121"/>
      <c r="E221" s="137">
        <f t="shared" si="56"/>
        <v>30600000</v>
      </c>
      <c r="F221" s="137"/>
      <c r="G221" s="137">
        <v>208212000</v>
      </c>
      <c r="H221" s="137"/>
      <c r="I221" s="137">
        <v>238812000</v>
      </c>
      <c r="J221" s="137"/>
      <c r="K221" s="137">
        <f t="shared" si="57"/>
        <v>13192000</v>
      </c>
      <c r="L221" s="137"/>
      <c r="M221" s="137">
        <v>76145000</v>
      </c>
      <c r="N221" s="137"/>
      <c r="O221" s="137">
        <v>89337000</v>
      </c>
      <c r="P221" s="137"/>
      <c r="Q221" s="137">
        <v>130586000</v>
      </c>
      <c r="R221" s="137"/>
      <c r="S221" s="137">
        <v>0</v>
      </c>
      <c r="T221" s="137"/>
      <c r="U221" s="137">
        <v>18889000</v>
      </c>
      <c r="V221" s="137"/>
      <c r="W221" s="137">
        <f t="shared" si="54"/>
        <v>149475000</v>
      </c>
      <c r="X221" s="124"/>
      <c r="Y221" s="124"/>
      <c r="Z221" s="126" t="s">
        <v>247</v>
      </c>
      <c r="AA221" s="137"/>
      <c r="AB221" s="126" t="s">
        <v>163</v>
      </c>
      <c r="AD221" s="137">
        <v>43250000</v>
      </c>
      <c r="AE221" s="137"/>
      <c r="AF221" s="137">
        <f>37365000-4766000</f>
        <v>32599000</v>
      </c>
      <c r="AG221" s="137"/>
      <c r="AH221" s="137">
        <v>4766000</v>
      </c>
      <c r="AI221" s="137"/>
      <c r="AJ221" s="127">
        <f t="shared" si="50"/>
        <v>5885000</v>
      </c>
      <c r="AK221" s="127"/>
      <c r="AL221" s="137">
        <v>-3393000</v>
      </c>
      <c r="AM221" s="127"/>
      <c r="AN221" s="137">
        <v>0</v>
      </c>
      <c r="AO221" s="137"/>
      <c r="AP221" s="137">
        <v>75000</v>
      </c>
      <c r="AQ221" s="137"/>
      <c r="AR221" s="137">
        <v>0</v>
      </c>
      <c r="AS221" s="137"/>
      <c r="AT221" s="127">
        <f t="shared" si="51"/>
        <v>2417000</v>
      </c>
      <c r="AU221" s="127"/>
      <c r="AV221" s="137">
        <v>0</v>
      </c>
      <c r="AW221" s="137"/>
      <c r="AX221" s="137">
        <v>0</v>
      </c>
      <c r="AY221" s="137"/>
      <c r="AZ221" s="137">
        <f t="shared" si="55"/>
        <v>17408000</v>
      </c>
      <c r="BA221" s="124"/>
      <c r="BB221" s="126" t="s">
        <v>247</v>
      </c>
      <c r="BD221" s="126" t="s">
        <v>163</v>
      </c>
      <c r="BE221" s="137"/>
      <c r="BF221" s="137">
        <f>73118000+6394000</f>
        <v>79512000</v>
      </c>
      <c r="BG221" s="137"/>
      <c r="BH221" s="137">
        <v>0</v>
      </c>
      <c r="BI221" s="137"/>
      <c r="BJ221" s="137">
        <v>0</v>
      </c>
      <c r="BK221" s="137"/>
      <c r="BL221" s="137">
        <f>3027000+92000</f>
        <v>3119000</v>
      </c>
      <c r="BM221" s="137"/>
      <c r="BN221" s="137">
        <f t="shared" si="59"/>
        <v>82631000</v>
      </c>
      <c r="BO221" s="139"/>
      <c r="BP221" s="122" t="s">
        <v>513</v>
      </c>
      <c r="BS221" s="140"/>
      <c r="BT221" s="140"/>
      <c r="BU221" s="141"/>
      <c r="BV221" s="140"/>
      <c r="BW221" s="140"/>
      <c r="BX221" s="140"/>
      <c r="BY221" s="140"/>
      <c r="BZ221" s="140"/>
      <c r="CA221" s="140"/>
      <c r="CB221" s="140"/>
      <c r="CC221" s="140"/>
      <c r="CD221" s="140"/>
      <c r="CE221" s="140"/>
      <c r="CF221" s="140"/>
      <c r="CG221" s="140"/>
      <c r="CH221" s="140"/>
      <c r="CI221" s="140"/>
      <c r="CJ221" s="140"/>
      <c r="CK221" s="140"/>
      <c r="CL221" s="140"/>
      <c r="CM221" s="140"/>
      <c r="CN221" s="140"/>
      <c r="CO221" s="140"/>
      <c r="CP221" s="140"/>
      <c r="CQ221" s="140"/>
    </row>
    <row r="222" spans="1:95" s="35" customFormat="1" ht="12.75" customHeight="1" x14ac:dyDescent="0.2">
      <c r="A222" s="35" t="s">
        <v>248</v>
      </c>
      <c r="B222" s="51"/>
      <c r="C222" s="35" t="s">
        <v>249</v>
      </c>
      <c r="D222" s="44"/>
      <c r="E222" s="53">
        <f t="shared" si="56"/>
        <v>1075951</v>
      </c>
      <c r="F222" s="53"/>
      <c r="G222" s="53">
        <v>13030793</v>
      </c>
      <c r="H222" s="53"/>
      <c r="I222" s="53">
        <v>14106744</v>
      </c>
      <c r="J222" s="53"/>
      <c r="K222" s="53">
        <f t="shared" si="57"/>
        <v>689567</v>
      </c>
      <c r="L222" s="53"/>
      <c r="M222" s="53">
        <v>10679595</v>
      </c>
      <c r="N222" s="53"/>
      <c r="O222" s="53">
        <v>11369162</v>
      </c>
      <c r="P222" s="53"/>
      <c r="Q222" s="53">
        <v>1750340</v>
      </c>
      <c r="R222" s="53"/>
      <c r="S222" s="53">
        <v>0</v>
      </c>
      <c r="T222" s="53"/>
      <c r="U222" s="53">
        <v>987242</v>
      </c>
      <c r="V222" s="53"/>
      <c r="W222" s="53">
        <f t="shared" si="54"/>
        <v>2737582</v>
      </c>
      <c r="Z222" s="35" t="s">
        <v>248</v>
      </c>
      <c r="AA222" s="53"/>
      <c r="AB222" s="35" t="s">
        <v>249</v>
      </c>
      <c r="AC222" s="51"/>
      <c r="AD222" s="53">
        <v>2271567</v>
      </c>
      <c r="AE222" s="53"/>
      <c r="AF222" s="53">
        <f>1595807-409175</f>
        <v>1186632</v>
      </c>
      <c r="AG222" s="53"/>
      <c r="AH222" s="53">
        <v>409175</v>
      </c>
      <c r="AI222" s="53"/>
      <c r="AJ222" s="45">
        <f t="shared" si="50"/>
        <v>675760</v>
      </c>
      <c r="AK222" s="45"/>
      <c r="AL222" s="53">
        <f>1575-369822</f>
        <v>-368247</v>
      </c>
      <c r="AM222" s="45"/>
      <c r="AN222" s="53">
        <v>0</v>
      </c>
      <c r="AO222" s="53"/>
      <c r="AP222" s="53">
        <v>0</v>
      </c>
      <c r="AQ222" s="53"/>
      <c r="AR222" s="53">
        <v>0</v>
      </c>
      <c r="AS222" s="53"/>
      <c r="AT222" s="45">
        <f t="shared" ref="AT222:AT242" si="60">+AJ222+AL222+AN222-AP222+AR222</f>
        <v>307513</v>
      </c>
      <c r="AU222" s="45"/>
      <c r="AV222" s="53">
        <v>0</v>
      </c>
      <c r="AW222" s="53"/>
      <c r="AX222" s="53">
        <v>0</v>
      </c>
      <c r="AY222" s="53"/>
      <c r="AZ222" s="53">
        <f t="shared" si="55"/>
        <v>386384</v>
      </c>
      <c r="BA222" s="51"/>
      <c r="BB222" s="35" t="s">
        <v>248</v>
      </c>
      <c r="BD222" s="35" t="s">
        <v>249</v>
      </c>
      <c r="BE222" s="53"/>
      <c r="BF222" s="53">
        <v>0</v>
      </c>
      <c r="BG222" s="53"/>
      <c r="BH222" s="53">
        <v>0</v>
      </c>
      <c r="BI222" s="53"/>
      <c r="BJ222" s="53">
        <f>10627592+652860</f>
        <v>11280452</v>
      </c>
      <c r="BK222" s="53"/>
      <c r="BL222" s="53">
        <f>52003+4866</f>
        <v>56869</v>
      </c>
      <c r="BM222" s="53"/>
      <c r="BN222" s="53">
        <f>SUM(BF222:BL222)</f>
        <v>11337321</v>
      </c>
      <c r="BO222" s="54"/>
      <c r="BP222" s="55"/>
      <c r="BS222" s="55"/>
      <c r="BT222" s="55"/>
      <c r="BU222" s="84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</row>
    <row r="223" spans="1:95" s="35" customFormat="1" ht="12.75" customHeight="1" x14ac:dyDescent="0.2">
      <c r="A223" s="35" t="s">
        <v>250</v>
      </c>
      <c r="B223" s="51"/>
      <c r="C223" s="35" t="s">
        <v>103</v>
      </c>
      <c r="D223" s="44"/>
      <c r="E223" s="53">
        <f t="shared" si="56"/>
        <v>730650</v>
      </c>
      <c r="F223" s="53"/>
      <c r="G223" s="53">
        <v>9529968</v>
      </c>
      <c r="H223" s="53"/>
      <c r="I223" s="53">
        <v>10260618</v>
      </c>
      <c r="J223" s="53"/>
      <c r="K223" s="53">
        <f t="shared" si="57"/>
        <v>2361766</v>
      </c>
      <c r="L223" s="53"/>
      <c r="M223" s="53">
        <v>6824368</v>
      </c>
      <c r="N223" s="53"/>
      <c r="O223" s="53">
        <v>9186134</v>
      </c>
      <c r="P223" s="53"/>
      <c r="Q223" s="53">
        <v>212306</v>
      </c>
      <c r="R223" s="53"/>
      <c r="S223" s="53">
        <v>563938</v>
      </c>
      <c r="T223" s="53"/>
      <c r="U223" s="53">
        <v>298240</v>
      </c>
      <c r="V223" s="53"/>
      <c r="W223" s="53">
        <f t="shared" si="54"/>
        <v>1074484</v>
      </c>
      <c r="X223" s="51"/>
      <c r="Y223" s="51"/>
      <c r="Z223" s="35" t="s">
        <v>250</v>
      </c>
      <c r="AA223" s="53"/>
      <c r="AB223" s="35" t="s">
        <v>103</v>
      </c>
      <c r="AC223" s="51"/>
      <c r="AD223" s="53">
        <v>1369115</v>
      </c>
      <c r="AE223" s="53"/>
      <c r="AF223" s="53">
        <f>1198631-216060</f>
        <v>982571</v>
      </c>
      <c r="AG223" s="53"/>
      <c r="AH223" s="53">
        <v>216060</v>
      </c>
      <c r="AI223" s="53"/>
      <c r="AJ223" s="45">
        <f t="shared" si="50"/>
        <v>170484</v>
      </c>
      <c r="AK223" s="45"/>
      <c r="AL223" s="53">
        <v>-393092</v>
      </c>
      <c r="AM223" s="45"/>
      <c r="AN223" s="53">
        <v>0</v>
      </c>
      <c r="AO223" s="53"/>
      <c r="AP223" s="53">
        <v>0</v>
      </c>
      <c r="AQ223" s="53"/>
      <c r="AR223" s="53">
        <v>0</v>
      </c>
      <c r="AS223" s="53"/>
      <c r="AT223" s="45">
        <f t="shared" si="60"/>
        <v>-222608</v>
      </c>
      <c r="AU223" s="45"/>
      <c r="AV223" s="53">
        <v>0</v>
      </c>
      <c r="AW223" s="53"/>
      <c r="AX223" s="53">
        <v>0</v>
      </c>
      <c r="AY223" s="53"/>
      <c r="AZ223" s="53">
        <f t="shared" si="55"/>
        <v>-1631116</v>
      </c>
      <c r="BA223" s="51"/>
      <c r="BB223" s="35" t="s">
        <v>250</v>
      </c>
      <c r="BD223" s="35" t="s">
        <v>103</v>
      </c>
      <c r="BE223" s="53"/>
      <c r="BF223" s="53">
        <v>0</v>
      </c>
      <c r="BG223" s="53"/>
      <c r="BH223" s="53">
        <f>6800360+170000</f>
        <v>6970360</v>
      </c>
      <c r="BI223" s="53"/>
      <c r="BJ223" s="53">
        <v>0</v>
      </c>
      <c r="BK223" s="53"/>
      <c r="BL223" s="53">
        <f>24008+16964</f>
        <v>40972</v>
      </c>
      <c r="BM223" s="53"/>
      <c r="BN223" s="53">
        <f>SUM(BF223:BL223)</f>
        <v>7011332</v>
      </c>
      <c r="BO223" s="54"/>
      <c r="BS223" s="55"/>
      <c r="BT223" s="55"/>
      <c r="BU223" s="84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</row>
    <row r="224" spans="1:95" s="35" customFormat="1" ht="12.75" customHeight="1" x14ac:dyDescent="0.2">
      <c r="A224" s="35" t="s">
        <v>251</v>
      </c>
      <c r="B224" s="51"/>
      <c r="C224" s="35" t="s">
        <v>66</v>
      </c>
      <c r="D224" s="44"/>
      <c r="E224" s="53">
        <f t="shared" si="56"/>
        <v>1255140</v>
      </c>
      <c r="F224" s="53"/>
      <c r="G224" s="53">
        <v>356174</v>
      </c>
      <c r="H224" s="53"/>
      <c r="I224" s="53">
        <v>1611314</v>
      </c>
      <c r="J224" s="53"/>
      <c r="K224" s="53">
        <f t="shared" si="57"/>
        <v>416954</v>
      </c>
      <c r="L224" s="53"/>
      <c r="M224" s="53">
        <v>1069</v>
      </c>
      <c r="N224" s="53"/>
      <c r="O224" s="53">
        <v>418023</v>
      </c>
      <c r="P224" s="53"/>
      <c r="Q224" s="53">
        <v>356174</v>
      </c>
      <c r="R224" s="53"/>
      <c r="S224" s="53">
        <v>0</v>
      </c>
      <c r="T224" s="53"/>
      <c r="U224" s="53">
        <v>837117</v>
      </c>
      <c r="V224" s="53"/>
      <c r="W224" s="53">
        <f t="shared" si="54"/>
        <v>1193291</v>
      </c>
      <c r="Z224" s="35" t="s">
        <v>251</v>
      </c>
      <c r="AA224" s="53"/>
      <c r="AB224" s="35" t="s">
        <v>66</v>
      </c>
      <c r="AC224" s="51"/>
      <c r="AD224" s="53">
        <v>1440378</v>
      </c>
      <c r="AE224" s="53"/>
      <c r="AF224" s="53">
        <f>1321039-11089</f>
        <v>1309950</v>
      </c>
      <c r="AG224" s="53"/>
      <c r="AH224" s="53">
        <v>11089</v>
      </c>
      <c r="AI224" s="53"/>
      <c r="AJ224" s="45">
        <f t="shared" si="50"/>
        <v>119339</v>
      </c>
      <c r="AK224" s="45"/>
      <c r="AL224" s="53">
        <v>-17369</v>
      </c>
      <c r="AM224" s="45"/>
      <c r="AN224" s="53">
        <v>0</v>
      </c>
      <c r="AO224" s="53"/>
      <c r="AP224" s="53">
        <v>11250</v>
      </c>
      <c r="AQ224" s="53"/>
      <c r="AR224" s="53">
        <v>0</v>
      </c>
      <c r="AS224" s="53"/>
      <c r="AT224" s="45">
        <f t="shared" si="60"/>
        <v>90720</v>
      </c>
      <c r="AU224" s="45"/>
      <c r="AV224" s="53">
        <v>0</v>
      </c>
      <c r="AW224" s="53"/>
      <c r="AX224" s="53">
        <v>0</v>
      </c>
      <c r="AY224" s="53"/>
      <c r="AZ224" s="53">
        <f t="shared" si="55"/>
        <v>838186</v>
      </c>
      <c r="BA224" s="51"/>
      <c r="BB224" s="35" t="s">
        <v>251</v>
      </c>
      <c r="BD224" s="35" t="s">
        <v>66</v>
      </c>
      <c r="BE224" s="53"/>
      <c r="BF224" s="53">
        <v>0</v>
      </c>
      <c r="BG224" s="53"/>
      <c r="BH224" s="53">
        <v>0</v>
      </c>
      <c r="BI224" s="53"/>
      <c r="BJ224" s="53">
        <v>0</v>
      </c>
      <c r="BK224" s="53"/>
      <c r="BL224" s="53">
        <f>1069+2774</f>
        <v>3843</v>
      </c>
      <c r="BM224" s="53"/>
      <c r="BN224" s="53">
        <f t="shared" si="59"/>
        <v>3843</v>
      </c>
      <c r="BO224" s="54"/>
      <c r="BP224" s="55"/>
      <c r="BS224" s="55"/>
      <c r="BT224" s="55"/>
      <c r="BU224" s="84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</row>
    <row r="225" spans="1:95" s="35" customFormat="1" ht="12.75" customHeight="1" x14ac:dyDescent="0.2">
      <c r="A225" s="35" t="s">
        <v>252</v>
      </c>
      <c r="B225" s="51"/>
      <c r="C225" s="35" t="s">
        <v>209</v>
      </c>
      <c r="D225" s="44"/>
      <c r="E225" s="53">
        <f t="shared" si="56"/>
        <v>6148195</v>
      </c>
      <c r="F225" s="53"/>
      <c r="G225" s="53">
        <v>20757318</v>
      </c>
      <c r="H225" s="53"/>
      <c r="I225" s="53">
        <v>26905513</v>
      </c>
      <c r="J225" s="53"/>
      <c r="K225" s="53">
        <f t="shared" si="57"/>
        <v>1080666</v>
      </c>
      <c r="L225" s="53"/>
      <c r="M225" s="53">
        <v>3968847</v>
      </c>
      <c r="N225" s="53"/>
      <c r="O225" s="53">
        <v>5049513</v>
      </c>
      <c r="P225" s="53"/>
      <c r="Q225" s="53">
        <v>16087318</v>
      </c>
      <c r="R225" s="53"/>
      <c r="S225" s="53">
        <v>0</v>
      </c>
      <c r="T225" s="53"/>
      <c r="U225" s="53">
        <v>5768682</v>
      </c>
      <c r="V225" s="53"/>
      <c r="W225" s="53">
        <f t="shared" si="54"/>
        <v>21856000</v>
      </c>
      <c r="X225" s="51"/>
      <c r="Y225" s="51"/>
      <c r="Z225" s="35" t="s">
        <v>252</v>
      </c>
      <c r="AA225" s="53"/>
      <c r="AB225" s="35" t="s">
        <v>209</v>
      </c>
      <c r="AC225" s="51"/>
      <c r="AD225" s="53">
        <v>4580495</v>
      </c>
      <c r="AE225" s="53"/>
      <c r="AF225" s="53">
        <f>3738340-1015715</f>
        <v>2722625</v>
      </c>
      <c r="AG225" s="53"/>
      <c r="AH225" s="53">
        <v>1015715</v>
      </c>
      <c r="AI225" s="53"/>
      <c r="AJ225" s="45">
        <f t="shared" si="50"/>
        <v>842155</v>
      </c>
      <c r="AK225" s="45"/>
      <c r="AL225" s="53">
        <v>-217885</v>
      </c>
      <c r="AM225" s="45"/>
      <c r="AN225" s="53">
        <v>0</v>
      </c>
      <c r="AO225" s="53"/>
      <c r="AP225" s="53">
        <v>0</v>
      </c>
      <c r="AQ225" s="53"/>
      <c r="AR225" s="53">
        <v>315150</v>
      </c>
      <c r="AS225" s="53"/>
      <c r="AT225" s="45">
        <f t="shared" si="60"/>
        <v>939420</v>
      </c>
      <c r="AU225" s="45"/>
      <c r="AV225" s="53">
        <v>0</v>
      </c>
      <c r="AW225" s="53"/>
      <c r="AX225" s="53">
        <v>0</v>
      </c>
      <c r="AY225" s="53"/>
      <c r="AZ225" s="53">
        <f t="shared" si="55"/>
        <v>5067529</v>
      </c>
      <c r="BA225" s="51"/>
      <c r="BB225" s="35" t="s">
        <v>252</v>
      </c>
      <c r="BD225" s="35" t="s">
        <v>209</v>
      </c>
      <c r="BE225" s="53"/>
      <c r="BF225" s="53">
        <f>3835000+835000</f>
        <v>4670000</v>
      </c>
      <c r="BG225" s="53"/>
      <c r="BH225" s="53">
        <v>0</v>
      </c>
      <c r="BI225" s="53"/>
      <c r="BJ225" s="53">
        <v>0</v>
      </c>
      <c r="BK225" s="53"/>
      <c r="BL225" s="53">
        <f>133847+64720</f>
        <v>198567</v>
      </c>
      <c r="BM225" s="53"/>
      <c r="BN225" s="53">
        <f t="shared" si="59"/>
        <v>4868567</v>
      </c>
      <c r="BO225" s="54"/>
      <c r="BS225" s="55"/>
      <c r="BT225" s="55"/>
      <c r="BU225" s="84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</row>
    <row r="226" spans="1:95" s="126" customFormat="1" ht="12.75" hidden="1" customHeight="1" x14ac:dyDescent="0.2">
      <c r="A226" s="126" t="s">
        <v>253</v>
      </c>
      <c r="B226" s="124"/>
      <c r="C226" s="126" t="s">
        <v>13</v>
      </c>
      <c r="D226" s="121"/>
      <c r="E226" s="53">
        <f t="shared" si="56"/>
        <v>0</v>
      </c>
      <c r="F226" s="53"/>
      <c r="G226" s="53"/>
      <c r="H226" s="53"/>
      <c r="I226" s="53"/>
      <c r="J226" s="53"/>
      <c r="K226" s="53">
        <f t="shared" si="57"/>
        <v>0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>
        <f t="shared" si="54"/>
        <v>0</v>
      </c>
      <c r="X226" s="124"/>
      <c r="Y226" s="124"/>
      <c r="Z226" s="126" t="s">
        <v>253</v>
      </c>
      <c r="AA226" s="137"/>
      <c r="AB226" s="126" t="s">
        <v>13</v>
      </c>
      <c r="AC226" s="124"/>
      <c r="AD226" s="53"/>
      <c r="AE226" s="53"/>
      <c r="AF226" s="53"/>
      <c r="AG226" s="53"/>
      <c r="AH226" s="53"/>
      <c r="AI226" s="53"/>
      <c r="AJ226" s="45">
        <f t="shared" si="50"/>
        <v>0</v>
      </c>
      <c r="AK226" s="45"/>
      <c r="AL226" s="53"/>
      <c r="AM226" s="45"/>
      <c r="AN226" s="53"/>
      <c r="AO226" s="53"/>
      <c r="AP226" s="53"/>
      <c r="AQ226" s="53"/>
      <c r="AR226" s="53"/>
      <c r="AS226" s="53"/>
      <c r="AT226" s="45">
        <f t="shared" si="60"/>
        <v>0</v>
      </c>
      <c r="AU226" s="45"/>
      <c r="AV226" s="53">
        <v>0</v>
      </c>
      <c r="AW226" s="53"/>
      <c r="AX226" s="53">
        <v>0</v>
      </c>
      <c r="AY226" s="53"/>
      <c r="AZ226" s="53">
        <f t="shared" si="55"/>
        <v>0</v>
      </c>
      <c r="BA226" s="124"/>
      <c r="BB226" s="126" t="s">
        <v>253</v>
      </c>
      <c r="BD226" s="126" t="s">
        <v>13</v>
      </c>
      <c r="BE226" s="137"/>
      <c r="BF226" s="53"/>
      <c r="BG226" s="53"/>
      <c r="BH226" s="53"/>
      <c r="BI226" s="53"/>
      <c r="BJ226" s="53"/>
      <c r="BK226" s="53"/>
      <c r="BL226" s="53"/>
      <c r="BM226" s="137"/>
      <c r="BN226" s="137">
        <f t="shared" si="59"/>
        <v>0</v>
      </c>
      <c r="BO226" s="139"/>
      <c r="BS226" s="140"/>
      <c r="BT226" s="140"/>
      <c r="BU226" s="141"/>
      <c r="BV226" s="140"/>
      <c r="BW226" s="140"/>
      <c r="BX226" s="140"/>
      <c r="BY226" s="140"/>
      <c r="BZ226" s="140"/>
      <c r="CA226" s="140"/>
      <c r="CB226" s="140"/>
      <c r="CC226" s="140"/>
      <c r="CD226" s="140"/>
      <c r="CE226" s="140"/>
      <c r="CF226" s="140"/>
      <c r="CG226" s="140"/>
      <c r="CH226" s="140"/>
      <c r="CI226" s="140"/>
      <c r="CJ226" s="140"/>
      <c r="CK226" s="140"/>
      <c r="CL226" s="140"/>
      <c r="CM226" s="140"/>
      <c r="CN226" s="140"/>
      <c r="CO226" s="140"/>
      <c r="CP226" s="140"/>
      <c r="CQ226" s="140"/>
    </row>
    <row r="227" spans="1:95" s="35" customFormat="1" ht="12.75" hidden="1" customHeight="1" x14ac:dyDescent="0.2">
      <c r="A227" s="35" t="s">
        <v>254</v>
      </c>
      <c r="B227" s="51"/>
      <c r="C227" s="35" t="s">
        <v>89</v>
      </c>
      <c r="D227" s="44"/>
      <c r="E227" s="53">
        <f t="shared" si="56"/>
        <v>0</v>
      </c>
      <c r="F227" s="53"/>
      <c r="G227" s="53"/>
      <c r="H227" s="53"/>
      <c r="I227" s="53"/>
      <c r="J227" s="53"/>
      <c r="K227" s="53">
        <f t="shared" si="57"/>
        <v>0</v>
      </c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>
        <f t="shared" si="54"/>
        <v>0</v>
      </c>
      <c r="X227" s="51"/>
      <c r="Y227" s="51"/>
      <c r="Z227" s="35" t="s">
        <v>254</v>
      </c>
      <c r="AA227" s="53"/>
      <c r="AB227" s="35" t="s">
        <v>89</v>
      </c>
      <c r="AC227" s="51"/>
      <c r="AD227" s="53"/>
      <c r="AE227" s="53"/>
      <c r="AF227" s="53"/>
      <c r="AG227" s="53"/>
      <c r="AH227" s="53"/>
      <c r="AI227" s="53"/>
      <c r="AJ227" s="45">
        <f t="shared" ref="AJ227:AJ242" si="61">+AD227-AF227-AH227</f>
        <v>0</v>
      </c>
      <c r="AK227" s="45"/>
      <c r="AL227" s="53"/>
      <c r="AM227" s="45"/>
      <c r="AN227" s="53"/>
      <c r="AO227" s="53"/>
      <c r="AP227" s="53"/>
      <c r="AQ227" s="53"/>
      <c r="AR227" s="53"/>
      <c r="AS227" s="53"/>
      <c r="AT227" s="45">
        <f t="shared" si="60"/>
        <v>0</v>
      </c>
      <c r="AU227" s="45"/>
      <c r="AV227" s="53">
        <v>0</v>
      </c>
      <c r="AW227" s="53"/>
      <c r="AX227" s="53">
        <v>0</v>
      </c>
      <c r="AY227" s="53"/>
      <c r="AZ227" s="53">
        <f t="shared" si="55"/>
        <v>0</v>
      </c>
      <c r="BA227" s="51"/>
      <c r="BB227" s="35" t="s">
        <v>254</v>
      </c>
      <c r="BD227" s="35" t="s">
        <v>89</v>
      </c>
      <c r="BE227" s="53"/>
      <c r="BF227" s="53"/>
      <c r="BG227" s="53"/>
      <c r="BH227" s="53"/>
      <c r="BI227" s="53"/>
      <c r="BJ227" s="53"/>
      <c r="BK227" s="53"/>
      <c r="BL227" s="53"/>
      <c r="BM227" s="53"/>
      <c r="BN227" s="53">
        <f t="shared" si="59"/>
        <v>0</v>
      </c>
      <c r="BO227" s="54"/>
      <c r="BS227" s="55"/>
      <c r="BT227" s="55"/>
      <c r="BU227" s="84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</row>
    <row r="228" spans="1:95" s="35" customFormat="1" ht="12.75" customHeight="1" x14ac:dyDescent="0.2">
      <c r="A228" s="35" t="s">
        <v>159</v>
      </c>
      <c r="C228" s="35" t="s">
        <v>66</v>
      </c>
      <c r="D228" s="44"/>
      <c r="E228" s="53">
        <f t="shared" si="56"/>
        <v>401828</v>
      </c>
      <c r="F228" s="53"/>
      <c r="G228" s="53">
        <v>5191942</v>
      </c>
      <c r="H228" s="53"/>
      <c r="I228" s="53">
        <v>5593770</v>
      </c>
      <c r="J228" s="53"/>
      <c r="K228" s="53">
        <f t="shared" si="57"/>
        <v>163629</v>
      </c>
      <c r="L228" s="53"/>
      <c r="M228" s="53">
        <v>1670676</v>
      </c>
      <c r="N228" s="53"/>
      <c r="O228" s="53">
        <v>1834305</v>
      </c>
      <c r="P228" s="53"/>
      <c r="Q228" s="53">
        <v>3467545</v>
      </c>
      <c r="R228" s="53"/>
      <c r="S228" s="53">
        <v>0</v>
      </c>
      <c r="T228" s="53"/>
      <c r="U228" s="53">
        <v>291920</v>
      </c>
      <c r="V228" s="53"/>
      <c r="W228" s="53">
        <f t="shared" si="54"/>
        <v>3759465</v>
      </c>
      <c r="X228" s="51"/>
      <c r="Y228" s="51"/>
      <c r="Z228" s="35" t="s">
        <v>159</v>
      </c>
      <c r="AA228" s="53"/>
      <c r="AB228" s="35" t="s">
        <v>66</v>
      </c>
      <c r="AD228" s="53">
        <v>509829</v>
      </c>
      <c r="AE228" s="53"/>
      <c r="AF228" s="53">
        <f>423622-166885</f>
        <v>256737</v>
      </c>
      <c r="AG228" s="53"/>
      <c r="AH228" s="53">
        <v>166885</v>
      </c>
      <c r="AI228" s="53"/>
      <c r="AJ228" s="45">
        <f t="shared" si="61"/>
        <v>86207</v>
      </c>
      <c r="AK228" s="45"/>
      <c r="AL228" s="53">
        <v>207632</v>
      </c>
      <c r="AM228" s="45"/>
      <c r="AN228" s="53">
        <v>0</v>
      </c>
      <c r="AO228" s="53"/>
      <c r="AP228" s="53">
        <v>0</v>
      </c>
      <c r="AQ228" s="53"/>
      <c r="AR228" s="53">
        <v>0</v>
      </c>
      <c r="AS228" s="53"/>
      <c r="AT228" s="45">
        <f t="shared" si="60"/>
        <v>293839</v>
      </c>
      <c r="AU228" s="45"/>
      <c r="AV228" s="53">
        <v>0</v>
      </c>
      <c r="AW228" s="53"/>
      <c r="AX228" s="53">
        <v>0</v>
      </c>
      <c r="AY228" s="53"/>
      <c r="AZ228" s="53">
        <f t="shared" si="55"/>
        <v>238199</v>
      </c>
      <c r="BA228" s="51"/>
      <c r="BB228" s="35" t="s">
        <v>159</v>
      </c>
      <c r="BD228" s="35" t="s">
        <v>66</v>
      </c>
      <c r="BE228" s="53"/>
      <c r="BF228" s="53">
        <f>57222+13528</f>
        <v>70750</v>
      </c>
      <c r="BG228" s="53"/>
      <c r="BH228" s="53">
        <v>0</v>
      </c>
      <c r="BI228" s="53"/>
      <c r="BJ228" s="53">
        <f>1575012+59645</f>
        <v>1634657</v>
      </c>
      <c r="BK228" s="53"/>
      <c r="BL228" s="53">
        <f>28361+10081+439+4330</f>
        <v>43211</v>
      </c>
      <c r="BM228" s="53"/>
      <c r="BN228" s="53">
        <f>SUM(BF228:BL228)</f>
        <v>1748618</v>
      </c>
      <c r="BO228" s="54"/>
      <c r="BS228" s="55"/>
      <c r="BT228" s="55"/>
      <c r="BU228" s="84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</row>
    <row r="229" spans="1:95" s="126" customFormat="1" ht="12.75" hidden="1" customHeight="1" x14ac:dyDescent="0.2">
      <c r="A229" s="126" t="s">
        <v>255</v>
      </c>
      <c r="B229" s="124"/>
      <c r="C229" s="126" t="s">
        <v>27</v>
      </c>
      <c r="D229" s="121"/>
      <c r="E229" s="53">
        <f t="shared" si="56"/>
        <v>0</v>
      </c>
      <c r="F229" s="53"/>
      <c r="G229" s="53"/>
      <c r="H229" s="53"/>
      <c r="I229" s="53"/>
      <c r="J229" s="53"/>
      <c r="K229" s="53">
        <f t="shared" si="57"/>
        <v>0</v>
      </c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>
        <f t="shared" si="54"/>
        <v>0</v>
      </c>
      <c r="X229" s="124"/>
      <c r="Y229" s="124"/>
      <c r="Z229" s="126" t="s">
        <v>255</v>
      </c>
      <c r="AA229" s="137"/>
      <c r="AB229" s="126" t="s">
        <v>27</v>
      </c>
      <c r="AC229" s="124"/>
      <c r="AD229" s="53"/>
      <c r="AE229" s="53"/>
      <c r="AF229" s="53"/>
      <c r="AG229" s="53"/>
      <c r="AH229" s="53"/>
      <c r="AI229" s="53"/>
      <c r="AJ229" s="45">
        <f t="shared" si="61"/>
        <v>0</v>
      </c>
      <c r="AK229" s="45"/>
      <c r="AL229" s="53"/>
      <c r="AM229" s="45"/>
      <c r="AN229" s="53"/>
      <c r="AO229" s="53"/>
      <c r="AP229" s="53"/>
      <c r="AQ229" s="53"/>
      <c r="AR229" s="53"/>
      <c r="AS229" s="53"/>
      <c r="AT229" s="45">
        <f t="shared" si="60"/>
        <v>0</v>
      </c>
      <c r="AU229" s="45"/>
      <c r="AV229" s="53">
        <v>0</v>
      </c>
      <c r="AW229" s="53"/>
      <c r="AX229" s="53">
        <v>0</v>
      </c>
      <c r="AY229" s="53"/>
      <c r="AZ229" s="53">
        <f t="shared" si="55"/>
        <v>0</v>
      </c>
      <c r="BA229" s="124"/>
      <c r="BB229" s="126" t="s">
        <v>255</v>
      </c>
      <c r="BD229" s="126" t="s">
        <v>27</v>
      </c>
      <c r="BE229" s="137"/>
      <c r="BF229" s="53"/>
      <c r="BG229" s="53"/>
      <c r="BH229" s="53"/>
      <c r="BI229" s="53"/>
      <c r="BJ229" s="53"/>
      <c r="BK229" s="53"/>
      <c r="BL229" s="53"/>
      <c r="BM229" s="137"/>
      <c r="BN229" s="137">
        <f t="shared" si="59"/>
        <v>0</v>
      </c>
      <c r="BO229" s="139"/>
      <c r="BS229" s="140"/>
      <c r="BT229" s="140"/>
      <c r="BU229" s="141"/>
      <c r="BV229" s="140"/>
      <c r="BW229" s="140"/>
      <c r="BX229" s="140"/>
      <c r="BY229" s="140"/>
      <c r="BZ229" s="140"/>
      <c r="CA229" s="140"/>
      <c r="CB229" s="140"/>
      <c r="CC229" s="140"/>
      <c r="CD229" s="140"/>
      <c r="CE229" s="140"/>
      <c r="CF229" s="140"/>
      <c r="CG229" s="140"/>
      <c r="CH229" s="140"/>
      <c r="CI229" s="140"/>
      <c r="CJ229" s="140"/>
      <c r="CK229" s="140"/>
      <c r="CL229" s="140"/>
      <c r="CM229" s="140"/>
      <c r="CN229" s="140"/>
      <c r="CO229" s="140"/>
      <c r="CP229" s="140"/>
      <c r="CQ229" s="140"/>
    </row>
    <row r="230" spans="1:95" s="35" customFormat="1" ht="12.75" customHeight="1" x14ac:dyDescent="0.2">
      <c r="A230" s="35" t="s">
        <v>256</v>
      </c>
      <c r="C230" s="35" t="s">
        <v>43</v>
      </c>
      <c r="D230" s="44"/>
      <c r="E230" s="53">
        <f t="shared" si="56"/>
        <v>336253</v>
      </c>
      <c r="F230" s="53"/>
      <c r="G230" s="53">
        <v>7609369</v>
      </c>
      <c r="H230" s="53"/>
      <c r="I230" s="53">
        <v>7945622</v>
      </c>
      <c r="J230" s="53"/>
      <c r="K230" s="53">
        <f t="shared" si="57"/>
        <v>121227</v>
      </c>
      <c r="L230" s="53"/>
      <c r="M230" s="53">
        <v>306107</v>
      </c>
      <c r="N230" s="53"/>
      <c r="O230" s="53">
        <v>427334</v>
      </c>
      <c r="P230" s="53"/>
      <c r="Q230" s="53">
        <v>7196038</v>
      </c>
      <c r="R230" s="53"/>
      <c r="S230" s="53">
        <v>0</v>
      </c>
      <c r="T230" s="53"/>
      <c r="U230" s="53">
        <v>322250</v>
      </c>
      <c r="V230" s="53"/>
      <c r="W230" s="53">
        <f t="shared" si="54"/>
        <v>7518288</v>
      </c>
      <c r="X230" s="51"/>
      <c r="Y230" s="51"/>
      <c r="Z230" s="35" t="s">
        <v>256</v>
      </c>
      <c r="AA230" s="53"/>
      <c r="AB230" s="35" t="s">
        <v>43</v>
      </c>
      <c r="AD230" s="53">
        <v>415257</v>
      </c>
      <c r="AE230" s="53"/>
      <c r="AF230" s="53">
        <f>553445-253212</f>
        <v>300233</v>
      </c>
      <c r="AG230" s="53"/>
      <c r="AH230" s="53">
        <v>253212</v>
      </c>
      <c r="AI230" s="53"/>
      <c r="AJ230" s="45">
        <f t="shared" si="61"/>
        <v>-138188</v>
      </c>
      <c r="AK230" s="45"/>
      <c r="AL230" s="53">
        <v>-15474</v>
      </c>
      <c r="AM230" s="45"/>
      <c r="AN230" s="53">
        <v>0</v>
      </c>
      <c r="AO230" s="53"/>
      <c r="AP230" s="53">
        <v>0</v>
      </c>
      <c r="AQ230" s="53"/>
      <c r="AR230" s="53">
        <v>789925</v>
      </c>
      <c r="AS230" s="53"/>
      <c r="AT230" s="45">
        <f t="shared" si="60"/>
        <v>636263</v>
      </c>
      <c r="AU230" s="45"/>
      <c r="AV230" s="53">
        <v>0</v>
      </c>
      <c r="AW230" s="53"/>
      <c r="AX230" s="53">
        <v>0</v>
      </c>
      <c r="AY230" s="53"/>
      <c r="AZ230" s="53">
        <f t="shared" si="55"/>
        <v>215026</v>
      </c>
      <c r="BA230" s="51"/>
      <c r="BB230" s="35" t="s">
        <v>256</v>
      </c>
      <c r="BD230" s="35" t="s">
        <v>43</v>
      </c>
      <c r="BE230" s="53"/>
      <c r="BF230" s="53">
        <v>0</v>
      </c>
      <c r="BG230" s="53"/>
      <c r="BH230" s="53">
        <v>0</v>
      </c>
      <c r="BI230" s="53"/>
      <c r="BJ230" s="53">
        <f>305941+107390</f>
        <v>413331</v>
      </c>
      <c r="BK230" s="53"/>
      <c r="BL230" s="53">
        <f>166+1627</f>
        <v>1793</v>
      </c>
      <c r="BM230" s="53"/>
      <c r="BN230" s="53">
        <f>SUM(BF230:BL230)</f>
        <v>415124</v>
      </c>
      <c r="BO230" s="54"/>
      <c r="BS230" s="55"/>
      <c r="BT230" s="55"/>
      <c r="BU230" s="84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</row>
    <row r="231" spans="1:95" s="35" customFormat="1" x14ac:dyDescent="0.2">
      <c r="A231" s="35" t="s">
        <v>257</v>
      </c>
      <c r="B231" s="51"/>
      <c r="C231" s="35" t="s">
        <v>258</v>
      </c>
      <c r="D231" s="44"/>
      <c r="E231" s="53">
        <f t="shared" si="56"/>
        <v>1963066</v>
      </c>
      <c r="F231" s="53"/>
      <c r="G231" s="53">
        <v>24366193</v>
      </c>
      <c r="H231" s="53"/>
      <c r="I231" s="53">
        <v>26329259</v>
      </c>
      <c r="J231" s="53"/>
      <c r="K231" s="53">
        <f t="shared" si="57"/>
        <v>944883</v>
      </c>
      <c r="L231" s="53"/>
      <c r="M231" s="53">
        <v>13911015</v>
      </c>
      <c r="N231" s="53"/>
      <c r="O231" s="53">
        <v>14855898</v>
      </c>
      <c r="P231" s="53"/>
      <c r="Q231" s="53">
        <v>10152555</v>
      </c>
      <c r="R231" s="53"/>
      <c r="S231" s="53">
        <v>0</v>
      </c>
      <c r="T231" s="53"/>
      <c r="U231" s="53">
        <v>1320806</v>
      </c>
      <c r="V231" s="53"/>
      <c r="W231" s="53">
        <f t="shared" si="54"/>
        <v>11473361</v>
      </c>
      <c r="Z231" s="35" t="s">
        <v>257</v>
      </c>
      <c r="AA231" s="53"/>
      <c r="AB231" s="35" t="s">
        <v>258</v>
      </c>
      <c r="AC231" s="51"/>
      <c r="AD231" s="53">
        <v>2695018</v>
      </c>
      <c r="AE231" s="53"/>
      <c r="AF231" s="53">
        <f>1070477-61632</f>
        <v>1008845</v>
      </c>
      <c r="AG231" s="53"/>
      <c r="AH231" s="53">
        <v>61632</v>
      </c>
      <c r="AI231" s="53"/>
      <c r="AJ231" s="45">
        <f t="shared" si="61"/>
        <v>1624541</v>
      </c>
      <c r="AK231" s="45"/>
      <c r="AL231" s="53">
        <v>231221</v>
      </c>
      <c r="AM231" s="45"/>
      <c r="AN231" s="53">
        <v>0</v>
      </c>
      <c r="AO231" s="53"/>
      <c r="AP231" s="53">
        <v>482161</v>
      </c>
      <c r="AQ231" s="53"/>
      <c r="AR231" s="53">
        <v>0</v>
      </c>
      <c r="AS231" s="53"/>
      <c r="AT231" s="45">
        <f t="shared" si="60"/>
        <v>1373601</v>
      </c>
      <c r="AU231" s="45"/>
      <c r="AV231" s="53">
        <v>0</v>
      </c>
      <c r="AW231" s="53"/>
      <c r="AX231" s="53">
        <v>0</v>
      </c>
      <c r="AY231" s="53"/>
      <c r="AZ231" s="53">
        <f t="shared" si="55"/>
        <v>1018183</v>
      </c>
      <c r="BA231" s="51"/>
      <c r="BB231" s="35" t="s">
        <v>257</v>
      </c>
      <c r="BD231" s="35" t="s">
        <v>258</v>
      </c>
      <c r="BE231" s="53"/>
      <c r="BF231" s="53">
        <v>0</v>
      </c>
      <c r="BG231" s="53"/>
      <c r="BH231" s="53">
        <v>0</v>
      </c>
      <c r="BI231" s="53"/>
      <c r="BJ231" s="53">
        <f>13874825+289319</f>
        <v>14164144</v>
      </c>
      <c r="BK231" s="53"/>
      <c r="BL231" s="53">
        <f>2589+33601+25155+15893</f>
        <v>77238</v>
      </c>
      <c r="BM231" s="53"/>
      <c r="BN231" s="53">
        <f>SUM(BF231:BL231)</f>
        <v>14241382</v>
      </c>
      <c r="BO231" s="54"/>
      <c r="BS231" s="55"/>
      <c r="BT231" s="55"/>
      <c r="BU231" s="84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</row>
    <row r="232" spans="1:95" s="35" customFormat="1" x14ac:dyDescent="0.2">
      <c r="A232" s="35" t="s">
        <v>259</v>
      </c>
      <c r="C232" s="35" t="s">
        <v>260</v>
      </c>
      <c r="D232" s="44"/>
      <c r="E232" s="53">
        <f t="shared" si="56"/>
        <v>598445</v>
      </c>
      <c r="F232" s="53"/>
      <c r="G232" s="53">
        <v>9917122</v>
      </c>
      <c r="H232" s="53"/>
      <c r="I232" s="53">
        <v>10515567</v>
      </c>
      <c r="J232" s="53"/>
      <c r="K232" s="53">
        <f t="shared" si="57"/>
        <v>737579</v>
      </c>
      <c r="L232" s="53"/>
      <c r="M232" s="53">
        <v>6832162</v>
      </c>
      <c r="N232" s="53"/>
      <c r="O232" s="53">
        <v>7569741</v>
      </c>
      <c r="P232" s="53"/>
      <c r="Q232" s="53">
        <v>2699851</v>
      </c>
      <c r="R232" s="53"/>
      <c r="S232" s="53">
        <v>0</v>
      </c>
      <c r="T232" s="53"/>
      <c r="U232" s="53">
        <v>245975</v>
      </c>
      <c r="V232" s="53"/>
      <c r="W232" s="53">
        <f t="shared" si="54"/>
        <v>2945826</v>
      </c>
      <c r="X232" s="51"/>
      <c r="Y232" s="51"/>
      <c r="Z232" s="35" t="s">
        <v>259</v>
      </c>
      <c r="AA232" s="53"/>
      <c r="AB232" s="35" t="s">
        <v>260</v>
      </c>
      <c r="AD232" s="53">
        <v>1770253</v>
      </c>
      <c r="AE232" s="53"/>
      <c r="AF232" s="53">
        <f>1581279-300890</f>
        <v>1280389</v>
      </c>
      <c r="AG232" s="53"/>
      <c r="AH232" s="53">
        <v>300890</v>
      </c>
      <c r="AI232" s="53"/>
      <c r="AJ232" s="45">
        <f t="shared" si="61"/>
        <v>188974</v>
      </c>
      <c r="AK232" s="45"/>
      <c r="AL232" s="53">
        <v>-128890</v>
      </c>
      <c r="AM232" s="45"/>
      <c r="AN232" s="53">
        <v>0</v>
      </c>
      <c r="AO232" s="53"/>
      <c r="AP232" s="53">
        <v>0</v>
      </c>
      <c r="AQ232" s="53"/>
      <c r="AR232" s="53">
        <v>0</v>
      </c>
      <c r="AS232" s="53"/>
      <c r="AT232" s="45">
        <f t="shared" si="60"/>
        <v>60084</v>
      </c>
      <c r="AU232" s="45"/>
      <c r="AV232" s="53">
        <v>0</v>
      </c>
      <c r="AW232" s="53"/>
      <c r="AX232" s="53">
        <v>0</v>
      </c>
      <c r="AY232" s="53"/>
      <c r="AZ232" s="53">
        <f t="shared" si="55"/>
        <v>-139134</v>
      </c>
      <c r="BA232" s="51"/>
      <c r="BB232" s="35" t="s">
        <v>259</v>
      </c>
      <c r="BD232" s="35" t="s">
        <v>260</v>
      </c>
      <c r="BE232" s="53"/>
      <c r="BF232" s="53">
        <f>569551+109749</f>
        <v>679300</v>
      </c>
      <c r="BG232" s="53"/>
      <c r="BH232" s="53">
        <v>0</v>
      </c>
      <c r="BI232" s="53"/>
      <c r="BJ232" s="53">
        <f>6241332+296639</f>
        <v>6537971</v>
      </c>
      <c r="BK232" s="53"/>
      <c r="BL232" s="53">
        <f>21279+24289</f>
        <v>45568</v>
      </c>
      <c r="BM232" s="53"/>
      <c r="BN232" s="53">
        <f t="shared" si="59"/>
        <v>7262839</v>
      </c>
      <c r="BO232" s="54"/>
      <c r="BS232" s="55"/>
      <c r="BT232" s="55"/>
      <c r="BU232" s="84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</row>
    <row r="233" spans="1:95" s="35" customFormat="1" x14ac:dyDescent="0.2">
      <c r="A233" s="35" t="s">
        <v>261</v>
      </c>
      <c r="B233" s="51"/>
      <c r="C233" s="35" t="s">
        <v>66</v>
      </c>
      <c r="D233" s="44"/>
      <c r="E233" s="53">
        <f t="shared" si="56"/>
        <v>1786679</v>
      </c>
      <c r="F233" s="53"/>
      <c r="G233" s="53">
        <v>7766799</v>
      </c>
      <c r="H233" s="53"/>
      <c r="I233" s="53">
        <v>9553478</v>
      </c>
      <c r="J233" s="53"/>
      <c r="K233" s="53">
        <f t="shared" si="57"/>
        <v>210748</v>
      </c>
      <c r="L233" s="53"/>
      <c r="M233" s="53">
        <v>27065</v>
      </c>
      <c r="N233" s="53"/>
      <c r="O233" s="53">
        <v>237813</v>
      </c>
      <c r="P233" s="53"/>
      <c r="Q233" s="53">
        <v>7695961</v>
      </c>
      <c r="R233" s="53"/>
      <c r="S233" s="53">
        <v>0</v>
      </c>
      <c r="T233" s="53"/>
      <c r="U233" s="53">
        <v>1619704</v>
      </c>
      <c r="V233" s="53"/>
      <c r="W233" s="53">
        <f t="shared" si="54"/>
        <v>9315665</v>
      </c>
      <c r="X233" s="51"/>
      <c r="Y233" s="51"/>
      <c r="Z233" s="35" t="s">
        <v>261</v>
      </c>
      <c r="AA233" s="53"/>
      <c r="AB233" s="35" t="s">
        <v>66</v>
      </c>
      <c r="AC233" s="51"/>
      <c r="AD233" s="53">
        <v>2175651</v>
      </c>
      <c r="AE233" s="53"/>
      <c r="AF233" s="53">
        <f>1975542-247924</f>
        <v>1727618</v>
      </c>
      <c r="AG233" s="53"/>
      <c r="AH233" s="53">
        <v>247924</v>
      </c>
      <c r="AI233" s="53"/>
      <c r="AJ233" s="45">
        <f t="shared" si="61"/>
        <v>200109</v>
      </c>
      <c r="AK233" s="45"/>
      <c r="AL233" s="53">
        <v>-84351</v>
      </c>
      <c r="AM233" s="45"/>
      <c r="AN233" s="53">
        <v>0</v>
      </c>
      <c r="AO233" s="53"/>
      <c r="AP233" s="53">
        <v>0</v>
      </c>
      <c r="AQ233" s="53"/>
      <c r="AR233" s="53">
        <v>240691</v>
      </c>
      <c r="AS233" s="53"/>
      <c r="AT233" s="45">
        <f t="shared" si="60"/>
        <v>356449</v>
      </c>
      <c r="AU233" s="45"/>
      <c r="AV233" s="53">
        <v>0</v>
      </c>
      <c r="AW233" s="53"/>
      <c r="AX233" s="53">
        <v>0</v>
      </c>
      <c r="AY233" s="53"/>
      <c r="AZ233" s="53">
        <f t="shared" si="55"/>
        <v>1575931</v>
      </c>
      <c r="BA233" s="51"/>
      <c r="BB233" s="35" t="s">
        <v>261</v>
      </c>
      <c r="BD233" s="35" t="s">
        <v>66</v>
      </c>
      <c r="BE233" s="53"/>
      <c r="BF233" s="53">
        <v>0</v>
      </c>
      <c r="BG233" s="53"/>
      <c r="BH233" s="53">
        <v>0</v>
      </c>
      <c r="BI233" s="53"/>
      <c r="BJ233" s="53">
        <v>0</v>
      </c>
      <c r="BK233" s="53"/>
      <c r="BL233" s="53">
        <f>27065+33901</f>
        <v>60966</v>
      </c>
      <c r="BM233" s="53"/>
      <c r="BN233" s="53">
        <f t="shared" si="59"/>
        <v>60966</v>
      </c>
      <c r="BO233" s="54"/>
      <c r="BS233" s="55"/>
      <c r="BT233" s="55"/>
      <c r="BU233" s="84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</row>
    <row r="234" spans="1:95" s="35" customFormat="1" x14ac:dyDescent="0.2">
      <c r="A234" s="35" t="s">
        <v>262</v>
      </c>
      <c r="C234" s="35" t="s">
        <v>132</v>
      </c>
      <c r="D234" s="44"/>
      <c r="E234" s="53">
        <f t="shared" si="56"/>
        <v>378174</v>
      </c>
      <c r="F234" s="53"/>
      <c r="G234" s="53">
        <v>4300457</v>
      </c>
      <c r="H234" s="53"/>
      <c r="I234" s="53">
        <v>4678631</v>
      </c>
      <c r="J234" s="53"/>
      <c r="K234" s="53">
        <f t="shared" si="57"/>
        <v>868480</v>
      </c>
      <c r="L234" s="53"/>
      <c r="M234" s="53">
        <v>4997239</v>
      </c>
      <c r="N234" s="53"/>
      <c r="O234" s="53">
        <v>5865719</v>
      </c>
      <c r="P234" s="53"/>
      <c r="Q234" s="53">
        <v>-324442</v>
      </c>
      <c r="R234" s="53"/>
      <c r="S234" s="53">
        <v>0</v>
      </c>
      <c r="T234" s="53"/>
      <c r="U234" s="53">
        <v>-862646</v>
      </c>
      <c r="V234" s="53"/>
      <c r="W234" s="53">
        <f t="shared" ref="W234:W236" si="62">SUM(Q234:U234)</f>
        <v>-1187088</v>
      </c>
      <c r="X234" s="51"/>
      <c r="Y234" s="65"/>
      <c r="Z234" s="35" t="s">
        <v>262</v>
      </c>
      <c r="AA234" s="53"/>
      <c r="AB234" s="35" t="s">
        <v>132</v>
      </c>
      <c r="AD234" s="53">
        <v>1882478</v>
      </c>
      <c r="AE234" s="53"/>
      <c r="AF234" s="53">
        <v>1582077</v>
      </c>
      <c r="AG234" s="53"/>
      <c r="AH234" s="53">
        <v>0</v>
      </c>
      <c r="AI234" s="53"/>
      <c r="AJ234" s="45">
        <f t="shared" si="61"/>
        <v>300401</v>
      </c>
      <c r="AK234" s="45"/>
      <c r="AL234" s="53">
        <v>-255433</v>
      </c>
      <c r="AM234" s="45"/>
      <c r="AN234" s="53">
        <v>20779</v>
      </c>
      <c r="AO234" s="53"/>
      <c r="AP234" s="53">
        <v>0</v>
      </c>
      <c r="AQ234" s="53"/>
      <c r="AR234" s="53">
        <v>0</v>
      </c>
      <c r="AS234" s="53"/>
      <c r="AT234" s="45">
        <f t="shared" si="60"/>
        <v>65747</v>
      </c>
      <c r="AU234" s="45"/>
      <c r="AV234" s="53">
        <v>0</v>
      </c>
      <c r="AW234" s="53"/>
      <c r="AX234" s="53">
        <v>0</v>
      </c>
      <c r="AY234" s="53"/>
      <c r="AZ234" s="53">
        <f t="shared" ref="AZ234:AZ236" si="63">E234-K234</f>
        <v>-490306</v>
      </c>
      <c r="BA234" s="65"/>
      <c r="BB234" s="35" t="s">
        <v>262</v>
      </c>
      <c r="BD234" s="35" t="s">
        <v>132</v>
      </c>
      <c r="BE234" s="53"/>
      <c r="BF234" s="53">
        <f>3808000+193500</f>
        <v>4001500</v>
      </c>
      <c r="BG234" s="53"/>
      <c r="BH234" s="53">
        <v>0</v>
      </c>
      <c r="BI234" s="53"/>
      <c r="BJ234" s="53">
        <f>859991+223008+97052+75954</f>
        <v>1256005</v>
      </c>
      <c r="BK234" s="53"/>
      <c r="BL234" s="53">
        <f>106240+48096</f>
        <v>154336</v>
      </c>
      <c r="BM234" s="53"/>
      <c r="BN234" s="53">
        <f t="shared" ref="BN234:BN236" si="64">SUM(BF234:BL234)</f>
        <v>5411841</v>
      </c>
      <c r="BO234" s="54"/>
      <c r="BS234" s="55"/>
      <c r="BT234" s="55"/>
      <c r="BU234" s="84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</row>
    <row r="235" spans="1:95" s="35" customFormat="1" x14ac:dyDescent="0.2">
      <c r="A235" s="44" t="s">
        <v>512</v>
      </c>
      <c r="B235" s="47"/>
      <c r="C235" s="44" t="s">
        <v>45</v>
      </c>
      <c r="D235" s="44"/>
      <c r="E235" s="53">
        <f t="shared" si="56"/>
        <v>4333324</v>
      </c>
      <c r="F235" s="53"/>
      <c r="G235" s="53">
        <v>13628275</v>
      </c>
      <c r="H235" s="53"/>
      <c r="I235" s="53">
        <v>17961599</v>
      </c>
      <c r="J235" s="53"/>
      <c r="K235" s="53">
        <f t="shared" si="57"/>
        <v>779145</v>
      </c>
      <c r="L235" s="53"/>
      <c r="M235" s="53">
        <f>3508165+185911</f>
        <v>3694076</v>
      </c>
      <c r="N235" s="53"/>
      <c r="O235" s="53">
        <v>4473221</v>
      </c>
      <c r="P235" s="53"/>
      <c r="Q235" s="53">
        <v>9863450</v>
      </c>
      <c r="R235" s="53"/>
      <c r="S235" s="53">
        <v>0</v>
      </c>
      <c r="T235" s="53"/>
      <c r="U235" s="53">
        <v>3624928</v>
      </c>
      <c r="V235" s="53"/>
      <c r="W235" s="53">
        <f t="shared" si="62"/>
        <v>13488378</v>
      </c>
      <c r="X235" s="51"/>
      <c r="Y235" s="65"/>
      <c r="Z235" s="44" t="s">
        <v>512</v>
      </c>
      <c r="AA235" s="47"/>
      <c r="AB235" s="44" t="s">
        <v>45</v>
      </c>
      <c r="AD235" s="53">
        <v>4610379</v>
      </c>
      <c r="AE235" s="53"/>
      <c r="AF235" s="53">
        <f>3700675-433000</f>
        <v>3267675</v>
      </c>
      <c r="AG235" s="53"/>
      <c r="AH235" s="53">
        <v>433000</v>
      </c>
      <c r="AI235" s="53"/>
      <c r="AJ235" s="45">
        <f t="shared" si="61"/>
        <v>909704</v>
      </c>
      <c r="AK235" s="45"/>
      <c r="AL235" s="53">
        <v>-67950</v>
      </c>
      <c r="AM235" s="45"/>
      <c r="AN235" s="53">
        <v>0</v>
      </c>
      <c r="AO235" s="53"/>
      <c r="AP235" s="53">
        <v>0</v>
      </c>
      <c r="AQ235" s="53"/>
      <c r="AR235" s="53">
        <v>0</v>
      </c>
      <c r="AS235" s="53"/>
      <c r="AT235" s="45">
        <f t="shared" si="60"/>
        <v>841754</v>
      </c>
      <c r="AU235" s="45"/>
      <c r="AV235" s="53"/>
      <c r="AW235" s="53"/>
      <c r="AX235" s="53"/>
      <c r="AY235" s="53"/>
      <c r="AZ235" s="53">
        <f t="shared" si="63"/>
        <v>3554179</v>
      </c>
      <c r="BA235" s="65"/>
      <c r="BB235" s="44" t="s">
        <v>512</v>
      </c>
      <c r="BC235" s="47"/>
      <c r="BD235" s="44" t="s">
        <v>45</v>
      </c>
      <c r="BE235" s="53"/>
      <c r="BF235" s="53">
        <f>3508165+256660</f>
        <v>3764825</v>
      </c>
      <c r="BG235" s="53"/>
      <c r="BH235" s="53">
        <v>0</v>
      </c>
      <c r="BI235" s="53"/>
      <c r="BJ235" s="53">
        <v>0</v>
      </c>
      <c r="BK235" s="53"/>
      <c r="BL235" s="53">
        <f>185911+36275</f>
        <v>222186</v>
      </c>
      <c r="BM235" s="53"/>
      <c r="BN235" s="53">
        <f t="shared" si="64"/>
        <v>3987011</v>
      </c>
      <c r="BO235" s="54"/>
      <c r="BS235" s="55"/>
      <c r="BT235" s="55"/>
      <c r="BU235" s="84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</row>
    <row r="236" spans="1:95" s="35" customFormat="1" x14ac:dyDescent="0.2">
      <c r="A236" s="35" t="s">
        <v>263</v>
      </c>
      <c r="B236" s="51"/>
      <c r="C236" s="35" t="s">
        <v>53</v>
      </c>
      <c r="D236" s="44"/>
      <c r="E236" s="53">
        <f t="shared" si="56"/>
        <v>5881387</v>
      </c>
      <c r="F236" s="53"/>
      <c r="G236" s="53">
        <v>18074809</v>
      </c>
      <c r="H236" s="53"/>
      <c r="I236" s="53">
        <v>23956196</v>
      </c>
      <c r="J236" s="53"/>
      <c r="K236" s="53">
        <f t="shared" si="57"/>
        <v>2784248</v>
      </c>
      <c r="L236" s="53"/>
      <c r="M236" s="53">
        <v>10393079</v>
      </c>
      <c r="N236" s="53"/>
      <c r="O236" s="53">
        <v>13177327</v>
      </c>
      <c r="P236" s="53"/>
      <c r="Q236" s="53">
        <v>9457005</v>
      </c>
      <c r="R236" s="53"/>
      <c r="S236" s="53">
        <v>0</v>
      </c>
      <c r="T236" s="53"/>
      <c r="U236" s="53">
        <v>1321864</v>
      </c>
      <c r="V236" s="53"/>
      <c r="W236" s="53">
        <f t="shared" si="62"/>
        <v>10778869</v>
      </c>
      <c r="X236" s="51"/>
      <c r="Y236" s="51"/>
      <c r="Z236" s="35" t="s">
        <v>263</v>
      </c>
      <c r="AA236" s="53"/>
      <c r="AB236" s="35" t="s">
        <v>53</v>
      </c>
      <c r="AC236" s="51"/>
      <c r="AD236" s="53">
        <v>3460912</v>
      </c>
      <c r="AE236" s="53"/>
      <c r="AF236" s="53">
        <f>6200294-358199</f>
        <v>5842095</v>
      </c>
      <c r="AG236" s="53"/>
      <c r="AH236" s="53">
        <v>358199</v>
      </c>
      <c r="AI236" s="53"/>
      <c r="AJ236" s="45">
        <f t="shared" si="61"/>
        <v>-2739382</v>
      </c>
      <c r="AK236" s="45"/>
      <c r="AL236" s="53">
        <v>-403165</v>
      </c>
      <c r="AM236" s="45"/>
      <c r="AN236" s="53">
        <v>0</v>
      </c>
      <c r="AO236" s="53"/>
      <c r="AP236" s="53">
        <v>0</v>
      </c>
      <c r="AQ236" s="53"/>
      <c r="AR236" s="53">
        <v>0</v>
      </c>
      <c r="AS236" s="53"/>
      <c r="AT236" s="45">
        <f t="shared" si="60"/>
        <v>-3142547</v>
      </c>
      <c r="AU236" s="45"/>
      <c r="AV236" s="53">
        <v>0</v>
      </c>
      <c r="AW236" s="53"/>
      <c r="AX236" s="53">
        <v>0</v>
      </c>
      <c r="AY236" s="53"/>
      <c r="AZ236" s="53">
        <f t="shared" si="63"/>
        <v>3097139</v>
      </c>
      <c r="BA236" s="51"/>
      <c r="BB236" s="35" t="s">
        <v>263</v>
      </c>
      <c r="BD236" s="35" t="s">
        <v>53</v>
      </c>
      <c r="BE236" s="53"/>
      <c r="BF236" s="53">
        <f>10076528+427476</f>
        <v>10504004</v>
      </c>
      <c r="BG236" s="53"/>
      <c r="BH236" s="53">
        <v>0</v>
      </c>
      <c r="BI236" s="53"/>
      <c r="BJ236" s="53">
        <v>0</v>
      </c>
      <c r="BK236" s="53"/>
      <c r="BL236" s="53">
        <f>316551+56183</f>
        <v>372734</v>
      </c>
      <c r="BM236" s="53"/>
      <c r="BN236" s="53">
        <f t="shared" si="64"/>
        <v>10876738</v>
      </c>
      <c r="BO236" s="54"/>
      <c r="BS236" s="55"/>
      <c r="BT236" s="55"/>
      <c r="BU236" s="84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</row>
    <row r="237" spans="1:95" s="35" customFormat="1" x14ac:dyDescent="0.2">
      <c r="A237" s="35" t="s">
        <v>264</v>
      </c>
      <c r="C237" s="35" t="s">
        <v>239</v>
      </c>
      <c r="D237" s="44"/>
      <c r="E237" s="53">
        <f t="shared" si="56"/>
        <v>1637839</v>
      </c>
      <c r="F237" s="53"/>
      <c r="G237" s="53">
        <v>15469344</v>
      </c>
      <c r="H237" s="53"/>
      <c r="I237" s="53">
        <v>17107183</v>
      </c>
      <c r="J237" s="53"/>
      <c r="K237" s="53">
        <f t="shared" si="57"/>
        <v>77333</v>
      </c>
      <c r="L237" s="53"/>
      <c r="M237" s="53">
        <v>8692295</v>
      </c>
      <c r="N237" s="53"/>
      <c r="O237" s="53">
        <v>8769628</v>
      </c>
      <c r="P237" s="53"/>
      <c r="Q237" s="53">
        <v>6846681</v>
      </c>
      <c r="R237" s="53"/>
      <c r="S237" s="53">
        <v>0</v>
      </c>
      <c r="T237" s="53"/>
      <c r="U237" s="53">
        <v>1490874</v>
      </c>
      <c r="V237" s="53"/>
      <c r="W237" s="53">
        <f t="shared" si="54"/>
        <v>8337555</v>
      </c>
      <c r="X237" s="51"/>
      <c r="Y237" s="51"/>
      <c r="Z237" s="35" t="s">
        <v>264</v>
      </c>
      <c r="AA237" s="53"/>
      <c r="AB237" s="35" t="s">
        <v>239</v>
      </c>
      <c r="AD237" s="53">
        <v>1563522</v>
      </c>
      <c r="AE237" s="53"/>
      <c r="AF237" s="53">
        <f>1386329-293324</f>
        <v>1093005</v>
      </c>
      <c r="AG237" s="53"/>
      <c r="AH237" s="53">
        <v>293324</v>
      </c>
      <c r="AI237" s="53"/>
      <c r="AJ237" s="45">
        <f t="shared" si="61"/>
        <v>177193</v>
      </c>
      <c r="AK237" s="45"/>
      <c r="AL237" s="53">
        <v>-456096</v>
      </c>
      <c r="AM237" s="45"/>
      <c r="AN237" s="53">
        <v>0</v>
      </c>
      <c r="AO237" s="53"/>
      <c r="AP237" s="53">
        <v>32997</v>
      </c>
      <c r="AQ237" s="53"/>
      <c r="AR237" s="53">
        <v>13914</v>
      </c>
      <c r="AS237" s="53"/>
      <c r="AT237" s="45">
        <f t="shared" si="60"/>
        <v>-297986</v>
      </c>
      <c r="AU237" s="45"/>
      <c r="AV237" s="53">
        <v>0</v>
      </c>
      <c r="AW237" s="53"/>
      <c r="AX237" s="53">
        <v>0</v>
      </c>
      <c r="AY237" s="53"/>
      <c r="AZ237" s="53">
        <f t="shared" si="55"/>
        <v>1560506</v>
      </c>
      <c r="BA237" s="51"/>
      <c r="BB237" s="35" t="s">
        <v>264</v>
      </c>
      <c r="BD237" s="35" t="s">
        <v>239</v>
      </c>
      <c r="BE237" s="53"/>
      <c r="BF237" s="53">
        <v>0</v>
      </c>
      <c r="BG237" s="53"/>
      <c r="BH237" s="53">
        <v>0</v>
      </c>
      <c r="BI237" s="53"/>
      <c r="BJ237" s="53">
        <v>8622663</v>
      </c>
      <c r="BK237" s="53"/>
      <c r="BL237" s="53">
        <f>69632+17519</f>
        <v>87151</v>
      </c>
      <c r="BM237" s="53"/>
      <c r="BN237" s="53">
        <f t="shared" si="59"/>
        <v>8709814</v>
      </c>
      <c r="BO237" s="54"/>
      <c r="BS237" s="55"/>
      <c r="BT237" s="55"/>
      <c r="BU237" s="84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</row>
    <row r="238" spans="1:95" s="35" customFormat="1" ht="12.75" customHeight="1" x14ac:dyDescent="0.2">
      <c r="A238" s="35" t="s">
        <v>111</v>
      </c>
      <c r="B238" s="51"/>
      <c r="C238" s="44" t="s">
        <v>80</v>
      </c>
      <c r="D238" s="44"/>
      <c r="E238" s="53">
        <f t="shared" si="56"/>
        <v>3841244</v>
      </c>
      <c r="F238" s="53"/>
      <c r="G238" s="53">
        <v>33215619</v>
      </c>
      <c r="H238" s="53"/>
      <c r="I238" s="53">
        <v>37056863</v>
      </c>
      <c r="J238" s="53"/>
      <c r="K238" s="53">
        <f t="shared" si="57"/>
        <v>2058744</v>
      </c>
      <c r="L238" s="53"/>
      <c r="M238" s="53">
        <v>18503640</v>
      </c>
      <c r="N238" s="53"/>
      <c r="O238" s="53">
        <v>20562384</v>
      </c>
      <c r="P238" s="53"/>
      <c r="Q238" s="53">
        <v>13062146</v>
      </c>
      <c r="R238" s="53"/>
      <c r="S238" s="53">
        <v>963817</v>
      </c>
      <c r="T238" s="53"/>
      <c r="U238" s="53">
        <v>2468516</v>
      </c>
      <c r="V238" s="53"/>
      <c r="W238" s="53">
        <f t="shared" si="54"/>
        <v>16494479</v>
      </c>
      <c r="X238" s="51"/>
      <c r="Y238" s="51"/>
      <c r="Z238" s="35" t="s">
        <v>111</v>
      </c>
      <c r="AA238" s="53"/>
      <c r="AB238" s="44" t="s">
        <v>80</v>
      </c>
      <c r="AC238" s="51"/>
      <c r="AD238" s="53">
        <v>11038048</v>
      </c>
      <c r="AE238" s="53"/>
      <c r="AF238" s="53">
        <f>11242699-2116077</f>
        <v>9126622</v>
      </c>
      <c r="AG238" s="53"/>
      <c r="AH238" s="53">
        <v>2116077</v>
      </c>
      <c r="AI238" s="53"/>
      <c r="AJ238" s="45">
        <f t="shared" si="61"/>
        <v>-204651</v>
      </c>
      <c r="AK238" s="45"/>
      <c r="AL238" s="53">
        <v>-922921</v>
      </c>
      <c r="AM238" s="45"/>
      <c r="AN238" s="53">
        <v>0</v>
      </c>
      <c r="AO238" s="53"/>
      <c r="AP238" s="53">
        <v>54015</v>
      </c>
      <c r="AQ238" s="53"/>
      <c r="AR238" s="53">
        <v>0</v>
      </c>
      <c r="AS238" s="53"/>
      <c r="AT238" s="45">
        <f t="shared" si="60"/>
        <v>-1181587</v>
      </c>
      <c r="AU238" s="45"/>
      <c r="AV238" s="53">
        <v>0</v>
      </c>
      <c r="AW238" s="53"/>
      <c r="AX238" s="53">
        <v>0</v>
      </c>
      <c r="AY238" s="53"/>
      <c r="AZ238" s="53">
        <f t="shared" si="55"/>
        <v>1782500</v>
      </c>
      <c r="BA238" s="51"/>
      <c r="BB238" s="35" t="s">
        <v>111</v>
      </c>
      <c r="BD238" s="44" t="s">
        <v>80</v>
      </c>
      <c r="BE238" s="53"/>
      <c r="BF238" s="53">
        <v>0</v>
      </c>
      <c r="BG238" s="53"/>
      <c r="BH238" s="53">
        <f>6789071+510000</f>
        <v>7299071</v>
      </c>
      <c r="BI238" s="53"/>
      <c r="BJ238" s="53">
        <f>698819+11191766</f>
        <v>11890585</v>
      </c>
      <c r="BK238" s="53"/>
      <c r="BL238" s="53">
        <f>302522+522803</f>
        <v>825325</v>
      </c>
      <c r="BM238" s="53"/>
      <c r="BN238" s="53">
        <f t="shared" si="59"/>
        <v>20014981</v>
      </c>
      <c r="BO238" s="54"/>
      <c r="BS238" s="55"/>
      <c r="BT238" s="55"/>
      <c r="BU238" s="84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</row>
    <row r="239" spans="1:95" s="126" customFormat="1" ht="12.75" hidden="1" customHeight="1" x14ac:dyDescent="0.2">
      <c r="A239" s="126" t="s">
        <v>265</v>
      </c>
      <c r="B239" s="124"/>
      <c r="C239" s="121" t="s">
        <v>27</v>
      </c>
      <c r="D239" s="121"/>
      <c r="E239" s="53">
        <f t="shared" si="56"/>
        <v>0</v>
      </c>
      <c r="F239" s="53"/>
      <c r="G239" s="53"/>
      <c r="H239" s="53"/>
      <c r="I239" s="53"/>
      <c r="J239" s="53"/>
      <c r="K239" s="53">
        <f t="shared" si="57"/>
        <v>0</v>
      </c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>
        <f t="shared" ref="W239:W240" si="65">SUM(Q239:U239)</f>
        <v>0</v>
      </c>
      <c r="X239" s="124"/>
      <c r="Y239" s="124"/>
      <c r="Z239" s="126" t="s">
        <v>265</v>
      </c>
      <c r="AA239" s="137"/>
      <c r="AB239" s="121" t="s">
        <v>27</v>
      </c>
      <c r="AC239" s="124"/>
      <c r="AD239" s="53"/>
      <c r="AE239" s="53"/>
      <c r="AF239" s="53"/>
      <c r="AG239" s="53"/>
      <c r="AH239" s="53"/>
      <c r="AI239" s="53"/>
      <c r="AJ239" s="45">
        <f t="shared" si="61"/>
        <v>0</v>
      </c>
      <c r="AK239" s="45"/>
      <c r="AL239" s="53"/>
      <c r="AM239" s="45"/>
      <c r="AN239" s="53"/>
      <c r="AO239" s="53"/>
      <c r="AP239" s="53"/>
      <c r="AQ239" s="53"/>
      <c r="AR239" s="53"/>
      <c r="AS239" s="53"/>
      <c r="AT239" s="45">
        <f t="shared" si="60"/>
        <v>0</v>
      </c>
      <c r="AU239" s="45"/>
      <c r="AV239" s="53">
        <v>0</v>
      </c>
      <c r="AW239" s="53"/>
      <c r="AX239" s="53">
        <v>0</v>
      </c>
      <c r="AY239" s="53"/>
      <c r="AZ239" s="53">
        <f t="shared" si="55"/>
        <v>0</v>
      </c>
      <c r="BA239" s="124"/>
      <c r="BB239" s="126" t="s">
        <v>265</v>
      </c>
      <c r="BD239" s="121" t="s">
        <v>27</v>
      </c>
      <c r="BE239" s="137"/>
      <c r="BF239" s="53"/>
      <c r="BG239" s="53"/>
      <c r="BH239" s="53"/>
      <c r="BI239" s="53"/>
      <c r="BJ239" s="53"/>
      <c r="BK239" s="53"/>
      <c r="BL239" s="53"/>
      <c r="BM239" s="137"/>
      <c r="BN239" s="137">
        <f t="shared" ref="BN239:BN240" si="66">SUM(BF239:BL239)</f>
        <v>0</v>
      </c>
      <c r="BO239" s="139"/>
      <c r="BS239" s="140"/>
      <c r="BT239" s="140"/>
      <c r="BU239" s="141"/>
      <c r="BV239" s="140"/>
      <c r="BW239" s="140"/>
      <c r="BX239" s="140"/>
      <c r="BY239" s="140"/>
      <c r="BZ239" s="140"/>
      <c r="CA239" s="140"/>
      <c r="CB239" s="140"/>
      <c r="CC239" s="140"/>
      <c r="CD239" s="140"/>
      <c r="CE239" s="140"/>
      <c r="CF239" s="140"/>
      <c r="CG239" s="140"/>
      <c r="CH239" s="140"/>
      <c r="CI239" s="140"/>
      <c r="CJ239" s="140"/>
      <c r="CK239" s="140"/>
      <c r="CL239" s="140"/>
      <c r="CM239" s="140"/>
      <c r="CN239" s="140"/>
      <c r="CO239" s="140"/>
      <c r="CP239" s="140"/>
      <c r="CQ239" s="140"/>
    </row>
    <row r="240" spans="1:95" s="35" customFormat="1" ht="12.75" customHeight="1" x14ac:dyDescent="0.2">
      <c r="A240" s="35" t="s">
        <v>514</v>
      </c>
      <c r="B240" s="51"/>
      <c r="C240" s="47" t="s">
        <v>451</v>
      </c>
      <c r="D240" s="44"/>
      <c r="E240" s="53">
        <f t="shared" si="56"/>
        <v>969148</v>
      </c>
      <c r="F240" s="53"/>
      <c r="G240" s="53">
        <v>15696945</v>
      </c>
      <c r="H240" s="53"/>
      <c r="I240" s="53">
        <v>16666093</v>
      </c>
      <c r="J240" s="53"/>
      <c r="K240" s="53">
        <f t="shared" si="57"/>
        <v>992936</v>
      </c>
      <c r="L240" s="53"/>
      <c r="M240" s="53">
        <v>6985549</v>
      </c>
      <c r="N240" s="53"/>
      <c r="O240" s="53">
        <v>7978485</v>
      </c>
      <c r="P240" s="53"/>
      <c r="Q240" s="53">
        <v>7779020</v>
      </c>
      <c r="R240" s="53"/>
      <c r="S240" s="53">
        <v>0</v>
      </c>
      <c r="T240" s="53"/>
      <c r="U240" s="53">
        <v>908588</v>
      </c>
      <c r="V240" s="53"/>
      <c r="W240" s="53">
        <f t="shared" si="65"/>
        <v>8687608</v>
      </c>
      <c r="Z240" s="35" t="s">
        <v>514</v>
      </c>
      <c r="AA240" s="53"/>
      <c r="AB240" s="47" t="s">
        <v>451</v>
      </c>
      <c r="AC240" s="51"/>
      <c r="AD240" s="53">
        <v>3063116</v>
      </c>
      <c r="AE240" s="53"/>
      <c r="AF240" s="53">
        <f>2315557-352133</f>
        <v>1963424</v>
      </c>
      <c r="AG240" s="53"/>
      <c r="AH240" s="53">
        <v>352133</v>
      </c>
      <c r="AI240" s="53"/>
      <c r="AJ240" s="45">
        <f t="shared" si="61"/>
        <v>747559</v>
      </c>
      <c r="AK240" s="45"/>
      <c r="AL240" s="53">
        <v>-345225</v>
      </c>
      <c r="AM240" s="45"/>
      <c r="AN240" s="53">
        <v>0</v>
      </c>
      <c r="AO240" s="53"/>
      <c r="AP240" s="53">
        <v>0</v>
      </c>
      <c r="AQ240" s="53"/>
      <c r="AR240" s="53">
        <v>0</v>
      </c>
      <c r="AS240" s="53"/>
      <c r="AT240" s="45">
        <f t="shared" si="60"/>
        <v>402334</v>
      </c>
      <c r="AU240" s="45"/>
      <c r="AV240" s="53">
        <v>0</v>
      </c>
      <c r="AW240" s="53"/>
      <c r="AX240" s="53">
        <v>0</v>
      </c>
      <c r="AY240" s="53"/>
      <c r="AZ240" s="53">
        <f t="shared" si="55"/>
        <v>-23788</v>
      </c>
      <c r="BA240" s="51"/>
      <c r="BB240" s="35" t="s">
        <v>514</v>
      </c>
      <c r="BD240" s="47" t="s">
        <v>451</v>
      </c>
      <c r="BE240" s="53"/>
      <c r="BF240" s="53">
        <f>4905000+600000</f>
        <v>5505000</v>
      </c>
      <c r="BG240" s="53"/>
      <c r="BH240" s="53">
        <v>0</v>
      </c>
      <c r="BI240" s="53"/>
      <c r="BJ240" s="53">
        <f>1962101+186856</f>
        <v>2148957</v>
      </c>
      <c r="BK240" s="53"/>
      <c r="BL240" s="53">
        <f>118448+39336</f>
        <v>157784</v>
      </c>
      <c r="BM240" s="53"/>
      <c r="BN240" s="53">
        <f t="shared" si="66"/>
        <v>7811741</v>
      </c>
      <c r="BO240" s="54"/>
      <c r="BS240" s="55"/>
      <c r="BT240" s="55"/>
      <c r="BU240" s="84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</row>
    <row r="241" spans="1:95" s="35" customFormat="1" ht="12.75" customHeight="1" x14ac:dyDescent="0.2">
      <c r="A241" s="44" t="s">
        <v>515</v>
      </c>
      <c r="B241" s="47"/>
      <c r="C241" s="44" t="s">
        <v>163</v>
      </c>
      <c r="D241" s="44"/>
      <c r="E241" s="53">
        <f t="shared" si="56"/>
        <v>491791</v>
      </c>
      <c r="F241" s="53"/>
      <c r="G241" s="53">
        <v>5085852</v>
      </c>
      <c r="H241" s="53"/>
      <c r="I241" s="53">
        <v>5577643</v>
      </c>
      <c r="J241" s="53"/>
      <c r="K241" s="53">
        <f t="shared" si="57"/>
        <v>516657</v>
      </c>
      <c r="L241" s="53"/>
      <c r="M241" s="53">
        <v>756639</v>
      </c>
      <c r="N241" s="53"/>
      <c r="O241" s="53">
        <v>1273296</v>
      </c>
      <c r="P241" s="53"/>
      <c r="Q241" s="53">
        <v>4268775</v>
      </c>
      <c r="R241" s="53"/>
      <c r="S241" s="53">
        <v>0</v>
      </c>
      <c r="T241" s="53"/>
      <c r="U241" s="53">
        <v>35572</v>
      </c>
      <c r="V241" s="53"/>
      <c r="W241" s="53">
        <f t="shared" ref="W241" si="67">SUM(Q241:U241)</f>
        <v>4304347</v>
      </c>
      <c r="Z241" s="44" t="s">
        <v>515</v>
      </c>
      <c r="AA241" s="47"/>
      <c r="AB241" s="44" t="s">
        <v>163</v>
      </c>
      <c r="AC241" s="44"/>
      <c r="AD241" s="53">
        <v>970387</v>
      </c>
      <c r="AE241" s="53"/>
      <c r="AF241" s="53">
        <f>816728-170924</f>
        <v>645804</v>
      </c>
      <c r="AG241" s="53"/>
      <c r="AH241" s="53">
        <v>170924</v>
      </c>
      <c r="AI241" s="53"/>
      <c r="AJ241" s="45">
        <f t="shared" si="61"/>
        <v>153659</v>
      </c>
      <c r="AK241" s="45"/>
      <c r="AL241" s="53">
        <v>-24737</v>
      </c>
      <c r="AM241" s="45"/>
      <c r="AN241" s="53">
        <v>0</v>
      </c>
      <c r="AO241" s="53"/>
      <c r="AP241" s="53">
        <v>0</v>
      </c>
      <c r="AQ241" s="53"/>
      <c r="AR241" s="53">
        <v>0</v>
      </c>
      <c r="AS241" s="53"/>
      <c r="AT241" s="45">
        <f t="shared" si="60"/>
        <v>128922</v>
      </c>
      <c r="AU241" s="45"/>
      <c r="AV241" s="53">
        <v>0</v>
      </c>
      <c r="AW241" s="53"/>
      <c r="AX241" s="53">
        <v>0</v>
      </c>
      <c r="AY241" s="53"/>
      <c r="AZ241" s="53">
        <f t="shared" si="55"/>
        <v>-24866</v>
      </c>
      <c r="BA241" s="51"/>
      <c r="BB241" s="44" t="s">
        <v>515</v>
      </c>
      <c r="BC241" s="47"/>
      <c r="BD241" s="44" t="s">
        <v>163</v>
      </c>
      <c r="BE241" s="53"/>
      <c r="BF241" s="53">
        <v>0</v>
      </c>
      <c r="BG241" s="53"/>
      <c r="BH241" s="53">
        <v>0</v>
      </c>
      <c r="BI241" s="53"/>
      <c r="BJ241" s="53">
        <f>265021+80382+24570+36892</f>
        <v>406865</v>
      </c>
      <c r="BK241" s="53"/>
      <c r="BL241" s="53">
        <f>372909+38327+7912</f>
        <v>419148</v>
      </c>
      <c r="BM241" s="53"/>
      <c r="BN241" s="53">
        <f t="shared" ref="BN241" si="68">SUM(BF241:BL241)</f>
        <v>826013</v>
      </c>
      <c r="BO241" s="54"/>
      <c r="BS241" s="55"/>
      <c r="BT241" s="55"/>
      <c r="BU241" s="84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</row>
    <row r="242" spans="1:95" s="35" customFormat="1" ht="12.75" customHeight="1" x14ac:dyDescent="0.2">
      <c r="A242" s="35" t="s">
        <v>266</v>
      </c>
      <c r="B242" s="51"/>
      <c r="C242" s="35" t="s">
        <v>267</v>
      </c>
      <c r="D242" s="44"/>
      <c r="E242" s="53">
        <f t="shared" si="56"/>
        <v>1410488</v>
      </c>
      <c r="F242" s="53"/>
      <c r="G242" s="53">
        <v>7128076</v>
      </c>
      <c r="H242" s="53"/>
      <c r="I242" s="53">
        <v>8538564</v>
      </c>
      <c r="J242" s="53"/>
      <c r="K242" s="53">
        <f t="shared" si="57"/>
        <v>1830707</v>
      </c>
      <c r="L242" s="53"/>
      <c r="M242" s="53">
        <v>209726</v>
      </c>
      <c r="N242" s="53"/>
      <c r="O242" s="53">
        <v>2040433</v>
      </c>
      <c r="P242" s="53"/>
      <c r="Q242" s="53">
        <v>5166493</v>
      </c>
      <c r="R242" s="53"/>
      <c r="S242" s="53">
        <v>0</v>
      </c>
      <c r="T242" s="53"/>
      <c r="U242" s="53">
        <v>1331638</v>
      </c>
      <c r="V242" s="53"/>
      <c r="W242" s="53">
        <f t="shared" ref="W242" si="69">SUM(Q242:U242)</f>
        <v>6498131</v>
      </c>
      <c r="X242" s="51"/>
      <c r="Y242" s="51"/>
      <c r="Z242" s="35" t="s">
        <v>266</v>
      </c>
      <c r="AA242" s="53"/>
      <c r="AB242" s="35" t="s">
        <v>267</v>
      </c>
      <c r="AC242" s="51"/>
      <c r="AD242" s="53">
        <v>1545521</v>
      </c>
      <c r="AE242" s="53"/>
      <c r="AF242" s="53">
        <f>1127135-198160</f>
        <v>928975</v>
      </c>
      <c r="AG242" s="53"/>
      <c r="AH242" s="53">
        <v>198160</v>
      </c>
      <c r="AI242" s="53"/>
      <c r="AJ242" s="45">
        <f t="shared" si="61"/>
        <v>418386</v>
      </c>
      <c r="AK242" s="45"/>
      <c r="AL242" s="53">
        <v>-51450</v>
      </c>
      <c r="AM242" s="45"/>
      <c r="AN242" s="53">
        <v>0</v>
      </c>
      <c r="AO242" s="53"/>
      <c r="AP242" s="53">
        <v>0</v>
      </c>
      <c r="AQ242" s="53"/>
      <c r="AR242" s="53">
        <v>0</v>
      </c>
      <c r="AS242" s="53"/>
      <c r="AT242" s="45">
        <f t="shared" si="60"/>
        <v>366936</v>
      </c>
      <c r="AU242" s="45"/>
      <c r="AV242" s="53">
        <v>0</v>
      </c>
      <c r="AW242" s="53"/>
      <c r="AX242" s="53">
        <v>0</v>
      </c>
      <c r="AY242" s="53"/>
      <c r="AZ242" s="53">
        <f t="shared" si="55"/>
        <v>-420219</v>
      </c>
      <c r="BA242" s="51"/>
      <c r="BB242" s="35" t="s">
        <v>266</v>
      </c>
      <c r="BD242" s="35" t="s">
        <v>267</v>
      </c>
      <c r="BE242" s="53"/>
      <c r="BF242" s="53">
        <v>0</v>
      </c>
      <c r="BG242" s="53"/>
      <c r="BH242" s="53">
        <v>0</v>
      </c>
      <c r="BI242" s="53"/>
      <c r="BJ242" s="53">
        <f>197027+14556</f>
        <v>211583</v>
      </c>
      <c r="BK242" s="53"/>
      <c r="BL242" s="53">
        <f>12699+15677</f>
        <v>28376</v>
      </c>
      <c r="BM242" s="53"/>
      <c r="BN242" s="53">
        <f t="shared" ref="BN242" si="70">SUM(BF242:BL242)</f>
        <v>239959</v>
      </c>
      <c r="BO242" s="54"/>
      <c r="BS242" s="55"/>
      <c r="BT242" s="55"/>
      <c r="BU242" s="84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</row>
    <row r="243" spans="1:95" s="35" customFormat="1" ht="12.75" customHeight="1" x14ac:dyDescent="0.2">
      <c r="B243" s="51"/>
      <c r="D243" s="44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 t="s">
        <v>484</v>
      </c>
      <c r="X243" s="51"/>
      <c r="Y243" s="51"/>
      <c r="AA243" s="53"/>
      <c r="AC243" s="51"/>
      <c r="AD243" s="53"/>
      <c r="AE243" s="53"/>
      <c r="AF243" s="53"/>
      <c r="AG243" s="53"/>
      <c r="AH243" s="53"/>
      <c r="AI243" s="53"/>
      <c r="AJ243" s="45"/>
      <c r="AK243" s="45"/>
      <c r="AL243" s="53"/>
      <c r="AM243" s="45"/>
      <c r="AN243" s="53"/>
      <c r="AO243" s="53"/>
      <c r="AP243" s="53"/>
      <c r="AQ243" s="53"/>
      <c r="AR243" s="53"/>
      <c r="AS243" s="53"/>
      <c r="AT243" s="45"/>
      <c r="AU243" s="45"/>
      <c r="AV243" s="53"/>
      <c r="AW243" s="53"/>
      <c r="AX243" s="53"/>
      <c r="AY243" s="53"/>
      <c r="AZ243" s="53" t="s">
        <v>484</v>
      </c>
      <c r="BA243" s="51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 t="s">
        <v>484</v>
      </c>
      <c r="BO243" s="54"/>
      <c r="BS243" s="55"/>
      <c r="BT243" s="55"/>
      <c r="BU243" s="84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</row>
    <row r="244" spans="1:95" s="64" customFormat="1" ht="12.75" customHeight="1" x14ac:dyDescent="0.2">
      <c r="A244" s="64" t="s">
        <v>268</v>
      </c>
      <c r="B244" s="66"/>
      <c r="C244" s="64" t="s">
        <v>269</v>
      </c>
      <c r="D244" s="46"/>
      <c r="E244" s="79">
        <f t="shared" ref="E244:E261" si="71">I244-G244</f>
        <v>274243</v>
      </c>
      <c r="F244" s="79"/>
      <c r="G244" s="79">
        <v>4101557</v>
      </c>
      <c r="H244" s="79"/>
      <c r="I244" s="79">
        <v>4375800</v>
      </c>
      <c r="J244" s="79"/>
      <c r="K244" s="79">
        <f t="shared" ref="K244:K261" si="72">O244-M244</f>
        <v>51083</v>
      </c>
      <c r="L244" s="79"/>
      <c r="M244" s="79">
        <v>314953</v>
      </c>
      <c r="N244" s="79"/>
      <c r="O244" s="79">
        <v>366036</v>
      </c>
      <c r="P244" s="79"/>
      <c r="Q244" s="79">
        <v>3766583</v>
      </c>
      <c r="R244" s="79"/>
      <c r="S244" s="79">
        <v>0</v>
      </c>
      <c r="T244" s="79"/>
      <c r="U244" s="79">
        <v>243181</v>
      </c>
      <c r="V244" s="79"/>
      <c r="W244" s="79">
        <f t="shared" ref="W244:W261" si="73">SUM(Q244:U244)</f>
        <v>4009764</v>
      </c>
      <c r="X244" s="66"/>
      <c r="Y244" s="66"/>
      <c r="Z244" s="64" t="s">
        <v>268</v>
      </c>
      <c r="AA244" s="79"/>
      <c r="AB244" s="64" t="s">
        <v>269</v>
      </c>
      <c r="AC244" s="66"/>
      <c r="AD244" s="79">
        <v>775491</v>
      </c>
      <c r="AE244" s="79"/>
      <c r="AF244" s="79">
        <f>825534-148085</f>
        <v>677449</v>
      </c>
      <c r="AG244" s="79"/>
      <c r="AH244" s="79">
        <v>148085</v>
      </c>
      <c r="AI244" s="79"/>
      <c r="AJ244" s="94">
        <f t="shared" ref="AJ244:AJ261" si="74">+AD244-AF244-AH244</f>
        <v>-50043</v>
      </c>
      <c r="AK244" s="94"/>
      <c r="AL244" s="79">
        <v>-10082</v>
      </c>
      <c r="AM244" s="94"/>
      <c r="AN244" s="79">
        <v>20000</v>
      </c>
      <c r="AO244" s="79"/>
      <c r="AP244" s="79">
        <v>0</v>
      </c>
      <c r="AQ244" s="79"/>
      <c r="AR244" s="79">
        <v>0</v>
      </c>
      <c r="AS244" s="79"/>
      <c r="AT244" s="94">
        <f t="shared" ref="AT244:AT261" si="75">+AJ244+AL244+AN244-AP244+AR244</f>
        <v>-40125</v>
      </c>
      <c r="AU244" s="94"/>
      <c r="AV244" s="79">
        <v>0</v>
      </c>
      <c r="AW244" s="79"/>
      <c r="AX244" s="79">
        <v>0</v>
      </c>
      <c r="AY244" s="79"/>
      <c r="AZ244" s="79">
        <f t="shared" ref="AZ244:AZ261" si="76">E244-K244</f>
        <v>223160</v>
      </c>
      <c r="BA244" s="66"/>
      <c r="BB244" s="64" t="s">
        <v>268</v>
      </c>
      <c r="BD244" s="64" t="s">
        <v>269</v>
      </c>
      <c r="BE244" s="79"/>
      <c r="BF244" s="79">
        <v>0</v>
      </c>
      <c r="BG244" s="79"/>
      <c r="BH244" s="79">
        <v>0</v>
      </c>
      <c r="BI244" s="79"/>
      <c r="BJ244" s="79">
        <f>52033+249031+5477+28433</f>
        <v>334974</v>
      </c>
      <c r="BK244" s="79"/>
      <c r="BL244" s="79">
        <v>13889</v>
      </c>
      <c r="BM244" s="79"/>
      <c r="BN244" s="79">
        <f t="shared" ref="BN244:BN261" si="77">SUM(BF244:BL244)</f>
        <v>348863</v>
      </c>
      <c r="BO244" s="91"/>
      <c r="BS244" s="90"/>
      <c r="BT244" s="90"/>
      <c r="BU244" s="95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</row>
    <row r="245" spans="1:95" s="35" customFormat="1" ht="12.75" customHeight="1" x14ac:dyDescent="0.2">
      <c r="A245" s="35" t="s">
        <v>270</v>
      </c>
      <c r="B245" s="51"/>
      <c r="C245" s="35" t="s">
        <v>136</v>
      </c>
      <c r="D245" s="44"/>
      <c r="E245" s="53">
        <f t="shared" si="71"/>
        <v>701081</v>
      </c>
      <c r="F245" s="53"/>
      <c r="G245" s="53">
        <v>3633786</v>
      </c>
      <c r="H245" s="53"/>
      <c r="I245" s="53">
        <v>4334867</v>
      </c>
      <c r="J245" s="53"/>
      <c r="K245" s="53">
        <f t="shared" si="72"/>
        <v>841203</v>
      </c>
      <c r="L245" s="53"/>
      <c r="M245" s="53">
        <v>549580</v>
      </c>
      <c r="N245" s="53"/>
      <c r="O245" s="53">
        <v>1390783</v>
      </c>
      <c r="P245" s="53"/>
      <c r="Q245" s="53">
        <v>2795215</v>
      </c>
      <c r="R245" s="53"/>
      <c r="S245" s="53">
        <v>0</v>
      </c>
      <c r="T245" s="53"/>
      <c r="U245" s="53">
        <v>148869</v>
      </c>
      <c r="V245" s="53"/>
      <c r="W245" s="53">
        <f t="shared" si="73"/>
        <v>2944084</v>
      </c>
      <c r="X245" s="51"/>
      <c r="Y245" s="51"/>
      <c r="Z245" s="35" t="s">
        <v>270</v>
      </c>
      <c r="AA245" s="53"/>
      <c r="AB245" s="35" t="s">
        <v>136</v>
      </c>
      <c r="AC245" s="51"/>
      <c r="AD245" s="53">
        <v>1572361</v>
      </c>
      <c r="AE245" s="53"/>
      <c r="AF245" s="53">
        <f>1402231-92275</f>
        <v>1309956</v>
      </c>
      <c r="AG245" s="53"/>
      <c r="AH245" s="53">
        <v>92275</v>
      </c>
      <c r="AI245" s="53"/>
      <c r="AJ245" s="45">
        <f t="shared" si="74"/>
        <v>170130</v>
      </c>
      <c r="AK245" s="45"/>
      <c r="AL245" s="53">
        <v>628608</v>
      </c>
      <c r="AM245" s="45"/>
      <c r="AN245" s="53">
        <v>0</v>
      </c>
      <c r="AO245" s="53"/>
      <c r="AP245" s="53">
        <v>0</v>
      </c>
      <c r="AQ245" s="53"/>
      <c r="AR245" s="53">
        <v>0</v>
      </c>
      <c r="AS245" s="53"/>
      <c r="AT245" s="45">
        <f t="shared" si="75"/>
        <v>798738</v>
      </c>
      <c r="AU245" s="45"/>
      <c r="AV245" s="53">
        <v>0</v>
      </c>
      <c r="AW245" s="53"/>
      <c r="AX245" s="53">
        <v>0</v>
      </c>
      <c r="AY245" s="53"/>
      <c r="AZ245" s="53">
        <f t="shared" si="76"/>
        <v>-140122</v>
      </c>
      <c r="BA245" s="51"/>
      <c r="BB245" s="35" t="s">
        <v>270</v>
      </c>
      <c r="BD245" s="35" t="s">
        <v>136</v>
      </c>
      <c r="BE245" s="53"/>
      <c r="BF245" s="53">
        <v>0</v>
      </c>
      <c r="BG245" s="53"/>
      <c r="BH245" s="53">
        <v>0</v>
      </c>
      <c r="BI245" s="53"/>
      <c r="BJ245" s="53">
        <f>181483+346461+38258+86816</f>
        <v>653018</v>
      </c>
      <c r="BK245" s="53"/>
      <c r="BL245" s="53">
        <f>16875+21636</f>
        <v>38511</v>
      </c>
      <c r="BM245" s="53"/>
      <c r="BN245" s="53">
        <f>SUM(BF245:BL245)</f>
        <v>691529</v>
      </c>
      <c r="BO245" s="54"/>
      <c r="BS245" s="55"/>
      <c r="BT245" s="55"/>
      <c r="BU245" s="84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</row>
    <row r="246" spans="1:95" s="35" customFormat="1" ht="12.75" customHeight="1" x14ac:dyDescent="0.2">
      <c r="A246" s="35" t="s">
        <v>271</v>
      </c>
      <c r="B246" s="51"/>
      <c r="C246" s="35" t="s">
        <v>66</v>
      </c>
      <c r="D246" s="44"/>
      <c r="E246" s="53">
        <f t="shared" si="71"/>
        <v>1214816</v>
      </c>
      <c r="F246" s="53"/>
      <c r="G246" s="53">
        <f>29500+4246748</f>
        <v>4276248</v>
      </c>
      <c r="H246" s="53"/>
      <c r="I246" s="53">
        <v>5491064</v>
      </c>
      <c r="J246" s="53"/>
      <c r="K246" s="53">
        <f t="shared" si="72"/>
        <v>307672</v>
      </c>
      <c r="L246" s="53"/>
      <c r="M246" s="53">
        <f>27702+3218643</f>
        <v>3246345</v>
      </c>
      <c r="N246" s="53"/>
      <c r="O246" s="53">
        <v>3554017</v>
      </c>
      <c r="P246" s="53"/>
      <c r="Q246" s="53">
        <v>847983</v>
      </c>
      <c r="R246" s="53"/>
      <c r="S246" s="53">
        <v>0</v>
      </c>
      <c r="T246" s="53"/>
      <c r="U246" s="53">
        <v>1089064</v>
      </c>
      <c r="V246" s="53"/>
      <c r="W246" s="53">
        <f t="shared" si="73"/>
        <v>1937047</v>
      </c>
      <c r="X246" s="51"/>
      <c r="Y246" s="51"/>
      <c r="Z246" s="35" t="s">
        <v>271</v>
      </c>
      <c r="AA246" s="53"/>
      <c r="AB246" s="35" t="s">
        <v>66</v>
      </c>
      <c r="AC246" s="51"/>
      <c r="AD246" s="53">
        <v>1799999</v>
      </c>
      <c r="AE246" s="53"/>
      <c r="AF246" s="53">
        <f>1398038-357410</f>
        <v>1040628</v>
      </c>
      <c r="AG246" s="53"/>
      <c r="AH246" s="53">
        <v>357410</v>
      </c>
      <c r="AI246" s="53"/>
      <c r="AJ246" s="45">
        <f t="shared" si="74"/>
        <v>401961</v>
      </c>
      <c r="AK246" s="45"/>
      <c r="AL246" s="53">
        <v>-110334</v>
      </c>
      <c r="AM246" s="45"/>
      <c r="AN246" s="53">
        <v>0</v>
      </c>
      <c r="AO246" s="53"/>
      <c r="AP246" s="53">
        <v>0</v>
      </c>
      <c r="AQ246" s="53"/>
      <c r="AR246" s="53">
        <v>0</v>
      </c>
      <c r="AS246" s="53"/>
      <c r="AT246" s="45">
        <f t="shared" si="75"/>
        <v>291627</v>
      </c>
      <c r="AU246" s="45"/>
      <c r="AV246" s="53">
        <v>0</v>
      </c>
      <c r="AW246" s="53"/>
      <c r="AX246" s="53">
        <v>0</v>
      </c>
      <c r="AY246" s="53"/>
      <c r="AZ246" s="53">
        <f t="shared" si="76"/>
        <v>907144</v>
      </c>
      <c r="BA246" s="51"/>
      <c r="BB246" s="35" t="s">
        <v>271</v>
      </c>
      <c r="BD246" s="35" t="s">
        <v>66</v>
      </c>
      <c r="BE246" s="53"/>
      <c r="BF246" s="53">
        <v>0</v>
      </c>
      <c r="BG246" s="53"/>
      <c r="BH246" s="53">
        <v>0</v>
      </c>
      <c r="BI246" s="53"/>
      <c r="BJ246" s="53">
        <f>3218643+209622</f>
        <v>3428265</v>
      </c>
      <c r="BK246" s="53"/>
      <c r="BL246" s="53">
        <f>209622+27702</f>
        <v>237324</v>
      </c>
      <c r="BM246" s="53"/>
      <c r="BN246" s="53">
        <f t="shared" si="77"/>
        <v>3665589</v>
      </c>
      <c r="BO246" s="54"/>
      <c r="BS246" s="55"/>
      <c r="BT246" s="55"/>
      <c r="BU246" s="84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</row>
    <row r="247" spans="1:95" s="35" customFormat="1" ht="12.75" customHeight="1" x14ac:dyDescent="0.2">
      <c r="A247" s="35" t="s">
        <v>272</v>
      </c>
      <c r="B247" s="51"/>
      <c r="C247" s="35" t="s">
        <v>43</v>
      </c>
      <c r="D247" s="44"/>
      <c r="E247" s="53">
        <f t="shared" si="71"/>
        <v>8149679</v>
      </c>
      <c r="F247" s="53"/>
      <c r="G247" s="53">
        <v>28815230</v>
      </c>
      <c r="H247" s="53"/>
      <c r="I247" s="53">
        <v>36964909</v>
      </c>
      <c r="J247" s="53"/>
      <c r="K247" s="53">
        <f t="shared" si="72"/>
        <v>657233</v>
      </c>
      <c r="L247" s="53"/>
      <c r="M247" s="53">
        <v>6568278</v>
      </c>
      <c r="N247" s="53"/>
      <c r="O247" s="53">
        <v>7225511</v>
      </c>
      <c r="P247" s="53"/>
      <c r="Q247" s="53">
        <v>22846559</v>
      </c>
      <c r="R247" s="53"/>
      <c r="S247" s="53">
        <v>0</v>
      </c>
      <c r="T247" s="53"/>
      <c r="U247" s="53">
        <v>6892839</v>
      </c>
      <c r="V247" s="53"/>
      <c r="W247" s="53">
        <f t="shared" si="73"/>
        <v>29739398</v>
      </c>
      <c r="X247" s="51"/>
      <c r="Y247" s="51"/>
      <c r="Z247" s="35" t="s">
        <v>272</v>
      </c>
      <c r="AA247" s="53"/>
      <c r="AB247" s="35" t="s">
        <v>43</v>
      </c>
      <c r="AC247" s="51"/>
      <c r="AD247" s="53">
        <v>2939251</v>
      </c>
      <c r="AE247" s="53"/>
      <c r="AF247" s="53">
        <f>3324335-895630</f>
        <v>2428705</v>
      </c>
      <c r="AG247" s="53"/>
      <c r="AH247" s="53">
        <v>895630</v>
      </c>
      <c r="AI247" s="53"/>
      <c r="AJ247" s="45">
        <f t="shared" si="74"/>
        <v>-385084</v>
      </c>
      <c r="AK247" s="45"/>
      <c r="AL247" s="53">
        <f>-302574+199295</f>
        <v>-103279</v>
      </c>
      <c r="AM247" s="45"/>
      <c r="AN247" s="53">
        <v>0</v>
      </c>
      <c r="AO247" s="53"/>
      <c r="AP247" s="53">
        <v>0</v>
      </c>
      <c r="AQ247" s="53"/>
      <c r="AR247" s="53">
        <v>73240</v>
      </c>
      <c r="AS247" s="53"/>
      <c r="AT247" s="45">
        <f t="shared" si="75"/>
        <v>-415123</v>
      </c>
      <c r="AU247" s="45"/>
      <c r="AV247" s="53">
        <v>0</v>
      </c>
      <c r="AW247" s="53"/>
      <c r="AX247" s="53">
        <v>0</v>
      </c>
      <c r="AY247" s="53"/>
      <c r="AZ247" s="53">
        <f t="shared" si="76"/>
        <v>7492446</v>
      </c>
      <c r="BA247" s="51"/>
      <c r="BB247" s="35" t="s">
        <v>272</v>
      </c>
      <c r="BD247" s="35" t="s">
        <v>43</v>
      </c>
      <c r="BE247" s="53"/>
      <c r="BF247" s="53">
        <f>4942653+207685</f>
        <v>5150338</v>
      </c>
      <c r="BG247" s="53"/>
      <c r="BH247" s="53">
        <v>0</v>
      </c>
      <c r="BI247" s="53"/>
      <c r="BJ247" s="53">
        <f>1552023+45116</f>
        <v>1597139</v>
      </c>
      <c r="BK247" s="53"/>
      <c r="BL247" s="53">
        <f>73602+132127</f>
        <v>205729</v>
      </c>
      <c r="BM247" s="53"/>
      <c r="BN247" s="53">
        <f t="shared" si="77"/>
        <v>6953206</v>
      </c>
      <c r="BO247" s="54"/>
      <c r="BS247" s="55"/>
      <c r="BT247" s="55"/>
      <c r="BU247" s="84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</row>
    <row r="248" spans="1:95" s="126" customFormat="1" ht="12.75" hidden="1" customHeight="1" x14ac:dyDescent="0.2">
      <c r="A248" s="126" t="s">
        <v>273</v>
      </c>
      <c r="B248" s="124"/>
      <c r="C248" s="126" t="s">
        <v>27</v>
      </c>
      <c r="D248" s="121"/>
      <c r="E248" s="53">
        <f t="shared" si="71"/>
        <v>0</v>
      </c>
      <c r="F248" s="53"/>
      <c r="G248" s="53"/>
      <c r="H248" s="53"/>
      <c r="I248" s="53"/>
      <c r="J248" s="53"/>
      <c r="K248" s="53">
        <f t="shared" si="72"/>
        <v>0</v>
      </c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>
        <f t="shared" si="73"/>
        <v>0</v>
      </c>
      <c r="X248" s="124"/>
      <c r="Y248" s="124"/>
      <c r="Z248" s="126" t="s">
        <v>273</v>
      </c>
      <c r="AA248" s="137"/>
      <c r="AB248" s="126" t="s">
        <v>27</v>
      </c>
      <c r="AC248" s="124"/>
      <c r="AD248" s="53"/>
      <c r="AE248" s="53"/>
      <c r="AF248" s="53"/>
      <c r="AG248" s="53"/>
      <c r="AH248" s="53"/>
      <c r="AI248" s="53"/>
      <c r="AJ248" s="45">
        <f t="shared" si="74"/>
        <v>0</v>
      </c>
      <c r="AK248" s="45"/>
      <c r="AL248" s="53"/>
      <c r="AM248" s="45"/>
      <c r="AN248" s="53"/>
      <c r="AO248" s="53"/>
      <c r="AP248" s="53"/>
      <c r="AQ248" s="53"/>
      <c r="AR248" s="53"/>
      <c r="AS248" s="53"/>
      <c r="AT248" s="45">
        <f t="shared" si="75"/>
        <v>0</v>
      </c>
      <c r="AU248" s="45"/>
      <c r="AV248" s="53">
        <v>0</v>
      </c>
      <c r="AW248" s="53"/>
      <c r="AX248" s="53">
        <v>0</v>
      </c>
      <c r="AY248" s="53"/>
      <c r="AZ248" s="53">
        <f t="shared" si="76"/>
        <v>0</v>
      </c>
      <c r="BA248" s="124"/>
      <c r="BB248" s="126" t="s">
        <v>273</v>
      </c>
      <c r="BD248" s="126" t="s">
        <v>27</v>
      </c>
      <c r="BE248" s="137"/>
      <c r="BF248" s="53"/>
      <c r="BG248" s="53"/>
      <c r="BH248" s="53"/>
      <c r="BI248" s="53"/>
      <c r="BJ248" s="53"/>
      <c r="BK248" s="53"/>
      <c r="BL248" s="53"/>
      <c r="BM248" s="137"/>
      <c r="BN248" s="137">
        <f t="shared" si="77"/>
        <v>0</v>
      </c>
      <c r="BO248" s="139"/>
      <c r="BS248" s="140"/>
      <c r="BT248" s="140"/>
      <c r="BU248" s="141"/>
      <c r="BV248" s="140"/>
      <c r="BW248" s="140"/>
      <c r="BX248" s="140"/>
      <c r="BY248" s="140"/>
      <c r="BZ248" s="140"/>
      <c r="CA248" s="140"/>
      <c r="CB248" s="140"/>
      <c r="CC248" s="140"/>
      <c r="CD248" s="140"/>
      <c r="CE248" s="140"/>
      <c r="CF248" s="140"/>
      <c r="CG248" s="140"/>
      <c r="CH248" s="140"/>
      <c r="CI248" s="140"/>
      <c r="CJ248" s="140"/>
      <c r="CK248" s="140"/>
      <c r="CL248" s="140"/>
      <c r="CM248" s="140"/>
      <c r="CN248" s="140"/>
      <c r="CO248" s="140"/>
      <c r="CP248" s="140"/>
      <c r="CQ248" s="140"/>
    </row>
    <row r="249" spans="1:95" s="126" customFormat="1" ht="12.75" hidden="1" customHeight="1" x14ac:dyDescent="0.2">
      <c r="A249" s="126" t="s">
        <v>274</v>
      </c>
      <c r="B249" s="124"/>
      <c r="C249" s="126" t="s">
        <v>43</v>
      </c>
      <c r="D249" s="121"/>
      <c r="E249" s="53">
        <f t="shared" si="71"/>
        <v>0</v>
      </c>
      <c r="F249" s="53"/>
      <c r="G249" s="53"/>
      <c r="H249" s="53"/>
      <c r="I249" s="53"/>
      <c r="J249" s="53"/>
      <c r="K249" s="53">
        <f t="shared" si="72"/>
        <v>0</v>
      </c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>
        <f t="shared" si="73"/>
        <v>0</v>
      </c>
      <c r="X249" s="124"/>
      <c r="Y249" s="124"/>
      <c r="Z249" s="126" t="s">
        <v>274</v>
      </c>
      <c r="AA249" s="137"/>
      <c r="AB249" s="126" t="s">
        <v>43</v>
      </c>
      <c r="AC249" s="124"/>
      <c r="AD249" s="53"/>
      <c r="AE249" s="53"/>
      <c r="AF249" s="53"/>
      <c r="AG249" s="53"/>
      <c r="AH249" s="53"/>
      <c r="AI249" s="53"/>
      <c r="AJ249" s="45">
        <f t="shared" si="74"/>
        <v>0</v>
      </c>
      <c r="AK249" s="45"/>
      <c r="AL249" s="53"/>
      <c r="AM249" s="45"/>
      <c r="AN249" s="53"/>
      <c r="AO249" s="53"/>
      <c r="AP249" s="53"/>
      <c r="AQ249" s="53"/>
      <c r="AR249" s="53"/>
      <c r="AS249" s="53"/>
      <c r="AT249" s="45">
        <f t="shared" si="75"/>
        <v>0</v>
      </c>
      <c r="AU249" s="45"/>
      <c r="AV249" s="53">
        <v>0</v>
      </c>
      <c r="AW249" s="53"/>
      <c r="AX249" s="53">
        <v>0</v>
      </c>
      <c r="AY249" s="53"/>
      <c r="AZ249" s="53">
        <f t="shared" si="76"/>
        <v>0</v>
      </c>
      <c r="BA249" s="124"/>
      <c r="BB249" s="126" t="s">
        <v>274</v>
      </c>
      <c r="BD249" s="126" t="s">
        <v>43</v>
      </c>
      <c r="BE249" s="137"/>
      <c r="BF249" s="53"/>
      <c r="BG249" s="53"/>
      <c r="BH249" s="53"/>
      <c r="BI249" s="53"/>
      <c r="BJ249" s="53"/>
      <c r="BK249" s="53"/>
      <c r="BL249" s="53"/>
      <c r="BM249" s="137"/>
      <c r="BN249" s="137">
        <f t="shared" si="77"/>
        <v>0</v>
      </c>
      <c r="BO249" s="139"/>
      <c r="BS249" s="140"/>
      <c r="BT249" s="140"/>
      <c r="BU249" s="141"/>
      <c r="BV249" s="140"/>
      <c r="BW249" s="140"/>
      <c r="BX249" s="140"/>
      <c r="BY249" s="140"/>
      <c r="BZ249" s="140"/>
      <c r="CA249" s="140"/>
      <c r="CB249" s="140"/>
      <c r="CC249" s="140"/>
      <c r="CD249" s="140"/>
      <c r="CE249" s="140"/>
      <c r="CF249" s="140"/>
      <c r="CG249" s="140"/>
      <c r="CH249" s="140"/>
      <c r="CI249" s="140"/>
      <c r="CJ249" s="140"/>
      <c r="CK249" s="140"/>
      <c r="CL249" s="140"/>
      <c r="CM249" s="140"/>
      <c r="CN249" s="140"/>
      <c r="CO249" s="140"/>
      <c r="CP249" s="140"/>
      <c r="CQ249" s="140"/>
    </row>
    <row r="250" spans="1:95" s="126" customFormat="1" ht="12.75" hidden="1" customHeight="1" x14ac:dyDescent="0.2">
      <c r="A250" s="126" t="s">
        <v>275</v>
      </c>
      <c r="B250" s="124"/>
      <c r="C250" s="126" t="s">
        <v>92</v>
      </c>
      <c r="D250" s="121"/>
      <c r="E250" s="53">
        <f t="shared" si="71"/>
        <v>0</v>
      </c>
      <c r="F250" s="53"/>
      <c r="G250" s="53"/>
      <c r="H250" s="53"/>
      <c r="I250" s="53"/>
      <c r="J250" s="53"/>
      <c r="K250" s="53">
        <f t="shared" si="72"/>
        <v>0</v>
      </c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>
        <f t="shared" si="73"/>
        <v>0</v>
      </c>
      <c r="X250" s="124"/>
      <c r="Y250" s="124"/>
      <c r="Z250" s="126" t="s">
        <v>275</v>
      </c>
      <c r="AA250" s="137"/>
      <c r="AB250" s="126" t="s">
        <v>92</v>
      </c>
      <c r="AC250" s="124"/>
      <c r="AD250" s="53"/>
      <c r="AE250" s="53"/>
      <c r="AF250" s="53"/>
      <c r="AG250" s="53"/>
      <c r="AH250" s="53"/>
      <c r="AI250" s="53"/>
      <c r="AJ250" s="45">
        <f t="shared" si="74"/>
        <v>0</v>
      </c>
      <c r="AK250" s="45"/>
      <c r="AL250" s="53"/>
      <c r="AM250" s="45"/>
      <c r="AN250" s="53"/>
      <c r="AO250" s="53"/>
      <c r="AP250" s="53"/>
      <c r="AQ250" s="53"/>
      <c r="AR250" s="53"/>
      <c r="AS250" s="53"/>
      <c r="AT250" s="45">
        <f t="shared" si="75"/>
        <v>0</v>
      </c>
      <c r="AU250" s="45"/>
      <c r="AV250" s="53">
        <v>0</v>
      </c>
      <c r="AW250" s="53"/>
      <c r="AX250" s="53">
        <v>0</v>
      </c>
      <c r="AY250" s="53"/>
      <c r="AZ250" s="53">
        <f t="shared" si="76"/>
        <v>0</v>
      </c>
      <c r="BA250" s="124"/>
      <c r="BB250" s="126" t="s">
        <v>275</v>
      </c>
      <c r="BD250" s="126" t="s">
        <v>92</v>
      </c>
      <c r="BE250" s="137"/>
      <c r="BF250" s="53"/>
      <c r="BG250" s="53"/>
      <c r="BH250" s="53"/>
      <c r="BI250" s="53"/>
      <c r="BJ250" s="53"/>
      <c r="BK250" s="53"/>
      <c r="BL250" s="53"/>
      <c r="BM250" s="137"/>
      <c r="BN250" s="137">
        <f t="shared" si="77"/>
        <v>0</v>
      </c>
      <c r="BO250" s="139"/>
      <c r="BS250" s="140"/>
      <c r="BT250" s="140"/>
      <c r="BU250" s="141"/>
      <c r="BV250" s="140"/>
      <c r="BW250" s="140"/>
      <c r="BX250" s="140"/>
      <c r="BY250" s="140"/>
      <c r="BZ250" s="140"/>
      <c r="CA250" s="140"/>
      <c r="CB250" s="140"/>
      <c r="CC250" s="140"/>
      <c r="CD250" s="140"/>
      <c r="CE250" s="140"/>
      <c r="CF250" s="140"/>
      <c r="CG250" s="140"/>
      <c r="CH250" s="140"/>
      <c r="CI250" s="140"/>
      <c r="CJ250" s="140"/>
      <c r="CK250" s="140"/>
      <c r="CL250" s="140"/>
      <c r="CM250" s="140"/>
      <c r="CN250" s="140"/>
      <c r="CO250" s="140"/>
      <c r="CP250" s="140"/>
      <c r="CQ250" s="140"/>
    </row>
    <row r="251" spans="1:95" s="35" customFormat="1" ht="12.75" customHeight="1" x14ac:dyDescent="0.2">
      <c r="A251" s="35" t="s">
        <v>276</v>
      </c>
      <c r="B251" s="51"/>
      <c r="C251" s="35" t="s">
        <v>38</v>
      </c>
      <c r="D251" s="44"/>
      <c r="E251" s="53">
        <f t="shared" si="71"/>
        <v>1814631</v>
      </c>
      <c r="F251" s="53"/>
      <c r="G251" s="53">
        <v>6048254</v>
      </c>
      <c r="H251" s="53"/>
      <c r="I251" s="53">
        <v>7862885</v>
      </c>
      <c r="J251" s="53"/>
      <c r="K251" s="53">
        <f t="shared" si="72"/>
        <v>406662</v>
      </c>
      <c r="L251" s="53"/>
      <c r="M251" s="53">
        <v>370602</v>
      </c>
      <c r="N251" s="53"/>
      <c r="O251" s="53">
        <v>777264</v>
      </c>
      <c r="P251" s="53"/>
      <c r="Q251" s="53">
        <v>5489470</v>
      </c>
      <c r="R251" s="53"/>
      <c r="S251" s="53">
        <v>0</v>
      </c>
      <c r="T251" s="53"/>
      <c r="U251" s="53">
        <v>1596151</v>
      </c>
      <c r="V251" s="53"/>
      <c r="W251" s="53">
        <f t="shared" si="73"/>
        <v>7085621</v>
      </c>
      <c r="X251" s="51"/>
      <c r="Y251" s="51"/>
      <c r="Z251" s="35" t="s">
        <v>276</v>
      </c>
      <c r="AA251" s="53"/>
      <c r="AB251" s="35" t="s">
        <v>38</v>
      </c>
      <c r="AC251" s="51"/>
      <c r="AD251" s="53">
        <v>1340859</v>
      </c>
      <c r="AE251" s="53"/>
      <c r="AF251" s="53">
        <f>1388136-256500</f>
        <v>1131636</v>
      </c>
      <c r="AG251" s="53"/>
      <c r="AH251" s="53">
        <v>256500</v>
      </c>
      <c r="AI251" s="53"/>
      <c r="AJ251" s="45">
        <f t="shared" si="74"/>
        <v>-47277</v>
      </c>
      <c r="AK251" s="45"/>
      <c r="AL251" s="53">
        <v>-8287</v>
      </c>
      <c r="AM251" s="45"/>
      <c r="AN251" s="53">
        <v>0</v>
      </c>
      <c r="AO251" s="53"/>
      <c r="AP251" s="53">
        <v>165487</v>
      </c>
      <c r="AQ251" s="53"/>
      <c r="AR251" s="53">
        <v>0</v>
      </c>
      <c r="AS251" s="53"/>
      <c r="AT251" s="45">
        <f t="shared" si="75"/>
        <v>-221051</v>
      </c>
      <c r="AU251" s="45"/>
      <c r="AV251" s="53">
        <v>0</v>
      </c>
      <c r="AW251" s="53"/>
      <c r="AX251" s="53">
        <v>0</v>
      </c>
      <c r="AY251" s="53"/>
      <c r="AZ251" s="53">
        <f t="shared" si="76"/>
        <v>1407969</v>
      </c>
      <c r="BA251" s="51"/>
      <c r="BB251" s="35" t="s">
        <v>276</v>
      </c>
      <c r="BD251" s="35" t="s">
        <v>38</v>
      </c>
      <c r="BE251" s="53"/>
      <c r="BF251" s="53">
        <v>0</v>
      </c>
      <c r="BG251" s="53"/>
      <c r="BH251" s="53">
        <v>0</v>
      </c>
      <c r="BI251" s="53"/>
      <c r="BJ251" s="53">
        <f>24444+5462+216000+199686+113192</f>
        <v>558784</v>
      </c>
      <c r="BK251" s="53"/>
      <c r="BL251" s="53">
        <f>57724+44578</f>
        <v>102302</v>
      </c>
      <c r="BM251" s="53"/>
      <c r="BN251" s="53">
        <f t="shared" si="77"/>
        <v>661086</v>
      </c>
      <c r="BO251" s="54"/>
      <c r="BS251" s="55"/>
      <c r="BT251" s="55"/>
      <c r="BU251" s="84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</row>
    <row r="252" spans="1:95" s="126" customFormat="1" ht="12.75" hidden="1" customHeight="1" x14ac:dyDescent="0.2">
      <c r="A252" s="126" t="s">
        <v>277</v>
      </c>
      <c r="B252" s="124"/>
      <c r="C252" s="126" t="s">
        <v>92</v>
      </c>
      <c r="D252" s="121"/>
      <c r="E252" s="53">
        <f t="shared" si="71"/>
        <v>0</v>
      </c>
      <c r="F252" s="53"/>
      <c r="G252" s="53"/>
      <c r="H252" s="53"/>
      <c r="I252" s="53"/>
      <c r="J252" s="53"/>
      <c r="K252" s="53">
        <f t="shared" si="72"/>
        <v>0</v>
      </c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>
        <f t="shared" si="73"/>
        <v>0</v>
      </c>
      <c r="X252" s="124"/>
      <c r="Y252" s="124"/>
      <c r="Z252" s="126" t="s">
        <v>277</v>
      </c>
      <c r="AA252" s="137"/>
      <c r="AB252" s="126" t="s">
        <v>92</v>
      </c>
      <c r="AC252" s="124"/>
      <c r="AD252" s="53"/>
      <c r="AE252" s="53"/>
      <c r="AF252" s="53"/>
      <c r="AG252" s="53"/>
      <c r="AH252" s="53"/>
      <c r="AI252" s="53"/>
      <c r="AJ252" s="45">
        <f t="shared" si="74"/>
        <v>0</v>
      </c>
      <c r="AK252" s="45"/>
      <c r="AL252" s="53"/>
      <c r="AM252" s="45"/>
      <c r="AN252" s="53"/>
      <c r="AO252" s="53"/>
      <c r="AP252" s="53"/>
      <c r="AQ252" s="53"/>
      <c r="AR252" s="53"/>
      <c r="AS252" s="53"/>
      <c r="AT252" s="45">
        <f t="shared" si="75"/>
        <v>0</v>
      </c>
      <c r="AU252" s="45"/>
      <c r="AV252" s="53">
        <v>0</v>
      </c>
      <c r="AW252" s="53"/>
      <c r="AX252" s="53">
        <v>0</v>
      </c>
      <c r="AY252" s="53"/>
      <c r="AZ252" s="53">
        <f t="shared" si="76"/>
        <v>0</v>
      </c>
      <c r="BA252" s="124"/>
      <c r="BB252" s="126" t="s">
        <v>277</v>
      </c>
      <c r="BD252" s="126" t="s">
        <v>92</v>
      </c>
      <c r="BE252" s="137"/>
      <c r="BF252" s="53"/>
      <c r="BG252" s="53"/>
      <c r="BH252" s="53"/>
      <c r="BI252" s="53"/>
      <c r="BJ252" s="53"/>
      <c r="BK252" s="53"/>
      <c r="BL252" s="53"/>
      <c r="BM252" s="137"/>
      <c r="BN252" s="137">
        <f t="shared" si="77"/>
        <v>0</v>
      </c>
      <c r="BO252" s="139"/>
      <c r="BP252" s="140"/>
      <c r="BS252" s="140"/>
      <c r="BT252" s="140"/>
      <c r="BU252" s="141"/>
      <c r="BV252" s="140"/>
      <c r="BW252" s="140"/>
      <c r="BX252" s="140"/>
      <c r="BY252" s="140"/>
      <c r="BZ252" s="140"/>
      <c r="CA252" s="140"/>
      <c r="CB252" s="140"/>
      <c r="CC252" s="140"/>
      <c r="CD252" s="140"/>
      <c r="CE252" s="140"/>
      <c r="CF252" s="140"/>
      <c r="CG252" s="140"/>
      <c r="CH252" s="140"/>
      <c r="CI252" s="140"/>
      <c r="CJ252" s="140"/>
      <c r="CK252" s="140"/>
      <c r="CL252" s="140"/>
      <c r="CM252" s="140"/>
      <c r="CN252" s="140"/>
      <c r="CO252" s="140"/>
      <c r="CP252" s="140"/>
      <c r="CQ252" s="140"/>
    </row>
    <row r="253" spans="1:95" s="126" customFormat="1" ht="12.75" hidden="1" customHeight="1" x14ac:dyDescent="0.2">
      <c r="A253" s="126" t="s">
        <v>278</v>
      </c>
      <c r="B253" s="124"/>
      <c r="C253" s="126" t="s">
        <v>92</v>
      </c>
      <c r="D253" s="121"/>
      <c r="E253" s="53">
        <f t="shared" si="71"/>
        <v>0</v>
      </c>
      <c r="F253" s="53"/>
      <c r="G253" s="53"/>
      <c r="H253" s="53"/>
      <c r="I253" s="53"/>
      <c r="J253" s="53"/>
      <c r="K253" s="53">
        <f t="shared" si="72"/>
        <v>0</v>
      </c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>
        <f t="shared" si="73"/>
        <v>0</v>
      </c>
      <c r="X253" s="124"/>
      <c r="Y253" s="124"/>
      <c r="Z253" s="126" t="s">
        <v>278</v>
      </c>
      <c r="AA253" s="137"/>
      <c r="AB253" s="126" t="s">
        <v>92</v>
      </c>
      <c r="AC253" s="124"/>
      <c r="AD253" s="53"/>
      <c r="AE253" s="53"/>
      <c r="AF253" s="53"/>
      <c r="AG253" s="53"/>
      <c r="AH253" s="53"/>
      <c r="AI253" s="53"/>
      <c r="AJ253" s="45">
        <f t="shared" si="74"/>
        <v>0</v>
      </c>
      <c r="AK253" s="45"/>
      <c r="AL253" s="53"/>
      <c r="AM253" s="45"/>
      <c r="AN253" s="53"/>
      <c r="AO253" s="53"/>
      <c r="AP253" s="53"/>
      <c r="AQ253" s="53"/>
      <c r="AR253" s="53"/>
      <c r="AS253" s="53"/>
      <c r="AT253" s="45">
        <f t="shared" si="75"/>
        <v>0</v>
      </c>
      <c r="AU253" s="45"/>
      <c r="AV253" s="53">
        <v>0</v>
      </c>
      <c r="AW253" s="53"/>
      <c r="AX253" s="53">
        <v>0</v>
      </c>
      <c r="AY253" s="53"/>
      <c r="AZ253" s="53">
        <f t="shared" si="76"/>
        <v>0</v>
      </c>
      <c r="BA253" s="124"/>
      <c r="BB253" s="126" t="s">
        <v>278</v>
      </c>
      <c r="BD253" s="126" t="s">
        <v>92</v>
      </c>
      <c r="BE253" s="137"/>
      <c r="BF253" s="53"/>
      <c r="BG253" s="53"/>
      <c r="BH253" s="53"/>
      <c r="BI253" s="53"/>
      <c r="BJ253" s="53"/>
      <c r="BK253" s="53"/>
      <c r="BL253" s="53"/>
      <c r="BM253" s="137"/>
      <c r="BN253" s="137">
        <f t="shared" si="77"/>
        <v>0</v>
      </c>
      <c r="BO253" s="139"/>
      <c r="BS253" s="140"/>
      <c r="BT253" s="140"/>
      <c r="BU253" s="141"/>
      <c r="BV253" s="140"/>
      <c r="BW253" s="140"/>
      <c r="BX253" s="140"/>
      <c r="BY253" s="140"/>
      <c r="BZ253" s="140"/>
      <c r="CA253" s="140"/>
      <c r="CB253" s="140"/>
      <c r="CC253" s="140"/>
      <c r="CD253" s="140"/>
      <c r="CE253" s="140"/>
      <c r="CF253" s="140"/>
      <c r="CG253" s="140"/>
      <c r="CH253" s="140"/>
      <c r="CI253" s="140"/>
      <c r="CJ253" s="140"/>
      <c r="CK253" s="140"/>
      <c r="CL253" s="140"/>
      <c r="CM253" s="140"/>
      <c r="CN253" s="140"/>
      <c r="CO253" s="140"/>
      <c r="CP253" s="140"/>
      <c r="CQ253" s="140"/>
    </row>
    <row r="254" spans="1:95" s="126" customFormat="1" ht="12.75" hidden="1" customHeight="1" x14ac:dyDescent="0.2">
      <c r="A254" s="126" t="s">
        <v>279</v>
      </c>
      <c r="B254" s="124"/>
      <c r="C254" s="126" t="s">
        <v>92</v>
      </c>
      <c r="D254" s="121"/>
      <c r="E254" s="53">
        <f t="shared" si="71"/>
        <v>0</v>
      </c>
      <c r="F254" s="53"/>
      <c r="G254" s="53"/>
      <c r="H254" s="53"/>
      <c r="I254" s="53"/>
      <c r="J254" s="53"/>
      <c r="K254" s="53">
        <f t="shared" si="72"/>
        <v>0</v>
      </c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>
        <f t="shared" si="73"/>
        <v>0</v>
      </c>
      <c r="X254" s="124"/>
      <c r="Y254" s="124"/>
      <c r="Z254" s="126" t="s">
        <v>279</v>
      </c>
      <c r="AA254" s="137"/>
      <c r="AB254" s="126" t="s">
        <v>92</v>
      </c>
      <c r="AC254" s="124"/>
      <c r="AD254" s="53"/>
      <c r="AE254" s="53"/>
      <c r="AF254" s="53"/>
      <c r="AG254" s="53"/>
      <c r="AH254" s="53"/>
      <c r="AI254" s="53"/>
      <c r="AJ254" s="45">
        <f t="shared" si="74"/>
        <v>0</v>
      </c>
      <c r="AK254" s="45"/>
      <c r="AL254" s="53"/>
      <c r="AM254" s="45"/>
      <c r="AN254" s="53"/>
      <c r="AO254" s="53"/>
      <c r="AP254" s="53"/>
      <c r="AQ254" s="53"/>
      <c r="AR254" s="53"/>
      <c r="AS254" s="53"/>
      <c r="AT254" s="45">
        <f t="shared" si="75"/>
        <v>0</v>
      </c>
      <c r="AU254" s="45"/>
      <c r="AV254" s="53">
        <v>0</v>
      </c>
      <c r="AW254" s="53"/>
      <c r="AX254" s="53">
        <v>0</v>
      </c>
      <c r="AY254" s="53"/>
      <c r="AZ254" s="53">
        <f t="shared" si="76"/>
        <v>0</v>
      </c>
      <c r="BA254" s="124"/>
      <c r="BB254" s="126" t="s">
        <v>279</v>
      </c>
      <c r="BD254" s="126" t="s">
        <v>92</v>
      </c>
      <c r="BE254" s="137"/>
      <c r="BF254" s="53"/>
      <c r="BG254" s="53"/>
      <c r="BH254" s="53"/>
      <c r="BI254" s="53"/>
      <c r="BJ254" s="53"/>
      <c r="BK254" s="53"/>
      <c r="BL254" s="53"/>
      <c r="BM254" s="137"/>
      <c r="BN254" s="137">
        <f t="shared" si="77"/>
        <v>0</v>
      </c>
      <c r="BO254" s="139"/>
      <c r="BS254" s="140"/>
      <c r="BT254" s="140"/>
      <c r="BU254" s="141"/>
      <c r="BV254" s="140"/>
      <c r="BW254" s="140"/>
      <c r="BX254" s="140"/>
      <c r="BY254" s="140"/>
      <c r="BZ254" s="140"/>
      <c r="CA254" s="140"/>
      <c r="CB254" s="140"/>
      <c r="CC254" s="140"/>
      <c r="CD254" s="140"/>
      <c r="CE254" s="140"/>
      <c r="CF254" s="140"/>
      <c r="CG254" s="140"/>
      <c r="CH254" s="140"/>
      <c r="CI254" s="140"/>
      <c r="CJ254" s="140"/>
      <c r="CK254" s="140"/>
      <c r="CL254" s="140"/>
      <c r="CM254" s="140"/>
      <c r="CN254" s="140"/>
      <c r="CO254" s="140"/>
      <c r="CP254" s="140"/>
      <c r="CQ254" s="140"/>
    </row>
    <row r="255" spans="1:95" s="35" customFormat="1" ht="12.75" customHeight="1" x14ac:dyDescent="0.2">
      <c r="A255" s="35" t="s">
        <v>280</v>
      </c>
      <c r="B255" s="51"/>
      <c r="C255" s="35" t="s">
        <v>281</v>
      </c>
      <c r="D255" s="44"/>
      <c r="E255" s="53">
        <f t="shared" si="71"/>
        <v>2476033</v>
      </c>
      <c r="F255" s="53"/>
      <c r="G255" s="53">
        <v>20673763</v>
      </c>
      <c r="H255" s="53"/>
      <c r="I255" s="53">
        <v>23149796</v>
      </c>
      <c r="J255" s="53"/>
      <c r="K255" s="53">
        <f t="shared" si="72"/>
        <v>587941</v>
      </c>
      <c r="L255" s="53"/>
      <c r="M255" s="53">
        <v>12287007</v>
      </c>
      <c r="N255" s="53"/>
      <c r="O255" s="53">
        <v>12874948</v>
      </c>
      <c r="P255" s="53"/>
      <c r="Q255" s="53">
        <v>7646112</v>
      </c>
      <c r="R255" s="53"/>
      <c r="S255" s="53">
        <v>442034</v>
      </c>
      <c r="T255" s="53"/>
      <c r="U255" s="53">
        <v>2186702</v>
      </c>
      <c r="V255" s="53"/>
      <c r="W255" s="53">
        <f t="shared" si="73"/>
        <v>10274848</v>
      </c>
      <c r="X255" s="51"/>
      <c r="Y255" s="51"/>
      <c r="Z255" s="35" t="s">
        <v>280</v>
      </c>
      <c r="AA255" s="53"/>
      <c r="AB255" s="35" t="s">
        <v>281</v>
      </c>
      <c r="AC255" s="51"/>
      <c r="AD255" s="53">
        <v>2695681</v>
      </c>
      <c r="AE255" s="53"/>
      <c r="AF255" s="53">
        <f>2768982-678961</f>
        <v>2090021</v>
      </c>
      <c r="AG255" s="53"/>
      <c r="AH255" s="53">
        <v>678961</v>
      </c>
      <c r="AI255" s="53"/>
      <c r="AJ255" s="45">
        <f t="shared" si="74"/>
        <v>-73301</v>
      </c>
      <c r="AK255" s="45"/>
      <c r="AL255" s="53">
        <v>-597961</v>
      </c>
      <c r="AM255" s="45"/>
      <c r="AN255" s="53">
        <v>0</v>
      </c>
      <c r="AO255" s="53"/>
      <c r="AP255" s="53">
        <v>0</v>
      </c>
      <c r="AQ255" s="53"/>
      <c r="AR255" s="53">
        <v>0</v>
      </c>
      <c r="AS255" s="53"/>
      <c r="AT255" s="45">
        <f t="shared" si="75"/>
        <v>-671262</v>
      </c>
      <c r="AU255" s="45"/>
      <c r="AV255" s="53">
        <v>0</v>
      </c>
      <c r="AW255" s="53"/>
      <c r="AX255" s="53">
        <v>0</v>
      </c>
      <c r="AY255" s="53"/>
      <c r="AZ255" s="53">
        <f t="shared" si="76"/>
        <v>1888092</v>
      </c>
      <c r="BA255" s="51"/>
      <c r="BB255" s="35" t="s">
        <v>280</v>
      </c>
      <c r="BD255" s="35" t="s">
        <v>281</v>
      </c>
      <c r="BE255" s="53"/>
      <c r="BF255" s="53">
        <v>0</v>
      </c>
      <c r="BG255" s="53"/>
      <c r="BH255" s="53">
        <f>12565000+400000+34148-372494</f>
        <v>12626654</v>
      </c>
      <c r="BI255" s="53"/>
      <c r="BJ255" s="53">
        <v>0</v>
      </c>
      <c r="BK255" s="53"/>
      <c r="BL255" s="53">
        <f>61024+60353</f>
        <v>121377</v>
      </c>
      <c r="BM255" s="53"/>
      <c r="BN255" s="53">
        <f t="shared" si="77"/>
        <v>12748031</v>
      </c>
      <c r="BO255" s="54"/>
      <c r="BS255" s="55"/>
      <c r="BT255" s="55"/>
      <c r="BU255" s="84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</row>
    <row r="256" spans="1:95" s="35" customFormat="1" ht="12.75" customHeight="1" x14ac:dyDescent="0.2">
      <c r="A256" s="35" t="s">
        <v>282</v>
      </c>
      <c r="B256" s="51"/>
      <c r="C256" s="35" t="s">
        <v>199</v>
      </c>
      <c r="D256" s="44"/>
      <c r="E256" s="53">
        <f t="shared" si="71"/>
        <v>3469350</v>
      </c>
      <c r="F256" s="53"/>
      <c r="G256" s="53">
        <v>24894568</v>
      </c>
      <c r="H256" s="53"/>
      <c r="I256" s="53">
        <v>28363918</v>
      </c>
      <c r="J256" s="53"/>
      <c r="K256" s="53">
        <f t="shared" si="72"/>
        <v>631069</v>
      </c>
      <c r="L256" s="53"/>
      <c r="M256" s="53">
        <v>7010199</v>
      </c>
      <c r="N256" s="53"/>
      <c r="O256" s="53">
        <v>7641268</v>
      </c>
      <c r="P256" s="53"/>
      <c r="Q256" s="53">
        <v>17777293</v>
      </c>
      <c r="R256" s="53"/>
      <c r="S256" s="53">
        <v>0</v>
      </c>
      <c r="T256" s="53"/>
      <c r="U256" s="53">
        <v>2945357</v>
      </c>
      <c r="V256" s="53"/>
      <c r="W256" s="53">
        <f t="shared" si="73"/>
        <v>20722650</v>
      </c>
      <c r="X256" s="51"/>
      <c r="Y256" s="51"/>
      <c r="Z256" s="35" t="s">
        <v>282</v>
      </c>
      <c r="AA256" s="53"/>
      <c r="AB256" s="35" t="s">
        <v>199</v>
      </c>
      <c r="AC256" s="51"/>
      <c r="AD256" s="53">
        <v>5424538</v>
      </c>
      <c r="AE256" s="53"/>
      <c r="AF256" s="53">
        <f>4197192-1081646</f>
        <v>3115546</v>
      </c>
      <c r="AG256" s="53"/>
      <c r="AH256" s="53">
        <v>1081646</v>
      </c>
      <c r="AI256" s="53"/>
      <c r="AJ256" s="45">
        <f t="shared" si="74"/>
        <v>1227346</v>
      </c>
      <c r="AK256" s="45"/>
      <c r="AL256" s="53">
        <v>-183741</v>
      </c>
      <c r="AM256" s="45"/>
      <c r="AN256" s="53">
        <v>0</v>
      </c>
      <c r="AO256" s="53"/>
      <c r="AP256" s="53">
        <v>0</v>
      </c>
      <c r="AQ256" s="53"/>
      <c r="AR256" s="53">
        <v>25677</v>
      </c>
      <c r="AS256" s="53"/>
      <c r="AT256" s="45">
        <f t="shared" si="75"/>
        <v>1069282</v>
      </c>
      <c r="AU256" s="45"/>
      <c r="AV256" s="53">
        <v>0</v>
      </c>
      <c r="AW256" s="53"/>
      <c r="AX256" s="53">
        <v>0</v>
      </c>
      <c r="AY256" s="53"/>
      <c r="AZ256" s="53">
        <f t="shared" si="76"/>
        <v>2838281</v>
      </c>
      <c r="BA256" s="51"/>
      <c r="BB256" s="35" t="s">
        <v>282</v>
      </c>
      <c r="BD256" s="35" t="s">
        <v>199</v>
      </c>
      <c r="BE256" s="53"/>
      <c r="BF256" s="53">
        <v>0</v>
      </c>
      <c r="BG256" s="53"/>
      <c r="BH256" s="53">
        <v>0</v>
      </c>
      <c r="BI256" s="53"/>
      <c r="BJ256" s="53">
        <v>0</v>
      </c>
      <c r="BK256" s="53"/>
      <c r="BL256" s="53">
        <v>0</v>
      </c>
      <c r="BM256" s="53"/>
      <c r="BN256" s="53">
        <f t="shared" si="77"/>
        <v>0</v>
      </c>
      <c r="BO256" s="54"/>
      <c r="BS256" s="55"/>
      <c r="BT256" s="55"/>
      <c r="BU256" s="84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</row>
    <row r="257" spans="1:95" s="126" customFormat="1" ht="12.75" hidden="1" customHeight="1" x14ac:dyDescent="0.2">
      <c r="A257" s="126" t="s">
        <v>283</v>
      </c>
      <c r="B257" s="124"/>
      <c r="C257" s="126" t="s">
        <v>43</v>
      </c>
      <c r="D257" s="121"/>
      <c r="E257" s="53">
        <f t="shared" si="71"/>
        <v>0</v>
      </c>
      <c r="F257" s="53"/>
      <c r="G257" s="53"/>
      <c r="H257" s="53"/>
      <c r="I257" s="53"/>
      <c r="J257" s="53"/>
      <c r="K257" s="53">
        <f t="shared" si="72"/>
        <v>0</v>
      </c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>
        <f t="shared" si="73"/>
        <v>0</v>
      </c>
      <c r="X257" s="124"/>
      <c r="Y257" s="124"/>
      <c r="Z257" s="126" t="s">
        <v>283</v>
      </c>
      <c r="AA257" s="137"/>
      <c r="AB257" s="126" t="s">
        <v>43</v>
      </c>
      <c r="AC257" s="124"/>
      <c r="AD257" s="53"/>
      <c r="AE257" s="53"/>
      <c r="AF257" s="53"/>
      <c r="AG257" s="53"/>
      <c r="AH257" s="53"/>
      <c r="AI257" s="53"/>
      <c r="AJ257" s="45">
        <f t="shared" si="74"/>
        <v>0</v>
      </c>
      <c r="AK257" s="45"/>
      <c r="AL257" s="53"/>
      <c r="AM257" s="45"/>
      <c r="AN257" s="53"/>
      <c r="AO257" s="53"/>
      <c r="AP257" s="53"/>
      <c r="AQ257" s="53"/>
      <c r="AR257" s="53"/>
      <c r="AS257" s="53"/>
      <c r="AT257" s="45">
        <f t="shared" si="75"/>
        <v>0</v>
      </c>
      <c r="AU257" s="45"/>
      <c r="AV257" s="53">
        <v>0</v>
      </c>
      <c r="AW257" s="53"/>
      <c r="AX257" s="53">
        <v>0</v>
      </c>
      <c r="AY257" s="53"/>
      <c r="AZ257" s="53">
        <f t="shared" si="76"/>
        <v>0</v>
      </c>
      <c r="BA257" s="124"/>
      <c r="BB257" s="126" t="s">
        <v>283</v>
      </c>
      <c r="BD257" s="126" t="s">
        <v>43</v>
      </c>
      <c r="BE257" s="137"/>
      <c r="BF257" s="53">
        <f>375100+683750+2420000</f>
        <v>3478850</v>
      </c>
      <c r="BG257" s="53"/>
      <c r="BH257" s="53"/>
      <c r="BI257" s="53"/>
      <c r="BJ257" s="53">
        <f>388606+2279513+79698+358658+229749+302200</f>
        <v>3638424</v>
      </c>
      <c r="BK257" s="53"/>
      <c r="BL257" s="53">
        <f>188686+62871</f>
        <v>251557</v>
      </c>
      <c r="BM257" s="137"/>
      <c r="BN257" s="137">
        <f t="shared" si="77"/>
        <v>7368831</v>
      </c>
      <c r="BO257" s="139"/>
      <c r="BS257" s="140"/>
      <c r="BT257" s="140"/>
      <c r="BU257" s="141"/>
      <c r="BV257" s="140"/>
      <c r="BW257" s="140"/>
      <c r="BX257" s="140"/>
      <c r="BY257" s="140"/>
      <c r="BZ257" s="140"/>
      <c r="CA257" s="140"/>
      <c r="CB257" s="140"/>
      <c r="CC257" s="140"/>
      <c r="CD257" s="140"/>
      <c r="CE257" s="140"/>
      <c r="CF257" s="140"/>
      <c r="CG257" s="140"/>
      <c r="CH257" s="140"/>
      <c r="CI257" s="140"/>
      <c r="CJ257" s="140"/>
      <c r="CK257" s="140"/>
      <c r="CL257" s="140"/>
      <c r="CM257" s="140"/>
      <c r="CN257" s="140"/>
      <c r="CO257" s="140"/>
      <c r="CP257" s="140"/>
      <c r="CQ257" s="140"/>
    </row>
    <row r="258" spans="1:95" s="35" customFormat="1" ht="12.75" customHeight="1" x14ac:dyDescent="0.2">
      <c r="A258" s="35" t="s">
        <v>284</v>
      </c>
      <c r="B258" s="51"/>
      <c r="C258" s="35" t="s">
        <v>45</v>
      </c>
      <c r="D258" s="44"/>
      <c r="E258" s="53">
        <f t="shared" si="71"/>
        <v>1098471</v>
      </c>
      <c r="F258" s="53"/>
      <c r="G258" s="53">
        <v>8353982</v>
      </c>
      <c r="H258" s="53"/>
      <c r="I258" s="53">
        <v>9452453</v>
      </c>
      <c r="J258" s="53"/>
      <c r="K258" s="53">
        <f t="shared" si="72"/>
        <v>977646</v>
      </c>
      <c r="L258" s="53"/>
      <c r="M258" s="53">
        <v>5386295</v>
      </c>
      <c r="N258" s="53"/>
      <c r="O258" s="53">
        <v>6363941</v>
      </c>
      <c r="P258" s="53"/>
      <c r="Q258" s="53">
        <v>2580270</v>
      </c>
      <c r="R258" s="53"/>
      <c r="S258" s="53">
        <v>0</v>
      </c>
      <c r="T258" s="53"/>
      <c r="U258" s="53">
        <v>508242</v>
      </c>
      <c r="V258" s="53"/>
      <c r="W258" s="53">
        <f t="shared" si="73"/>
        <v>3088512</v>
      </c>
      <c r="X258" s="51"/>
      <c r="Y258" s="51"/>
      <c r="Z258" s="35" t="s">
        <v>284</v>
      </c>
      <c r="AA258" s="53"/>
      <c r="AB258" s="35" t="s">
        <v>45</v>
      </c>
      <c r="AC258" s="51"/>
      <c r="AD258" s="53">
        <v>1784774</v>
      </c>
      <c r="AE258" s="53"/>
      <c r="AF258" s="53">
        <f>1354049-253646</f>
        <v>1100403</v>
      </c>
      <c r="AG258" s="53"/>
      <c r="AH258" s="53">
        <v>253646</v>
      </c>
      <c r="AI258" s="53"/>
      <c r="AJ258" s="45">
        <f t="shared" si="74"/>
        <v>430725</v>
      </c>
      <c r="AK258" s="45"/>
      <c r="AL258" s="53">
        <f>6527-217092</f>
        <v>-210565</v>
      </c>
      <c r="AM258" s="45"/>
      <c r="AN258" s="53">
        <v>0</v>
      </c>
      <c r="AO258" s="53"/>
      <c r="AP258" s="53">
        <v>0</v>
      </c>
      <c r="AQ258" s="53"/>
      <c r="AR258" s="53">
        <v>681428</v>
      </c>
      <c r="AS258" s="53"/>
      <c r="AT258" s="45">
        <f t="shared" si="75"/>
        <v>901588</v>
      </c>
      <c r="AU258" s="45"/>
      <c r="AV258" s="53">
        <v>0</v>
      </c>
      <c r="AW258" s="53"/>
      <c r="AX258" s="53">
        <v>0</v>
      </c>
      <c r="AY258" s="53"/>
      <c r="AZ258" s="53">
        <f t="shared" si="76"/>
        <v>120825</v>
      </c>
      <c r="BA258" s="51"/>
      <c r="BB258" s="35" t="s">
        <v>284</v>
      </c>
      <c r="BD258" s="35" t="s">
        <v>45</v>
      </c>
      <c r="BE258" s="53"/>
      <c r="BF258" s="53">
        <f>60000+1705729+1115924</f>
        <v>2881653</v>
      </c>
      <c r="BG258" s="53"/>
      <c r="BH258" s="53">
        <v>0</v>
      </c>
      <c r="BI258" s="53"/>
      <c r="BJ258" s="53">
        <f>4560+48444+2867627</f>
        <v>2920631</v>
      </c>
      <c r="BK258" s="53"/>
      <c r="BL258" s="53">
        <v>26318</v>
      </c>
      <c r="BM258" s="53"/>
      <c r="BN258" s="53">
        <f t="shared" si="77"/>
        <v>5828602</v>
      </c>
      <c r="BO258" s="54"/>
      <c r="BS258" s="55"/>
      <c r="BT258" s="55"/>
      <c r="BU258" s="84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</row>
    <row r="259" spans="1:95" s="35" customFormat="1" ht="12.75" customHeight="1" x14ac:dyDescent="0.2">
      <c r="A259" s="35" t="s">
        <v>285</v>
      </c>
      <c r="C259" s="35" t="s">
        <v>30</v>
      </c>
      <c r="D259" s="44"/>
      <c r="E259" s="53">
        <f t="shared" si="71"/>
        <v>3914122</v>
      </c>
      <c r="F259" s="53"/>
      <c r="G259" s="53">
        <v>9189278</v>
      </c>
      <c r="H259" s="53"/>
      <c r="I259" s="53">
        <v>13103400</v>
      </c>
      <c r="J259" s="53"/>
      <c r="K259" s="53">
        <f t="shared" si="72"/>
        <v>355895</v>
      </c>
      <c r="L259" s="53"/>
      <c r="M259" s="53">
        <v>869817</v>
      </c>
      <c r="N259" s="53"/>
      <c r="O259" s="53">
        <v>1225712</v>
      </c>
      <c r="P259" s="53"/>
      <c r="Q259" s="53">
        <v>8481036</v>
      </c>
      <c r="R259" s="53"/>
      <c r="S259" s="53">
        <v>54559</v>
      </c>
      <c r="T259" s="53"/>
      <c r="U259" s="53">
        <v>3442093</v>
      </c>
      <c r="V259" s="53"/>
      <c r="W259" s="53">
        <f t="shared" si="73"/>
        <v>11977688</v>
      </c>
      <c r="Z259" s="35" t="s">
        <v>285</v>
      </c>
      <c r="AA259" s="53"/>
      <c r="AB259" s="35" t="s">
        <v>30</v>
      </c>
      <c r="AD259" s="53">
        <v>3139322</v>
      </c>
      <c r="AE259" s="53"/>
      <c r="AF259" s="53">
        <f>3039348-483020</f>
        <v>2556328</v>
      </c>
      <c r="AG259" s="53"/>
      <c r="AH259" s="53">
        <v>483020</v>
      </c>
      <c r="AI259" s="53"/>
      <c r="AJ259" s="45">
        <f t="shared" si="74"/>
        <v>99974</v>
      </c>
      <c r="AK259" s="45"/>
      <c r="AL259" s="53">
        <f>88590-32452</f>
        <v>56138</v>
      </c>
      <c r="AM259" s="45"/>
      <c r="AN259" s="53">
        <v>0</v>
      </c>
      <c r="AO259" s="53"/>
      <c r="AP259" s="53">
        <v>0</v>
      </c>
      <c r="AQ259" s="53"/>
      <c r="AR259" s="53">
        <v>0</v>
      </c>
      <c r="AS259" s="53"/>
      <c r="AT259" s="45">
        <f t="shared" si="75"/>
        <v>156112</v>
      </c>
      <c r="AU259" s="45"/>
      <c r="AV259" s="53">
        <v>0</v>
      </c>
      <c r="AW259" s="53"/>
      <c r="AX259" s="53">
        <v>0</v>
      </c>
      <c r="AY259" s="53"/>
      <c r="AZ259" s="53">
        <f t="shared" si="76"/>
        <v>3558227</v>
      </c>
      <c r="BA259" s="51"/>
      <c r="BB259" s="35" t="s">
        <v>285</v>
      </c>
      <c r="BD259" s="35" t="s">
        <v>30</v>
      </c>
      <c r="BE259" s="53"/>
      <c r="BF259" s="53">
        <f>49613+4946</f>
        <v>54559</v>
      </c>
      <c r="BG259" s="53"/>
      <c r="BH259" s="53">
        <v>0</v>
      </c>
      <c r="BI259" s="53"/>
      <c r="BJ259" s="53">
        <v>0</v>
      </c>
      <c r="BK259" s="53"/>
      <c r="BL259" s="53">
        <f>657158+51085+17088+163046</f>
        <v>888377</v>
      </c>
      <c r="BM259" s="53"/>
      <c r="BN259" s="53">
        <f t="shared" si="77"/>
        <v>942936</v>
      </c>
      <c r="BO259" s="54"/>
      <c r="BS259" s="55"/>
      <c r="BT259" s="55"/>
      <c r="BU259" s="84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</row>
    <row r="260" spans="1:95" s="126" customFormat="1" ht="12.75" customHeight="1" x14ac:dyDescent="0.2">
      <c r="A260" s="35" t="s">
        <v>286</v>
      </c>
      <c r="B260" s="35"/>
      <c r="C260" s="35" t="s">
        <v>61</v>
      </c>
      <c r="D260" s="44"/>
      <c r="E260" s="53">
        <f t="shared" si="71"/>
        <v>5505057</v>
      </c>
      <c r="F260" s="53"/>
      <c r="G260" s="53">
        <v>31089027</v>
      </c>
      <c r="H260" s="53"/>
      <c r="I260" s="53">
        <v>36594084</v>
      </c>
      <c r="J260" s="53"/>
      <c r="K260" s="53">
        <f t="shared" si="72"/>
        <v>2883920</v>
      </c>
      <c r="L260" s="53"/>
      <c r="M260" s="53">
        <v>6434683</v>
      </c>
      <c r="N260" s="53"/>
      <c r="O260" s="53">
        <v>9318603</v>
      </c>
      <c r="P260" s="53"/>
      <c r="Q260" s="53">
        <v>25135042</v>
      </c>
      <c r="R260" s="53"/>
      <c r="S260" s="53">
        <v>0</v>
      </c>
      <c r="T260" s="53"/>
      <c r="U260" s="53">
        <v>2140439</v>
      </c>
      <c r="V260" s="53"/>
      <c r="W260" s="53">
        <f t="shared" si="73"/>
        <v>27275481</v>
      </c>
      <c r="X260" s="51"/>
      <c r="Y260" s="51"/>
      <c r="Z260" s="35" t="s">
        <v>286</v>
      </c>
      <c r="AA260" s="53"/>
      <c r="AB260" s="35" t="s">
        <v>61</v>
      </c>
      <c r="AC260" s="51"/>
      <c r="AD260" s="53">
        <v>31141251</v>
      </c>
      <c r="AE260" s="53"/>
      <c r="AF260" s="53">
        <f>27275495-762552</f>
        <v>26512943</v>
      </c>
      <c r="AG260" s="53"/>
      <c r="AH260" s="53">
        <v>762552</v>
      </c>
      <c r="AI260" s="53"/>
      <c r="AJ260" s="45">
        <f t="shared" si="74"/>
        <v>3865756</v>
      </c>
      <c r="AK260" s="45"/>
      <c r="AL260" s="53">
        <v>-153994</v>
      </c>
      <c r="AM260" s="45"/>
      <c r="AN260" s="53">
        <v>0</v>
      </c>
      <c r="AO260" s="53"/>
      <c r="AP260" s="53">
        <v>156762</v>
      </c>
      <c r="AQ260" s="53"/>
      <c r="AR260" s="53">
        <v>0</v>
      </c>
      <c r="AS260" s="53"/>
      <c r="AT260" s="45">
        <f t="shared" si="75"/>
        <v>3555000</v>
      </c>
      <c r="AU260" s="45"/>
      <c r="AV260" s="53">
        <v>0</v>
      </c>
      <c r="AW260" s="53"/>
      <c r="AX260" s="53">
        <v>0</v>
      </c>
      <c r="AY260" s="53"/>
      <c r="AZ260" s="53">
        <f t="shared" si="76"/>
        <v>2621137</v>
      </c>
      <c r="BA260" s="51"/>
      <c r="BB260" s="35" t="s">
        <v>286</v>
      </c>
      <c r="BC260" s="35"/>
      <c r="BD260" s="35" t="s">
        <v>61</v>
      </c>
      <c r="BE260" s="53"/>
      <c r="BF260" s="53">
        <v>0</v>
      </c>
      <c r="BG260" s="53"/>
      <c r="BH260" s="53">
        <v>0</v>
      </c>
      <c r="BI260" s="53"/>
      <c r="BJ260" s="53">
        <f>3408858+1552709+626080+229845+57237</f>
        <v>5874729</v>
      </c>
      <c r="BK260" s="53"/>
      <c r="BL260" s="53">
        <f>847036+158593</f>
        <v>1005629</v>
      </c>
      <c r="BM260" s="53"/>
      <c r="BN260" s="53">
        <f t="shared" si="77"/>
        <v>6880358</v>
      </c>
      <c r="BO260" s="54"/>
      <c r="BP260" s="35"/>
      <c r="BQ260" s="35"/>
      <c r="BR260" s="35"/>
      <c r="BS260" s="55"/>
      <c r="BT260" s="55"/>
      <c r="BU260" s="84"/>
      <c r="BV260" s="55"/>
      <c r="BW260" s="55"/>
      <c r="BX260" s="55"/>
      <c r="BY260" s="55"/>
      <c r="BZ260" s="55"/>
      <c r="CA260" s="140"/>
      <c r="CB260" s="140"/>
      <c r="CC260" s="140"/>
      <c r="CD260" s="140"/>
      <c r="CE260" s="140"/>
      <c r="CF260" s="140"/>
      <c r="CG260" s="140"/>
      <c r="CH260" s="140"/>
      <c r="CI260" s="140"/>
      <c r="CJ260" s="140"/>
      <c r="CK260" s="140"/>
      <c r="CL260" s="140"/>
      <c r="CM260" s="140"/>
      <c r="CN260" s="140"/>
      <c r="CO260" s="140"/>
      <c r="CP260" s="140"/>
      <c r="CQ260" s="140"/>
    </row>
    <row r="261" spans="1:95" s="35" customFormat="1" ht="12.75" customHeight="1" x14ac:dyDescent="0.2">
      <c r="A261" s="35" t="s">
        <v>287</v>
      </c>
      <c r="C261" s="35" t="s">
        <v>288</v>
      </c>
      <c r="D261" s="44"/>
      <c r="E261" s="53">
        <f t="shared" si="71"/>
        <v>2561911</v>
      </c>
      <c r="F261" s="53"/>
      <c r="G261" s="53">
        <v>23370066</v>
      </c>
      <c r="H261" s="53"/>
      <c r="I261" s="53">
        <v>25931977</v>
      </c>
      <c r="J261" s="53"/>
      <c r="K261" s="53">
        <f t="shared" si="72"/>
        <v>1342744</v>
      </c>
      <c r="L261" s="53"/>
      <c r="M261" s="53">
        <v>11932771</v>
      </c>
      <c r="N261" s="53"/>
      <c r="O261" s="53">
        <v>13275515</v>
      </c>
      <c r="P261" s="53"/>
      <c r="Q261" s="53">
        <v>12210130</v>
      </c>
      <c r="R261" s="53"/>
      <c r="S261" s="53">
        <v>0</v>
      </c>
      <c r="T261" s="53"/>
      <c r="U261" s="53">
        <v>446332</v>
      </c>
      <c r="V261" s="53"/>
      <c r="W261" s="53">
        <f t="shared" si="73"/>
        <v>12656462</v>
      </c>
      <c r="X261" s="51"/>
      <c r="Y261" s="51"/>
      <c r="Z261" s="35" t="s">
        <v>287</v>
      </c>
      <c r="AA261" s="53"/>
      <c r="AB261" s="35" t="s">
        <v>288</v>
      </c>
      <c r="AD261" s="53">
        <v>5392543</v>
      </c>
      <c r="AE261" s="53"/>
      <c r="AF261" s="53">
        <f>3060095-224985</f>
        <v>2835110</v>
      </c>
      <c r="AG261" s="53"/>
      <c r="AH261" s="53">
        <v>224985</v>
      </c>
      <c r="AI261" s="53"/>
      <c r="AJ261" s="45">
        <f t="shared" si="74"/>
        <v>2332448</v>
      </c>
      <c r="AK261" s="45"/>
      <c r="AL261" s="53">
        <v>-72503</v>
      </c>
      <c r="AM261" s="45"/>
      <c r="AN261" s="53">
        <v>0</v>
      </c>
      <c r="AO261" s="53"/>
      <c r="AP261" s="53">
        <v>0</v>
      </c>
      <c r="AQ261" s="53"/>
      <c r="AR261" s="53">
        <v>0</v>
      </c>
      <c r="AS261" s="53"/>
      <c r="AT261" s="45">
        <f t="shared" si="75"/>
        <v>2259945</v>
      </c>
      <c r="AU261" s="45"/>
      <c r="AV261" s="53">
        <v>0</v>
      </c>
      <c r="AW261" s="53"/>
      <c r="AX261" s="53">
        <v>0</v>
      </c>
      <c r="AY261" s="53"/>
      <c r="AZ261" s="53">
        <f t="shared" si="76"/>
        <v>1219167</v>
      </c>
      <c r="BA261" s="51"/>
      <c r="BB261" s="35" t="s">
        <v>287</v>
      </c>
      <c r="BD261" s="35" t="s">
        <v>288</v>
      </c>
      <c r="BE261" s="53"/>
      <c r="BF261" s="53">
        <v>505500</v>
      </c>
      <c r="BG261" s="53"/>
      <c r="BH261" s="53">
        <v>0</v>
      </c>
      <c r="BI261" s="53"/>
      <c r="BJ261" s="53">
        <f>111132+11742577</f>
        <v>11853709</v>
      </c>
      <c r="BK261" s="53"/>
      <c r="BL261" s="53">
        <f>53450+136521</f>
        <v>189971</v>
      </c>
      <c r="BM261" s="53"/>
      <c r="BN261" s="53">
        <f t="shared" si="77"/>
        <v>12549180</v>
      </c>
      <c r="BO261" s="54"/>
      <c r="BS261" s="55"/>
      <c r="BT261" s="55"/>
      <c r="BU261" s="84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</row>
    <row r="262" spans="1:95" s="35" customFormat="1" ht="12.75" customHeight="1" x14ac:dyDescent="0.2">
      <c r="B262" s="51"/>
      <c r="D262" s="44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1"/>
      <c r="Y262" s="51"/>
      <c r="AA262" s="53"/>
      <c r="AC262" s="51"/>
      <c r="AD262" s="53"/>
      <c r="AE262" s="53"/>
      <c r="AF262" s="53"/>
      <c r="AG262" s="53"/>
      <c r="AH262" s="53"/>
      <c r="AI262" s="53"/>
      <c r="AJ262" s="45"/>
      <c r="AK262" s="45"/>
      <c r="AL262" s="53"/>
      <c r="AM262" s="45"/>
      <c r="AN262" s="53"/>
      <c r="AO262" s="53"/>
      <c r="AP262" s="53"/>
      <c r="AQ262" s="53"/>
      <c r="AR262" s="53"/>
      <c r="AS262" s="53"/>
      <c r="AT262" s="45"/>
      <c r="AU262" s="45"/>
      <c r="AV262" s="53"/>
      <c r="AW262" s="53"/>
      <c r="AX262" s="53"/>
      <c r="AY262" s="53"/>
      <c r="AZ262" s="53"/>
      <c r="BA262" s="51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4"/>
      <c r="BS262" s="55"/>
      <c r="BT262" s="55"/>
      <c r="BU262" s="84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</row>
    <row r="263" spans="1:95" s="35" customFormat="1" ht="12.75" customHeight="1" x14ac:dyDescent="0.2">
      <c r="B263" s="51"/>
      <c r="D263" s="44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1"/>
      <c r="Y263" s="51"/>
      <c r="AA263" s="47"/>
      <c r="AC263" s="51"/>
      <c r="AD263" s="53"/>
      <c r="AE263" s="53"/>
      <c r="AF263" s="53"/>
      <c r="AG263" s="53"/>
      <c r="AH263" s="53"/>
      <c r="AI263" s="53"/>
      <c r="AJ263" s="45"/>
      <c r="AK263" s="45"/>
      <c r="AL263" s="45"/>
      <c r="AM263" s="45"/>
      <c r="AN263" s="53"/>
      <c r="AO263" s="53"/>
      <c r="AP263" s="53"/>
      <c r="AQ263" s="53"/>
      <c r="AR263" s="53"/>
      <c r="AS263" s="53"/>
      <c r="AT263" s="45"/>
      <c r="AU263" s="45"/>
      <c r="AV263" s="53"/>
      <c r="AW263" s="53"/>
      <c r="AX263" s="53"/>
      <c r="AY263" s="53"/>
      <c r="AZ263" s="53"/>
      <c r="BA263" s="51"/>
      <c r="BB263" s="55"/>
      <c r="BC263" s="55"/>
      <c r="BD263" s="55"/>
      <c r="BE263" s="55"/>
      <c r="BF263" s="53"/>
      <c r="BG263" s="53"/>
      <c r="BH263" s="53"/>
      <c r="BI263" s="53"/>
      <c r="BJ263" s="53"/>
      <c r="BK263" s="53"/>
      <c r="BL263" s="53"/>
      <c r="BM263" s="53"/>
      <c r="BN263" s="53"/>
      <c r="BO263" s="55"/>
      <c r="BP263" s="55"/>
      <c r="BQ263" s="55"/>
      <c r="BR263" s="55"/>
      <c r="BS263" s="55"/>
      <c r="BT263" s="55"/>
      <c r="BU263" s="84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</row>
    <row r="264" spans="1:95" s="35" customFormat="1" ht="12.75" customHeight="1" x14ac:dyDescent="0.2">
      <c r="B264" s="51"/>
      <c r="D264" s="44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1"/>
      <c r="Y264" s="51"/>
      <c r="AA264" s="47"/>
      <c r="AC264" s="51"/>
      <c r="AD264" s="53"/>
      <c r="AE264" s="53"/>
      <c r="AF264" s="53"/>
      <c r="AG264" s="53"/>
      <c r="AH264" s="53"/>
      <c r="AI264" s="53"/>
      <c r="AJ264" s="45"/>
      <c r="AK264" s="45"/>
      <c r="AL264" s="45"/>
      <c r="AM264" s="45"/>
      <c r="AN264" s="53"/>
      <c r="AO264" s="53"/>
      <c r="AP264" s="53"/>
      <c r="AQ264" s="53"/>
      <c r="AR264" s="53"/>
      <c r="AS264" s="53"/>
      <c r="AT264" s="45"/>
      <c r="AU264" s="45"/>
      <c r="AV264" s="53"/>
      <c r="AW264" s="53"/>
      <c r="AX264" s="53"/>
      <c r="AY264" s="53"/>
      <c r="AZ264" s="53"/>
      <c r="BA264" s="51"/>
      <c r="BB264" s="55"/>
      <c r="BC264" s="55"/>
      <c r="BD264" s="55"/>
      <c r="BE264" s="55"/>
      <c r="BF264" s="53"/>
      <c r="BG264" s="53"/>
      <c r="BH264" s="53"/>
      <c r="BI264" s="53"/>
      <c r="BJ264" s="53"/>
      <c r="BK264" s="53"/>
      <c r="BL264" s="53"/>
      <c r="BM264" s="53"/>
      <c r="BN264" s="53"/>
      <c r="BO264" s="55"/>
      <c r="BP264" s="55"/>
      <c r="BQ264" s="55"/>
      <c r="BR264" s="55"/>
      <c r="BS264" s="55"/>
      <c r="BT264" s="55"/>
      <c r="BU264" s="84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</row>
    <row r="265" spans="1:95" s="35" customFormat="1" ht="12.75" customHeight="1" x14ac:dyDescent="0.2">
      <c r="D265" s="44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AA265" s="53"/>
      <c r="AD265" s="53"/>
      <c r="AE265" s="53"/>
      <c r="AF265" s="53"/>
      <c r="AG265" s="53"/>
      <c r="AH265" s="53"/>
      <c r="AI265" s="53"/>
      <c r="AJ265" s="45"/>
      <c r="AK265" s="45"/>
      <c r="AL265" s="45"/>
      <c r="AM265" s="45"/>
      <c r="AN265" s="53"/>
      <c r="AO265" s="53"/>
      <c r="AP265" s="53"/>
      <c r="AQ265" s="53"/>
      <c r="AR265" s="53"/>
      <c r="AS265" s="53"/>
      <c r="AT265" s="45"/>
      <c r="AU265" s="45"/>
      <c r="AV265" s="53"/>
      <c r="AW265" s="53"/>
      <c r="AX265" s="53"/>
      <c r="AY265" s="53"/>
      <c r="AZ265" s="53"/>
      <c r="BA265" s="51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4"/>
      <c r="BS265" s="55"/>
      <c r="BT265" s="55"/>
      <c r="BU265" s="84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</row>
    <row r="266" spans="1:95" s="35" customFormat="1" ht="12.75" customHeight="1" x14ac:dyDescent="0.2">
      <c r="D266" s="44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AA266" s="53"/>
      <c r="AD266" s="53"/>
      <c r="AE266" s="53"/>
      <c r="AF266" s="53"/>
      <c r="AG266" s="53"/>
      <c r="AH266" s="53"/>
      <c r="AI266" s="53"/>
      <c r="AJ266" s="45"/>
      <c r="AK266" s="45"/>
      <c r="AL266" s="45"/>
      <c r="AM266" s="45"/>
      <c r="AN266" s="53"/>
      <c r="AO266" s="53"/>
      <c r="AP266" s="53"/>
      <c r="AQ266" s="53"/>
      <c r="AR266" s="53"/>
      <c r="AS266" s="53"/>
      <c r="AT266" s="45"/>
      <c r="AU266" s="45"/>
      <c r="AV266" s="53"/>
      <c r="AW266" s="53"/>
      <c r="AX266" s="53"/>
      <c r="AY266" s="53"/>
      <c r="AZ266" s="53"/>
      <c r="BA266" s="51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4"/>
      <c r="BS266" s="55"/>
      <c r="BT266" s="55"/>
      <c r="BU266" s="84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</row>
    <row r="267" spans="1:95" s="35" customFormat="1" ht="12.75" customHeight="1" x14ac:dyDescent="0.2">
      <c r="B267" s="51"/>
      <c r="D267" s="44"/>
      <c r="X267" s="51"/>
      <c r="Y267" s="51"/>
      <c r="AA267" s="47"/>
      <c r="AC267" s="51"/>
      <c r="AT267" s="45"/>
      <c r="AU267" s="45"/>
      <c r="BA267" s="51"/>
      <c r="BC267" s="47"/>
      <c r="BO267" s="54"/>
      <c r="BS267" s="55"/>
      <c r="BT267" s="55"/>
      <c r="BU267" s="84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</row>
    <row r="268" spans="1:95" s="35" customFormat="1" ht="12.75" customHeight="1" x14ac:dyDescent="0.2">
      <c r="B268" s="51"/>
      <c r="D268" s="44"/>
      <c r="X268" s="51"/>
      <c r="Y268" s="51"/>
      <c r="AA268" s="47"/>
      <c r="AC268" s="51"/>
      <c r="BA268" s="51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84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</row>
    <row r="269" spans="1:95" s="35" customFormat="1" ht="12.75" customHeight="1" x14ac:dyDescent="0.2">
      <c r="B269" s="51"/>
      <c r="D269" s="44"/>
      <c r="X269" s="51"/>
      <c r="Y269" s="51"/>
      <c r="AA269" s="47"/>
      <c r="AC269" s="51"/>
      <c r="BA269" s="51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84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</row>
    <row r="270" spans="1:95" s="35" customFormat="1" ht="12.75" customHeight="1" x14ac:dyDescent="0.2">
      <c r="B270" s="51"/>
      <c r="D270" s="44"/>
      <c r="X270" s="51"/>
      <c r="Y270" s="51"/>
      <c r="AA270" s="47"/>
      <c r="AC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65"/>
      <c r="BA270" s="51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84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</row>
    <row r="271" spans="1:95" s="35" customFormat="1" ht="12.75" customHeight="1" x14ac:dyDescent="0.2">
      <c r="B271" s="51"/>
      <c r="D271" s="44"/>
      <c r="M271" s="53"/>
      <c r="X271" s="51"/>
      <c r="Y271" s="51"/>
      <c r="AA271" s="47"/>
      <c r="AC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65"/>
      <c r="BA271" s="51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84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</row>
    <row r="272" spans="1:95" s="35" customFormat="1" ht="12.75" customHeight="1" x14ac:dyDescent="0.2">
      <c r="B272" s="51"/>
      <c r="D272" s="44"/>
      <c r="X272" s="51"/>
      <c r="Y272" s="51"/>
      <c r="AA272" s="47"/>
      <c r="AC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65"/>
      <c r="BA272" s="51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84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</row>
    <row r="273" spans="2:95" s="35" customFormat="1" ht="12.75" customHeight="1" x14ac:dyDescent="0.2">
      <c r="B273" s="51"/>
      <c r="D273" s="44"/>
      <c r="X273" s="51"/>
      <c r="Y273" s="51"/>
      <c r="AA273" s="47"/>
      <c r="AC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65"/>
      <c r="BA273" s="51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84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</row>
    <row r="274" spans="2:95" s="35" customFormat="1" ht="12.75" customHeight="1" x14ac:dyDescent="0.2">
      <c r="B274" s="51"/>
      <c r="D274" s="44"/>
      <c r="X274" s="51"/>
      <c r="Y274" s="51"/>
      <c r="AA274" s="47"/>
      <c r="AC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65"/>
      <c r="BA274" s="51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84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</row>
    <row r="275" spans="2:95" s="35" customFormat="1" ht="12.75" customHeight="1" x14ac:dyDescent="0.2">
      <c r="B275" s="51"/>
      <c r="D275" s="44"/>
      <c r="X275" s="51"/>
      <c r="Y275" s="51"/>
      <c r="AA275" s="47"/>
      <c r="AC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65"/>
      <c r="BA275" s="51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84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</row>
    <row r="276" spans="2:95" s="35" customFormat="1" ht="12.75" customHeight="1" x14ac:dyDescent="0.2">
      <c r="B276" s="51"/>
      <c r="D276" s="44"/>
      <c r="X276" s="51"/>
      <c r="Y276" s="51"/>
      <c r="AA276" s="47"/>
      <c r="AC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65"/>
      <c r="BA276" s="51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84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</row>
    <row r="277" spans="2:95" s="35" customFormat="1" ht="12.75" customHeight="1" x14ac:dyDescent="0.2">
      <c r="B277" s="51"/>
      <c r="D277" s="44"/>
      <c r="X277" s="51"/>
      <c r="Y277" s="51"/>
      <c r="AA277" s="47"/>
      <c r="AC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65"/>
      <c r="BA277" s="51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84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</row>
    <row r="278" spans="2:95" s="35" customFormat="1" ht="12.75" customHeight="1" x14ac:dyDescent="0.2">
      <c r="B278" s="51"/>
      <c r="D278" s="44"/>
      <c r="X278" s="51"/>
      <c r="Y278" s="51"/>
      <c r="AA278" s="47"/>
      <c r="AC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65"/>
      <c r="BA278" s="51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84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</row>
    <row r="279" spans="2:95" s="35" customFormat="1" ht="12.75" customHeight="1" x14ac:dyDescent="0.2">
      <c r="B279" s="51"/>
      <c r="D279" s="44"/>
      <c r="X279" s="51"/>
      <c r="Y279" s="51"/>
      <c r="AA279" s="47"/>
      <c r="AC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65"/>
      <c r="BA279" s="51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84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</row>
    <row r="280" spans="2:95" s="35" customFormat="1" ht="12.75" customHeight="1" x14ac:dyDescent="0.2">
      <c r="B280" s="51"/>
      <c r="D280" s="44"/>
      <c r="X280" s="51"/>
      <c r="Y280" s="51"/>
      <c r="AA280" s="47"/>
      <c r="AC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65"/>
      <c r="BA280" s="51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84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</row>
    <row r="281" spans="2:95" s="35" customFormat="1" ht="12.75" customHeight="1" x14ac:dyDescent="0.2">
      <c r="B281" s="51"/>
      <c r="D281" s="44"/>
      <c r="X281" s="51"/>
      <c r="Y281" s="51"/>
      <c r="AA281" s="47"/>
      <c r="AC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65"/>
      <c r="BA281" s="51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84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</row>
    <row r="282" spans="2:95" s="35" customFormat="1" ht="12.75" customHeight="1" x14ac:dyDescent="0.2">
      <c r="B282" s="51"/>
      <c r="D282" s="44"/>
      <c r="X282" s="51"/>
      <c r="Y282" s="51"/>
      <c r="AA282" s="47"/>
      <c r="AC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65"/>
      <c r="BA282" s="51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84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</row>
    <row r="283" spans="2:95" s="35" customFormat="1" ht="12.75" customHeight="1" x14ac:dyDescent="0.2">
      <c r="B283" s="51"/>
      <c r="D283" s="44"/>
      <c r="X283" s="51"/>
      <c r="Y283" s="51"/>
      <c r="AA283" s="47"/>
      <c r="AC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65"/>
      <c r="BA283" s="51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84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</row>
    <row r="284" spans="2:95" s="35" customFormat="1" ht="12.75" customHeight="1" x14ac:dyDescent="0.2">
      <c r="B284" s="51"/>
      <c r="D284" s="44"/>
      <c r="X284" s="51"/>
      <c r="Y284" s="51"/>
      <c r="AA284" s="47"/>
      <c r="AC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65"/>
      <c r="BA284" s="51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84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</row>
    <row r="285" spans="2:95" s="35" customFormat="1" ht="12.75" customHeight="1" x14ac:dyDescent="0.2">
      <c r="B285" s="51"/>
      <c r="D285" s="44"/>
      <c r="X285" s="51"/>
      <c r="Y285" s="51"/>
      <c r="AA285" s="47"/>
      <c r="AC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65"/>
      <c r="BA285" s="51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84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</row>
    <row r="286" spans="2:95" s="35" customFormat="1" ht="12.75" customHeight="1" x14ac:dyDescent="0.2">
      <c r="B286" s="51"/>
      <c r="D286" s="44"/>
      <c r="X286" s="51"/>
      <c r="Y286" s="51"/>
      <c r="AA286" s="47"/>
      <c r="AC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65"/>
      <c r="BA286" s="51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84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</row>
    <row r="287" spans="2:95" s="35" customFormat="1" ht="12.75" customHeight="1" x14ac:dyDescent="0.2">
      <c r="B287" s="51"/>
      <c r="D287" s="44"/>
      <c r="X287" s="51"/>
      <c r="Y287" s="51"/>
      <c r="AA287" s="47"/>
      <c r="AC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65"/>
      <c r="BA287" s="51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84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</row>
    <row r="288" spans="2:95" s="35" customFormat="1" ht="12.75" customHeight="1" x14ac:dyDescent="0.2">
      <c r="B288" s="51"/>
      <c r="D288" s="44"/>
      <c r="X288" s="51"/>
      <c r="Y288" s="51"/>
      <c r="AA288" s="47"/>
      <c r="AC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65"/>
      <c r="BA288" s="51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84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</row>
    <row r="289" spans="2:95" s="35" customFormat="1" ht="12.75" customHeight="1" x14ac:dyDescent="0.2">
      <c r="B289" s="51"/>
      <c r="D289" s="44"/>
      <c r="X289" s="51"/>
      <c r="Y289" s="51"/>
      <c r="AA289" s="47"/>
      <c r="AC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65"/>
      <c r="BA289" s="51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84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</row>
    <row r="290" spans="2:95" s="35" customFormat="1" ht="12.75" customHeight="1" x14ac:dyDescent="0.2">
      <c r="B290" s="51"/>
      <c r="D290" s="44"/>
      <c r="X290" s="51"/>
      <c r="Y290" s="51"/>
      <c r="AA290" s="47"/>
      <c r="AC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65"/>
      <c r="BA290" s="51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84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</row>
    <row r="291" spans="2:95" s="35" customFormat="1" ht="12.75" customHeight="1" x14ac:dyDescent="0.2">
      <c r="B291" s="51"/>
      <c r="D291" s="44"/>
      <c r="X291" s="51"/>
      <c r="Y291" s="51"/>
      <c r="AA291" s="47"/>
      <c r="AC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65"/>
      <c r="BA291" s="51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84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</row>
    <row r="292" spans="2:95" s="35" customFormat="1" ht="12.75" customHeight="1" x14ac:dyDescent="0.2">
      <c r="B292" s="51"/>
      <c r="D292" s="44"/>
      <c r="X292" s="51"/>
      <c r="Y292" s="51"/>
      <c r="AA292" s="47"/>
      <c r="AC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65"/>
      <c r="BA292" s="51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84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</row>
    <row r="293" spans="2:95" s="35" customFormat="1" ht="12.75" customHeight="1" x14ac:dyDescent="0.2">
      <c r="B293" s="51"/>
      <c r="D293" s="44"/>
      <c r="X293" s="51"/>
      <c r="Y293" s="51"/>
      <c r="AA293" s="47"/>
      <c r="AC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65"/>
      <c r="BA293" s="51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84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</row>
    <row r="294" spans="2:95" s="35" customFormat="1" ht="12.75" customHeight="1" x14ac:dyDescent="0.2">
      <c r="B294" s="51"/>
      <c r="D294" s="44"/>
      <c r="X294" s="51"/>
      <c r="Y294" s="51"/>
      <c r="AA294" s="47"/>
      <c r="AC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65"/>
      <c r="BA294" s="51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84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</row>
    <row r="295" spans="2:95" s="35" customFormat="1" ht="12.75" customHeight="1" x14ac:dyDescent="0.2">
      <c r="B295" s="51"/>
      <c r="D295" s="44"/>
      <c r="X295" s="51"/>
      <c r="Y295" s="51"/>
      <c r="AA295" s="47"/>
      <c r="AC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65"/>
      <c r="BA295" s="51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84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</row>
    <row r="296" spans="2:95" s="35" customFormat="1" ht="12.75" customHeight="1" x14ac:dyDescent="0.2">
      <c r="B296" s="51"/>
      <c r="D296" s="44"/>
      <c r="X296" s="51"/>
      <c r="Y296" s="51"/>
      <c r="AA296" s="47"/>
      <c r="AC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65"/>
      <c r="BA296" s="51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84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</row>
    <row r="297" spans="2:95" s="35" customFormat="1" ht="12.75" customHeight="1" x14ac:dyDescent="0.2">
      <c r="B297" s="51"/>
      <c r="D297" s="44"/>
      <c r="X297" s="51"/>
      <c r="Y297" s="51"/>
      <c r="AA297" s="47"/>
      <c r="AC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65"/>
      <c r="BA297" s="51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84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</row>
    <row r="298" spans="2:95" s="35" customFormat="1" ht="12.75" customHeight="1" x14ac:dyDescent="0.2">
      <c r="B298" s="51"/>
      <c r="D298" s="44"/>
      <c r="X298" s="51"/>
      <c r="Y298" s="51"/>
      <c r="AA298" s="47"/>
      <c r="AC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65"/>
      <c r="BA298" s="51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84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</row>
    <row r="299" spans="2:95" s="35" customFormat="1" ht="12.75" customHeight="1" x14ac:dyDescent="0.2">
      <c r="B299" s="51"/>
      <c r="D299" s="44"/>
      <c r="X299" s="51"/>
      <c r="Y299" s="51"/>
      <c r="AA299" s="47"/>
      <c r="AC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65"/>
      <c r="BA299" s="51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84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</row>
    <row r="300" spans="2:95" s="35" customFormat="1" ht="12.75" customHeight="1" x14ac:dyDescent="0.2">
      <c r="B300" s="51"/>
      <c r="D300" s="44"/>
      <c r="X300" s="51"/>
      <c r="Y300" s="51"/>
      <c r="AA300" s="47"/>
      <c r="AC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65"/>
      <c r="BA300" s="51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84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</row>
    <row r="301" spans="2:95" s="35" customFormat="1" ht="12.75" customHeight="1" x14ac:dyDescent="0.2">
      <c r="B301" s="51"/>
      <c r="D301" s="44"/>
      <c r="X301" s="51"/>
      <c r="Y301" s="51"/>
      <c r="AA301" s="47"/>
      <c r="AC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65"/>
      <c r="BA301" s="51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84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</row>
    <row r="302" spans="2:95" s="35" customFormat="1" ht="12.75" customHeight="1" x14ac:dyDescent="0.2">
      <c r="B302" s="51"/>
      <c r="D302" s="44"/>
      <c r="X302" s="51"/>
      <c r="Y302" s="51"/>
      <c r="AA302" s="47"/>
      <c r="AC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65"/>
      <c r="BA302" s="51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84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</row>
    <row r="303" spans="2:95" s="35" customFormat="1" ht="12.75" customHeight="1" x14ac:dyDescent="0.2">
      <c r="B303" s="51"/>
      <c r="D303" s="44"/>
      <c r="X303" s="51"/>
      <c r="Y303" s="51"/>
      <c r="AA303" s="47"/>
      <c r="AC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65"/>
      <c r="BA303" s="51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84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</row>
    <row r="304" spans="2:95" s="35" customFormat="1" ht="12.75" customHeight="1" x14ac:dyDescent="0.2">
      <c r="B304" s="51"/>
      <c r="D304" s="44"/>
      <c r="X304" s="51"/>
      <c r="Y304" s="51"/>
      <c r="AA304" s="47"/>
      <c r="AC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65"/>
      <c r="BA304" s="51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84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</row>
    <row r="305" spans="2:95" s="35" customFormat="1" ht="12.75" customHeight="1" x14ac:dyDescent="0.2">
      <c r="B305" s="51"/>
      <c r="D305" s="44"/>
      <c r="X305" s="51"/>
      <c r="Y305" s="51"/>
      <c r="AA305" s="47"/>
      <c r="AC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65"/>
      <c r="BA305" s="51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84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</row>
    <row r="306" spans="2:95" s="35" customFormat="1" ht="12.75" customHeight="1" x14ac:dyDescent="0.2">
      <c r="B306" s="51"/>
      <c r="D306" s="44"/>
      <c r="X306" s="51"/>
      <c r="Y306" s="51"/>
      <c r="AA306" s="47"/>
      <c r="AC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65"/>
      <c r="BA306" s="51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84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</row>
    <row r="307" spans="2:95" s="35" customFormat="1" ht="12.75" customHeight="1" x14ac:dyDescent="0.2">
      <c r="B307" s="51"/>
      <c r="D307" s="44"/>
      <c r="X307" s="51"/>
      <c r="Y307" s="51"/>
      <c r="AA307" s="47"/>
      <c r="AC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65"/>
      <c r="BA307" s="51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84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</row>
    <row r="308" spans="2:95" s="35" customFormat="1" ht="12.75" customHeight="1" x14ac:dyDescent="0.2">
      <c r="B308" s="51"/>
      <c r="D308" s="44"/>
      <c r="X308" s="51"/>
      <c r="Y308" s="51"/>
      <c r="AA308" s="47"/>
      <c r="AC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65"/>
      <c r="BA308" s="51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84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</row>
    <row r="309" spans="2:95" s="35" customFormat="1" ht="12.75" customHeight="1" x14ac:dyDescent="0.2">
      <c r="B309" s="51"/>
      <c r="D309" s="44"/>
      <c r="X309" s="51"/>
      <c r="Y309" s="51"/>
      <c r="AA309" s="47"/>
      <c r="AC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65"/>
      <c r="BA309" s="51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84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</row>
    <row r="310" spans="2:95" s="35" customFormat="1" ht="12.75" customHeight="1" x14ac:dyDescent="0.2">
      <c r="B310" s="51"/>
      <c r="D310" s="44"/>
      <c r="X310" s="51"/>
      <c r="Y310" s="51"/>
      <c r="AA310" s="47"/>
      <c r="AC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65"/>
      <c r="BA310" s="51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84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</row>
    <row r="311" spans="2:95" s="35" customFormat="1" ht="12.75" customHeight="1" x14ac:dyDescent="0.2">
      <c r="B311" s="51"/>
      <c r="D311" s="44"/>
      <c r="X311" s="51"/>
      <c r="Y311" s="51"/>
      <c r="AA311" s="47"/>
      <c r="AC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65"/>
      <c r="BA311" s="51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84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</row>
    <row r="312" spans="2:95" s="35" customFormat="1" ht="12.75" customHeight="1" x14ac:dyDescent="0.2">
      <c r="B312" s="51"/>
      <c r="D312" s="44"/>
      <c r="X312" s="51"/>
      <c r="Y312" s="51"/>
      <c r="AA312" s="47"/>
      <c r="AC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65"/>
      <c r="BA312" s="51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84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</row>
    <row r="313" spans="2:95" s="35" customFormat="1" ht="12.75" customHeight="1" x14ac:dyDescent="0.2">
      <c r="B313" s="51"/>
      <c r="D313" s="44"/>
      <c r="X313" s="51"/>
      <c r="Y313" s="51"/>
      <c r="AA313" s="47"/>
      <c r="AC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65"/>
      <c r="BA313" s="51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84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</row>
    <row r="314" spans="2:95" s="35" customFormat="1" ht="12.75" customHeight="1" x14ac:dyDescent="0.2">
      <c r="B314" s="51"/>
      <c r="D314" s="44"/>
      <c r="X314" s="51"/>
      <c r="Y314" s="51"/>
      <c r="AA314" s="47"/>
      <c r="AC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65"/>
      <c r="BA314" s="51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84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</row>
    <row r="315" spans="2:95" s="35" customFormat="1" ht="12.75" customHeight="1" x14ac:dyDescent="0.2">
      <c r="B315" s="51"/>
      <c r="D315" s="44"/>
      <c r="X315" s="51"/>
      <c r="Y315" s="51"/>
      <c r="AA315" s="47"/>
      <c r="AC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65"/>
      <c r="BA315" s="51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84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</row>
    <row r="316" spans="2:95" s="35" customFormat="1" ht="12.75" customHeight="1" x14ac:dyDescent="0.2">
      <c r="B316" s="51"/>
      <c r="D316" s="44"/>
      <c r="X316" s="51"/>
      <c r="Y316" s="51"/>
      <c r="AA316" s="47"/>
      <c r="AC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65"/>
      <c r="BA316" s="51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84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</row>
    <row r="317" spans="2:95" s="35" customFormat="1" ht="12.75" customHeight="1" x14ac:dyDescent="0.2">
      <c r="B317" s="51"/>
      <c r="D317" s="44"/>
      <c r="X317" s="51"/>
      <c r="Y317" s="51"/>
      <c r="AA317" s="47"/>
      <c r="AC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65"/>
      <c r="BA317" s="51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84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</row>
    <row r="318" spans="2:95" s="35" customFormat="1" ht="12.75" customHeight="1" x14ac:dyDescent="0.2">
      <c r="B318" s="51"/>
      <c r="D318" s="44"/>
      <c r="X318" s="51"/>
      <c r="Y318" s="51"/>
      <c r="AA318" s="47"/>
      <c r="AC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65"/>
      <c r="BA318" s="51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84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</row>
    <row r="319" spans="2:95" s="35" customFormat="1" ht="12.75" customHeight="1" x14ac:dyDescent="0.2">
      <c r="B319" s="51"/>
      <c r="D319" s="44"/>
      <c r="X319" s="51"/>
      <c r="Y319" s="51"/>
      <c r="AA319" s="47"/>
      <c r="AC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65"/>
      <c r="BA319" s="51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84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</row>
    <row r="320" spans="2:95" s="35" customFormat="1" ht="12.75" customHeight="1" x14ac:dyDescent="0.2">
      <c r="B320" s="51"/>
      <c r="D320" s="44"/>
      <c r="X320" s="51"/>
      <c r="Y320" s="51"/>
      <c r="AA320" s="47"/>
      <c r="AC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65"/>
      <c r="BA320" s="51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84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</row>
    <row r="321" spans="2:95" s="35" customFormat="1" ht="12.75" customHeight="1" x14ac:dyDescent="0.2">
      <c r="B321" s="51"/>
      <c r="D321" s="44"/>
      <c r="X321" s="51"/>
      <c r="Y321" s="51"/>
      <c r="AA321" s="47"/>
      <c r="AC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65"/>
      <c r="BA321" s="51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84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</row>
    <row r="322" spans="2:95" s="35" customFormat="1" ht="12.75" customHeight="1" x14ac:dyDescent="0.2">
      <c r="B322" s="51"/>
      <c r="D322" s="44"/>
      <c r="X322" s="51"/>
      <c r="Y322" s="51"/>
      <c r="AA322" s="47"/>
      <c r="AC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65"/>
      <c r="BA322" s="51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84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</row>
    <row r="323" spans="2:95" s="35" customFormat="1" ht="12.75" customHeight="1" x14ac:dyDescent="0.2">
      <c r="B323" s="51"/>
      <c r="D323" s="44"/>
      <c r="X323" s="51"/>
      <c r="Y323" s="51"/>
      <c r="AA323" s="47"/>
      <c r="AC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65"/>
      <c r="BA323" s="51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84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</row>
    <row r="324" spans="2:95" s="35" customFormat="1" ht="12.75" customHeight="1" x14ac:dyDescent="0.2">
      <c r="B324" s="51"/>
      <c r="D324" s="44"/>
      <c r="X324" s="51"/>
      <c r="Y324" s="51"/>
      <c r="AA324" s="47"/>
      <c r="AC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65"/>
      <c r="BA324" s="51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84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</row>
    <row r="325" spans="2:95" s="35" customFormat="1" ht="12.75" customHeight="1" x14ac:dyDescent="0.2">
      <c r="B325" s="51"/>
      <c r="D325" s="44"/>
      <c r="X325" s="51"/>
      <c r="Y325" s="51"/>
      <c r="AA325" s="47"/>
      <c r="AC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65"/>
      <c r="BA325" s="51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84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</row>
    <row r="326" spans="2:95" s="35" customFormat="1" ht="12.75" customHeight="1" x14ac:dyDescent="0.2">
      <c r="B326" s="51"/>
      <c r="D326" s="44"/>
      <c r="X326" s="51"/>
      <c r="Y326" s="51"/>
      <c r="AA326" s="47"/>
      <c r="AC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65"/>
      <c r="BA326" s="51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84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</row>
    <row r="327" spans="2:95" s="35" customFormat="1" ht="12.75" customHeight="1" x14ac:dyDescent="0.2">
      <c r="B327" s="51"/>
      <c r="D327" s="44"/>
      <c r="X327" s="51"/>
      <c r="Y327" s="51"/>
      <c r="AA327" s="47"/>
      <c r="AC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65"/>
      <c r="BA327" s="51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84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</row>
    <row r="328" spans="2:95" s="35" customFormat="1" ht="12.75" customHeight="1" x14ac:dyDescent="0.2">
      <c r="B328" s="51"/>
      <c r="D328" s="44"/>
      <c r="X328" s="51"/>
      <c r="Y328" s="51"/>
      <c r="AA328" s="47"/>
      <c r="AC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65"/>
      <c r="BA328" s="51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84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</row>
    <row r="329" spans="2:95" s="35" customFormat="1" ht="12.75" customHeight="1" x14ac:dyDescent="0.2">
      <c r="B329" s="51"/>
      <c r="D329" s="44"/>
      <c r="X329" s="51"/>
      <c r="Y329" s="51"/>
      <c r="AA329" s="47"/>
      <c r="AC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65"/>
      <c r="BA329" s="51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84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</row>
    <row r="330" spans="2:95" s="35" customFormat="1" ht="12.75" customHeight="1" x14ac:dyDescent="0.2">
      <c r="B330" s="51"/>
      <c r="D330" s="44"/>
      <c r="X330" s="51"/>
      <c r="Y330" s="51"/>
      <c r="AA330" s="47"/>
      <c r="AC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65"/>
      <c r="BA330" s="51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84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</row>
    <row r="331" spans="2:95" s="35" customFormat="1" ht="12.75" customHeight="1" x14ac:dyDescent="0.2">
      <c r="B331" s="51"/>
      <c r="D331" s="44"/>
      <c r="X331" s="51"/>
      <c r="Y331" s="51"/>
      <c r="AA331" s="47"/>
      <c r="AC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65"/>
      <c r="BA331" s="51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84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</row>
    <row r="332" spans="2:95" s="35" customFormat="1" ht="12.75" customHeight="1" x14ac:dyDescent="0.2">
      <c r="B332" s="51"/>
      <c r="D332" s="44"/>
      <c r="X332" s="51"/>
      <c r="Y332" s="51"/>
      <c r="AA332" s="47"/>
      <c r="AC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65"/>
      <c r="BA332" s="51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84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</row>
    <row r="333" spans="2:95" s="35" customFormat="1" ht="12.75" customHeight="1" x14ac:dyDescent="0.2">
      <c r="B333" s="51"/>
      <c r="D333" s="44"/>
      <c r="X333" s="51"/>
      <c r="Y333" s="51"/>
      <c r="AA333" s="47"/>
      <c r="AC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65"/>
      <c r="BA333" s="51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84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</row>
    <row r="334" spans="2:95" s="35" customFormat="1" ht="12.75" customHeight="1" x14ac:dyDescent="0.2">
      <c r="B334" s="51"/>
      <c r="D334" s="44"/>
      <c r="X334" s="51"/>
      <c r="Y334" s="51"/>
      <c r="AA334" s="47"/>
      <c r="AC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65"/>
      <c r="BA334" s="51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84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</row>
    <row r="335" spans="2:95" s="35" customFormat="1" ht="12.75" customHeight="1" x14ac:dyDescent="0.2">
      <c r="B335" s="51"/>
      <c r="D335" s="44"/>
      <c r="X335" s="51"/>
      <c r="Y335" s="51"/>
      <c r="AA335" s="47"/>
      <c r="AC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65"/>
      <c r="BA335" s="51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84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</row>
    <row r="336" spans="2:95" s="35" customFormat="1" ht="12.75" customHeight="1" x14ac:dyDescent="0.2">
      <c r="B336" s="51"/>
      <c r="D336" s="44"/>
      <c r="X336" s="51"/>
      <c r="Y336" s="51"/>
      <c r="AA336" s="47"/>
      <c r="AC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65"/>
      <c r="BA336" s="51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84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</row>
    <row r="337" spans="2:95" s="35" customFormat="1" ht="12.75" customHeight="1" x14ac:dyDescent="0.2">
      <c r="B337" s="51"/>
      <c r="D337" s="44"/>
      <c r="X337" s="51"/>
      <c r="Y337" s="51"/>
      <c r="AA337" s="47"/>
      <c r="AC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65"/>
      <c r="BA337" s="51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84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</row>
    <row r="338" spans="2:95" s="35" customFormat="1" ht="12.75" customHeight="1" x14ac:dyDescent="0.2">
      <c r="B338" s="51"/>
      <c r="D338" s="44"/>
      <c r="X338" s="51"/>
      <c r="Y338" s="51"/>
      <c r="AA338" s="47"/>
      <c r="AC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65"/>
      <c r="BA338" s="51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84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</row>
    <row r="339" spans="2:95" s="35" customFormat="1" ht="12.75" customHeight="1" x14ac:dyDescent="0.2">
      <c r="B339" s="51"/>
      <c r="D339" s="44"/>
      <c r="X339" s="51"/>
      <c r="Y339" s="51"/>
      <c r="AA339" s="47"/>
      <c r="AC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65"/>
      <c r="BA339" s="51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84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</row>
    <row r="340" spans="2:95" s="35" customFormat="1" ht="12.75" customHeight="1" x14ac:dyDescent="0.2">
      <c r="B340" s="51"/>
      <c r="D340" s="44"/>
      <c r="X340" s="51"/>
      <c r="Y340" s="51"/>
      <c r="AA340" s="47"/>
      <c r="AC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65"/>
      <c r="BA340" s="51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84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</row>
    <row r="341" spans="2:95" s="35" customFormat="1" ht="12.75" customHeight="1" x14ac:dyDescent="0.2">
      <c r="B341" s="51"/>
      <c r="D341" s="44"/>
      <c r="X341" s="51"/>
      <c r="Y341" s="51"/>
      <c r="AA341" s="47"/>
      <c r="AC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65"/>
      <c r="BA341" s="51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84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</row>
    <row r="342" spans="2:95" s="35" customFormat="1" ht="12.75" customHeight="1" x14ac:dyDescent="0.2">
      <c r="B342" s="51"/>
      <c r="D342" s="44"/>
      <c r="X342" s="51"/>
      <c r="Y342" s="51"/>
      <c r="AA342" s="47"/>
      <c r="AC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65"/>
      <c r="BA342" s="51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84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</row>
    <row r="343" spans="2:95" s="35" customFormat="1" ht="12.75" customHeight="1" x14ac:dyDescent="0.2">
      <c r="B343" s="51"/>
      <c r="D343" s="44"/>
      <c r="X343" s="51"/>
      <c r="Y343" s="51"/>
      <c r="AA343" s="47"/>
      <c r="AC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65"/>
      <c r="BA343" s="51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84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</row>
    <row r="344" spans="2:95" s="35" customFormat="1" ht="12.75" customHeight="1" x14ac:dyDescent="0.2">
      <c r="B344" s="51"/>
      <c r="D344" s="44"/>
      <c r="X344" s="51"/>
      <c r="Y344" s="51"/>
      <c r="AA344" s="47"/>
      <c r="AC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65"/>
      <c r="BA344" s="51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84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</row>
    <row r="345" spans="2:95" s="35" customFormat="1" ht="12.75" customHeight="1" x14ac:dyDescent="0.2">
      <c r="B345" s="51"/>
      <c r="D345" s="44"/>
      <c r="X345" s="51"/>
      <c r="Y345" s="51"/>
      <c r="AA345" s="47"/>
      <c r="AC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65"/>
      <c r="BA345" s="51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84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</row>
    <row r="346" spans="2:95" s="35" customFormat="1" ht="12.75" customHeight="1" x14ac:dyDescent="0.2">
      <c r="B346" s="51"/>
      <c r="D346" s="44"/>
      <c r="X346" s="51"/>
      <c r="Y346" s="51"/>
      <c r="AA346" s="47"/>
      <c r="AC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65"/>
      <c r="BA346" s="51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84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</row>
    <row r="347" spans="2:95" s="35" customFormat="1" ht="12.75" customHeight="1" x14ac:dyDescent="0.2">
      <c r="B347" s="51"/>
      <c r="D347" s="44"/>
      <c r="X347" s="51"/>
      <c r="Y347" s="51"/>
      <c r="AA347" s="47"/>
      <c r="AC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65"/>
      <c r="BA347" s="51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84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</row>
    <row r="348" spans="2:95" s="35" customFormat="1" ht="12.75" customHeight="1" x14ac:dyDescent="0.2">
      <c r="B348" s="51"/>
      <c r="D348" s="44"/>
      <c r="X348" s="51"/>
      <c r="Y348" s="51"/>
      <c r="AA348" s="47"/>
      <c r="AC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65"/>
      <c r="BA348" s="51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84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</row>
    <row r="349" spans="2:95" s="35" customFormat="1" ht="12.75" customHeight="1" x14ac:dyDescent="0.2">
      <c r="B349" s="51"/>
      <c r="D349" s="44"/>
      <c r="X349" s="51"/>
      <c r="Y349" s="51"/>
      <c r="AA349" s="47"/>
      <c r="AC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65"/>
      <c r="BA349" s="51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84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</row>
    <row r="350" spans="2:95" s="35" customFormat="1" ht="12.75" customHeight="1" x14ac:dyDescent="0.2">
      <c r="B350" s="51"/>
      <c r="D350" s="44"/>
      <c r="X350" s="51"/>
      <c r="Y350" s="51"/>
      <c r="AA350" s="47"/>
      <c r="AC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65"/>
      <c r="BA350" s="51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84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</row>
  </sheetData>
  <mergeCells count="1">
    <mergeCell ref="Q7:U7"/>
  </mergeCells>
  <phoneticPr fontId="4" type="noConversion"/>
  <pageMargins left="0.75" right="0.75" top="0.5" bottom="0.5" header="0" footer="0.25"/>
  <pageSetup scale="85" firstPageNumber="90" pageOrder="overThenDown" orientation="portrait" useFirstPageNumber="1" r:id="rId1"/>
  <headerFooter alignWithMargins="0">
    <oddFooter>&amp;C&amp;"Times New Roman,Regular"&amp;11&amp;P</oddFooter>
  </headerFooter>
  <rowBreaks count="9" manualBreakCount="9">
    <brk id="83" max="22" man="1"/>
    <brk id="83" min="25" max="51" man="1"/>
    <brk id="83" min="53" max="65" man="1"/>
    <brk id="167" max="22" man="1"/>
    <brk id="167" min="25" max="51" man="1"/>
    <brk id="167" min="53" max="65" man="1"/>
    <brk id="243" max="22" man="1"/>
    <brk id="243" min="25" max="51" man="1"/>
    <brk id="243" min="53" max="65" man="1"/>
  </rowBreaks>
  <colBreaks count="1" manualBreakCount="1">
    <brk id="13" min="11" max="2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323"/>
  <sheetViews>
    <sheetView view="pageBreakPreview" zoomScale="80" zoomScaleNormal="100" zoomScaleSheetLayoutView="80" workbookViewId="0">
      <pane xSplit="4" ySplit="8" topLeftCell="AP170" activePane="bottomRight" state="frozen"/>
      <selection activeCell="A49" sqref="A49:IV50"/>
      <selection pane="topRight" activeCell="A49" sqref="A49:IV50"/>
      <selection pane="bottomLeft" activeCell="A49" sqref="A49:IV50"/>
      <selection pane="bottomRight" activeCell="A5" sqref="A5"/>
    </sheetView>
  </sheetViews>
  <sheetFormatPr defaultColWidth="8.42578125" defaultRowHeight="12.75" customHeight="1" x14ac:dyDescent="0.2"/>
  <cols>
    <col min="1" max="1" width="18.28515625" style="36" customWidth="1"/>
    <col min="2" max="2" width="2.140625" customWidth="1"/>
    <col min="3" max="3" width="11.28515625" style="36" customWidth="1"/>
    <col min="4" max="4" width="2.140625" style="2" customWidth="1"/>
    <col min="5" max="5" width="12.42578125" style="36" bestFit="1" customWidth="1"/>
    <col min="6" max="6" width="2" style="36" customWidth="1"/>
    <col min="7" max="7" width="13.7109375" style="36" bestFit="1" customWidth="1"/>
    <col min="8" max="8" width="2" style="36" customWidth="1"/>
    <col min="9" max="9" width="14.28515625" style="36" bestFit="1" customWidth="1"/>
    <col min="10" max="10" width="2" style="36" customWidth="1"/>
    <col min="11" max="11" width="11.7109375" style="36" customWidth="1"/>
    <col min="12" max="12" width="2" style="36" customWidth="1"/>
    <col min="13" max="13" width="13.7109375" style="36" bestFit="1" customWidth="1"/>
    <col min="14" max="14" width="1.7109375" style="36" customWidth="1"/>
    <col min="15" max="15" width="13.42578125" style="36" bestFit="1" customWidth="1"/>
    <col min="16" max="16" width="1.7109375" style="36" customWidth="1"/>
    <col min="17" max="17" width="13.140625" style="36" bestFit="1" customWidth="1"/>
    <col min="18" max="18" width="1.7109375" style="36" customWidth="1"/>
    <col min="19" max="19" width="11.7109375" style="36" customWidth="1"/>
    <col min="20" max="20" width="1.7109375" style="36" customWidth="1"/>
    <col min="21" max="21" width="11.7109375" style="36" customWidth="1"/>
    <col min="22" max="22" width="1.7109375" style="36" customWidth="1"/>
    <col min="23" max="23" width="13.5703125" style="36" bestFit="1" customWidth="1"/>
    <col min="24" max="24" width="11.7109375" style="36" customWidth="1"/>
    <col min="25" max="25" width="18" style="36" customWidth="1"/>
    <col min="26" max="26" width="1.7109375" style="36" customWidth="1"/>
    <col min="27" max="27" width="11.5703125" style="36" customWidth="1"/>
    <col min="28" max="28" width="1.7109375" style="36" customWidth="1"/>
    <col min="29" max="29" width="12.42578125" style="36" bestFit="1" customWidth="1"/>
    <col min="30" max="30" width="1.7109375" style="36" customWidth="1"/>
    <col min="31" max="31" width="11.7109375" style="36" customWidth="1"/>
    <col min="32" max="32" width="1.7109375" style="36" customWidth="1"/>
    <col min="33" max="33" width="11.7109375" style="36" customWidth="1"/>
    <col min="34" max="34" width="1.7109375" style="36" customWidth="1"/>
    <col min="35" max="35" width="11.7109375" style="36" customWidth="1"/>
    <col min="36" max="36" width="1.7109375" style="36" customWidth="1"/>
    <col min="37" max="37" width="11.7109375" style="36" customWidth="1"/>
    <col min="38" max="38" width="1.7109375" style="36" customWidth="1"/>
    <col min="39" max="39" width="11.7109375" style="36" customWidth="1"/>
    <col min="40" max="40" width="1.7109375" style="36" customWidth="1"/>
    <col min="41" max="41" width="11.7109375" style="36" customWidth="1"/>
    <col min="42" max="42" width="1.7109375" style="36" customWidth="1"/>
    <col min="43" max="43" width="11.7109375" style="36" customWidth="1"/>
    <col min="44" max="44" width="1.7109375" style="36" customWidth="1"/>
    <col min="45" max="45" width="11.7109375" style="36" customWidth="1"/>
    <col min="46" max="46" width="1.7109375" style="36" customWidth="1"/>
    <col min="47" max="47" width="10.85546875" style="36" hidden="1" customWidth="1"/>
    <col min="48" max="48" width="1.7109375" style="36" hidden="1" customWidth="1"/>
    <col min="49" max="49" width="10.85546875" style="36" hidden="1" customWidth="1"/>
    <col min="50" max="50" width="1.7109375" style="36" hidden="1" customWidth="1"/>
    <col min="51" max="51" width="11.7109375" style="36" customWidth="1"/>
    <col min="52" max="52" width="11.85546875" style="36" customWidth="1"/>
    <col min="53" max="53" width="21.7109375" style="36" customWidth="1"/>
    <col min="54" max="54" width="1.7109375" style="36" customWidth="1"/>
    <col min="55" max="55" width="11.5703125" style="36" customWidth="1"/>
    <col min="56" max="56" width="1.7109375" style="36" customWidth="1"/>
    <col min="57" max="57" width="12.42578125" style="10" bestFit="1" customWidth="1"/>
    <col min="58" max="58" width="1.7109375" style="36" customWidth="1"/>
    <col min="59" max="59" width="11.7109375" style="36" customWidth="1"/>
    <col min="60" max="60" width="1.7109375" style="36" customWidth="1"/>
    <col min="61" max="61" width="11.7109375" style="36" customWidth="1"/>
    <col min="62" max="62" width="1.7109375" style="36" customWidth="1"/>
    <col min="63" max="63" width="11.7109375" style="36" customWidth="1"/>
    <col min="64" max="64" width="1.7109375" style="36" customWidth="1"/>
    <col min="65" max="65" width="12.42578125" style="36" bestFit="1" customWidth="1"/>
    <col min="66" max="66" width="1.7109375" style="36" hidden="1" customWidth="1"/>
    <col min="67" max="67" width="10.7109375" style="36" hidden="1" customWidth="1"/>
    <col min="68" max="68" width="11.7109375" style="21" hidden="1" customWidth="1"/>
    <col min="69" max="69" width="10.7109375" style="21" hidden="1" customWidth="1"/>
    <col min="70" max="70" width="1.7109375" style="21" customWidth="1"/>
    <col min="71" max="71" width="10.7109375" style="21" customWidth="1"/>
    <col min="72" max="72" width="11.7109375" style="21" customWidth="1"/>
    <col min="73" max="73" width="1.7109375" style="21" customWidth="1"/>
    <col min="74" max="74" width="11.7109375" style="21" customWidth="1"/>
    <col min="75" max="75" width="1.7109375" style="21" customWidth="1"/>
    <col min="76" max="76" width="11.7109375" style="36" customWidth="1"/>
    <col min="77" max="77" width="1.7109375" style="36" customWidth="1"/>
    <col min="78" max="78" width="11.7109375" style="36" customWidth="1"/>
    <col min="79" max="79" width="1.7109375" style="36" customWidth="1"/>
    <col min="80" max="80" width="11.7109375" style="36" customWidth="1"/>
    <col min="81" max="81" width="1.7109375" style="36" customWidth="1"/>
    <col min="82" max="82" width="11.7109375" style="36" customWidth="1"/>
    <col min="83" max="83" width="1.7109375" style="36" customWidth="1"/>
    <col min="84" max="84" width="15.42578125" style="36" customWidth="1"/>
    <col min="85" max="85" width="1.7109375" style="10" customWidth="1"/>
    <col min="86" max="86" width="10.140625" style="36" customWidth="1"/>
    <col min="87" max="87" width="1.7109375" style="36" customWidth="1"/>
    <col min="88" max="88" width="11.7109375" style="36" customWidth="1"/>
    <col min="89" max="89" width="1.7109375" style="36" customWidth="1"/>
    <col min="90" max="90" width="11.7109375" style="36" customWidth="1"/>
    <col min="91" max="91" width="1.7109375" style="36" customWidth="1"/>
    <col min="92" max="92" width="11.7109375" style="36" customWidth="1"/>
    <col min="93" max="93" width="1.7109375" style="36" customWidth="1"/>
    <col min="94" max="94" width="11.7109375" style="36" customWidth="1"/>
    <col min="95" max="95" width="2.7109375" style="36" customWidth="1"/>
    <col min="96" max="96" width="11.7109375" style="36" customWidth="1"/>
    <col min="97" max="97" width="1.7109375" style="36" customWidth="1"/>
    <col min="98" max="16384" width="8.42578125" style="36"/>
  </cols>
  <sheetData>
    <row r="1" spans="1:97" s="39" customFormat="1" ht="12.75" customHeight="1" x14ac:dyDescent="0.2">
      <c r="A1" s="29" t="s">
        <v>392</v>
      </c>
      <c r="C1" s="38"/>
      <c r="D1" s="2"/>
      <c r="E1" s="22"/>
      <c r="F1" s="22"/>
      <c r="G1" s="22"/>
      <c r="H1" s="22"/>
      <c r="I1" s="22"/>
      <c r="J1" s="22"/>
      <c r="K1" s="22"/>
      <c r="L1" s="22"/>
      <c r="N1" s="22"/>
      <c r="O1" s="29"/>
      <c r="P1" s="22"/>
      <c r="Q1" s="22"/>
      <c r="R1" s="22"/>
      <c r="S1" s="22"/>
      <c r="T1" s="22"/>
      <c r="U1" s="22"/>
      <c r="V1" s="22"/>
      <c r="W1" s="22"/>
      <c r="X1" s="22"/>
      <c r="Y1" s="29" t="s">
        <v>392</v>
      </c>
      <c r="AA1" s="38"/>
      <c r="AB1" s="38"/>
      <c r="AD1" s="5"/>
      <c r="AE1" s="29"/>
      <c r="AF1" s="5"/>
      <c r="AG1" s="5"/>
      <c r="AH1" s="5"/>
      <c r="AI1" s="5"/>
      <c r="AJ1" s="5"/>
      <c r="AK1" s="5"/>
      <c r="AL1" s="5"/>
      <c r="AM1" s="5"/>
      <c r="AN1" s="5"/>
      <c r="AP1" s="5"/>
      <c r="AQ1" s="5"/>
      <c r="AR1" s="5"/>
      <c r="AS1" s="29"/>
      <c r="AT1" s="5"/>
      <c r="AU1" s="5"/>
      <c r="AV1" s="5"/>
      <c r="AW1" s="5"/>
      <c r="AX1" s="5"/>
      <c r="AY1" s="5"/>
      <c r="AZ1" s="5"/>
      <c r="BA1" s="29" t="s">
        <v>392</v>
      </c>
      <c r="BC1" s="38"/>
      <c r="BD1" s="5"/>
      <c r="BF1" s="5"/>
      <c r="BG1" s="5"/>
      <c r="BH1" s="5"/>
      <c r="BI1" s="5"/>
      <c r="BJ1" s="5"/>
      <c r="BK1" s="29"/>
      <c r="BL1" s="5"/>
      <c r="BM1" s="22"/>
      <c r="BN1" s="22"/>
      <c r="BR1"/>
      <c r="BS1" s="5"/>
      <c r="BU1" s="5"/>
      <c r="BV1" s="5"/>
      <c r="BW1" s="5"/>
      <c r="BX1" s="29"/>
      <c r="BY1" s="5"/>
      <c r="BZ1" s="5"/>
      <c r="CA1" s="5"/>
      <c r="CB1" s="5"/>
      <c r="CC1" s="5"/>
      <c r="CD1" s="5"/>
      <c r="CE1" s="5"/>
      <c r="CF1" s="29"/>
      <c r="CH1" s="38"/>
      <c r="CI1" s="5"/>
      <c r="CK1" s="5"/>
      <c r="CL1" s="5"/>
      <c r="CM1" s="5"/>
      <c r="CN1" s="5"/>
      <c r="CO1" s="5"/>
      <c r="CP1" s="29"/>
      <c r="CQ1" s="5"/>
      <c r="CR1" s="22"/>
      <c r="CS1" s="22"/>
    </row>
    <row r="2" spans="1:97" s="39" customFormat="1" ht="12.75" customHeight="1" x14ac:dyDescent="0.2">
      <c r="A2" s="23" t="s">
        <v>472</v>
      </c>
      <c r="C2" s="38"/>
      <c r="D2" s="2"/>
      <c r="E2" s="22"/>
      <c r="F2" s="22"/>
      <c r="G2" s="22"/>
      <c r="H2" s="22"/>
      <c r="I2" s="22"/>
      <c r="J2" s="22"/>
      <c r="K2" s="22"/>
      <c r="L2" s="22"/>
      <c r="N2" s="22"/>
      <c r="O2" s="29"/>
      <c r="P2" s="22"/>
      <c r="Q2" s="22"/>
      <c r="R2" s="22"/>
      <c r="S2" s="22"/>
      <c r="T2" s="22"/>
      <c r="U2" s="22"/>
      <c r="V2" s="22"/>
      <c r="W2" s="22"/>
      <c r="X2" s="22"/>
      <c r="Y2" s="23" t="s">
        <v>473</v>
      </c>
      <c r="AA2" s="38"/>
      <c r="AB2" s="38"/>
      <c r="AD2" s="5"/>
      <c r="AE2" s="29"/>
      <c r="AF2" s="5"/>
      <c r="AG2" s="5"/>
      <c r="AH2" s="5"/>
      <c r="AI2" s="5"/>
      <c r="AJ2" s="5"/>
      <c r="AK2" s="5"/>
      <c r="AL2" s="5"/>
      <c r="AM2" s="5"/>
      <c r="AN2" s="5"/>
      <c r="AP2" s="5"/>
      <c r="AQ2" s="5"/>
      <c r="AR2" s="5"/>
      <c r="AS2" s="29"/>
      <c r="AT2" s="5"/>
      <c r="AU2" s="5"/>
      <c r="AV2" s="5"/>
      <c r="AW2" s="5"/>
      <c r="AX2" s="5"/>
      <c r="AY2" s="5"/>
      <c r="AZ2" s="5"/>
      <c r="BA2" s="43" t="s">
        <v>348</v>
      </c>
      <c r="BC2" s="38"/>
      <c r="BD2" s="5"/>
      <c r="BF2" s="5"/>
      <c r="BG2" s="5"/>
      <c r="BH2" s="5"/>
      <c r="BI2" s="5"/>
      <c r="BJ2" s="5"/>
      <c r="BK2" s="29"/>
      <c r="BL2" s="5"/>
      <c r="BM2" s="22"/>
      <c r="BN2" s="22"/>
      <c r="BR2"/>
      <c r="BS2" s="5"/>
      <c r="BU2" s="5"/>
      <c r="BV2" s="5"/>
      <c r="BW2" s="5"/>
      <c r="BX2" s="29"/>
      <c r="BY2" s="5"/>
      <c r="BZ2" s="5"/>
      <c r="CA2" s="5"/>
      <c r="CB2" s="5"/>
      <c r="CC2" s="5"/>
      <c r="CD2" s="5"/>
      <c r="CE2" s="5"/>
      <c r="CF2" s="43"/>
      <c r="CH2" s="38"/>
      <c r="CI2" s="5"/>
      <c r="CK2" s="5"/>
      <c r="CL2" s="5"/>
      <c r="CM2" s="5"/>
      <c r="CN2" s="5"/>
      <c r="CO2" s="5"/>
      <c r="CP2" s="29"/>
      <c r="CQ2" s="5"/>
      <c r="CR2" s="22"/>
      <c r="CS2" s="22"/>
    </row>
    <row r="3" spans="1:97" s="39" customFormat="1" ht="12.75" customHeight="1" x14ac:dyDescent="0.2">
      <c r="A3" s="29" t="s">
        <v>500</v>
      </c>
      <c r="C3" s="38"/>
      <c r="D3" s="2"/>
      <c r="E3" s="22"/>
      <c r="F3" s="22"/>
      <c r="G3" s="22"/>
      <c r="H3" s="22"/>
      <c r="I3" s="22"/>
      <c r="J3" s="22"/>
      <c r="K3" s="22"/>
      <c r="L3" s="22"/>
      <c r="N3" s="22"/>
      <c r="O3" s="29"/>
      <c r="P3" s="22"/>
      <c r="Q3" s="22"/>
      <c r="R3" s="22"/>
      <c r="S3" s="22"/>
      <c r="T3" s="22"/>
      <c r="U3" s="22"/>
      <c r="V3" s="22"/>
      <c r="W3" s="22"/>
      <c r="X3" s="22"/>
      <c r="Y3" s="29" t="s">
        <v>500</v>
      </c>
      <c r="AA3" s="38"/>
      <c r="AB3" s="38"/>
      <c r="AD3" s="5"/>
      <c r="AE3" s="29"/>
      <c r="AF3" s="5"/>
      <c r="AG3" s="5"/>
      <c r="AH3" s="5"/>
      <c r="AI3" s="5"/>
      <c r="AJ3" s="5"/>
      <c r="AK3" s="5"/>
      <c r="AL3" s="5"/>
      <c r="AM3" s="5"/>
      <c r="AN3" s="5"/>
      <c r="AP3" s="5"/>
      <c r="AQ3" s="5"/>
      <c r="AR3" s="5"/>
      <c r="AS3" s="29"/>
      <c r="AT3" s="5"/>
      <c r="AU3" s="5"/>
      <c r="AV3" s="5"/>
      <c r="AW3" s="5"/>
      <c r="AX3" s="5"/>
      <c r="AY3" s="5"/>
      <c r="AZ3" s="5"/>
      <c r="BA3" s="29" t="s">
        <v>500</v>
      </c>
      <c r="BC3" s="38"/>
      <c r="BD3" s="5"/>
      <c r="BF3" s="5"/>
      <c r="BG3" s="5"/>
      <c r="BH3" s="5"/>
      <c r="BI3" s="5"/>
      <c r="BJ3" s="5"/>
      <c r="BK3" s="29"/>
      <c r="BL3" s="5"/>
      <c r="BM3" s="22"/>
      <c r="BN3" s="22"/>
      <c r="BR3"/>
      <c r="BS3" s="5"/>
      <c r="BU3" s="5"/>
      <c r="BV3" s="5"/>
      <c r="BW3" s="5"/>
      <c r="BX3" s="29"/>
      <c r="BY3" s="5"/>
      <c r="BZ3" s="5"/>
      <c r="CA3" s="5"/>
      <c r="CB3" s="5"/>
      <c r="CC3" s="5"/>
      <c r="CD3" s="5"/>
      <c r="CE3" s="5"/>
      <c r="CF3" s="29"/>
      <c r="CH3" s="38"/>
      <c r="CI3" s="5"/>
      <c r="CK3" s="5"/>
      <c r="CL3" s="5"/>
      <c r="CM3" s="5"/>
      <c r="CN3" s="5"/>
      <c r="CO3" s="5"/>
      <c r="CP3" s="29"/>
      <c r="CQ3" s="5"/>
      <c r="CR3" s="22"/>
      <c r="CS3" s="22"/>
    </row>
    <row r="4" spans="1:97" ht="12.75" customHeight="1" x14ac:dyDescent="0.2">
      <c r="A4" s="42" t="s">
        <v>289</v>
      </c>
      <c r="C4" s="40"/>
      <c r="E4" s="5"/>
      <c r="F4" s="5"/>
      <c r="G4" s="5"/>
      <c r="H4" s="5"/>
      <c r="I4" s="5"/>
      <c r="J4" s="5"/>
      <c r="K4" s="5"/>
      <c r="L4" s="5"/>
      <c r="N4" s="5"/>
      <c r="O4" s="42"/>
      <c r="P4" s="5"/>
      <c r="Q4" s="5"/>
      <c r="R4" s="5"/>
      <c r="S4" s="5"/>
      <c r="T4" s="5"/>
      <c r="U4" s="5"/>
      <c r="V4" s="5"/>
      <c r="W4" s="5"/>
      <c r="X4" s="5"/>
      <c r="Y4" s="42" t="s">
        <v>289</v>
      </c>
      <c r="Z4" s="10"/>
      <c r="AA4" s="40"/>
      <c r="AB4" s="40"/>
      <c r="AD4" s="5"/>
      <c r="AE4" s="42"/>
      <c r="AF4" s="5"/>
      <c r="AG4" s="5"/>
      <c r="AH4" s="5"/>
      <c r="AI4" s="5"/>
      <c r="AJ4" s="5"/>
      <c r="AK4" s="5"/>
      <c r="AL4" s="5"/>
      <c r="AM4" s="5"/>
      <c r="AN4" s="5"/>
      <c r="AP4" s="5"/>
      <c r="AQ4" s="5"/>
      <c r="AR4" s="5"/>
      <c r="AS4" s="42"/>
      <c r="AT4" s="5"/>
      <c r="AU4" s="5"/>
      <c r="AV4" s="5"/>
      <c r="AW4" s="5"/>
      <c r="AX4" s="5"/>
      <c r="AY4" s="5"/>
      <c r="AZ4" s="5"/>
      <c r="BA4" s="42" t="s">
        <v>289</v>
      </c>
      <c r="BB4" s="10"/>
      <c r="BC4" s="40"/>
      <c r="BD4" s="5"/>
      <c r="BE4" s="36"/>
      <c r="BF4" s="5"/>
      <c r="BG4" s="5"/>
      <c r="BH4" s="5"/>
      <c r="BI4" s="5"/>
      <c r="BJ4" s="5"/>
      <c r="BK4" s="42"/>
      <c r="BL4" s="5"/>
      <c r="BM4" s="5"/>
      <c r="BN4" s="5"/>
      <c r="BP4" s="36"/>
      <c r="BQ4" s="36"/>
      <c r="BR4"/>
      <c r="BS4" s="5"/>
      <c r="BT4" s="36"/>
      <c r="BU4" s="5"/>
      <c r="BV4" s="5"/>
      <c r="BW4" s="5"/>
      <c r="BX4" s="42"/>
      <c r="BY4" s="5"/>
      <c r="BZ4" s="5"/>
      <c r="CA4" s="5"/>
      <c r="CB4" s="5"/>
      <c r="CC4" s="5"/>
      <c r="CD4" s="5"/>
      <c r="CE4" s="5"/>
      <c r="CF4" s="42"/>
      <c r="CH4" s="40"/>
      <c r="CI4" s="5"/>
      <c r="CK4" s="5"/>
      <c r="CL4" s="5"/>
      <c r="CM4" s="5"/>
      <c r="CN4" s="5"/>
      <c r="CO4" s="5"/>
      <c r="CP4" s="42"/>
      <c r="CQ4" s="5"/>
      <c r="CR4" s="5"/>
      <c r="CS4" s="5"/>
    </row>
    <row r="5" spans="1:97" ht="12.75" customHeight="1" x14ac:dyDescent="0.2">
      <c r="A5" s="74" t="s">
        <v>484</v>
      </c>
      <c r="Q5" s="159" t="s">
        <v>2</v>
      </c>
      <c r="R5" s="159"/>
      <c r="S5" s="159"/>
      <c r="T5" s="159"/>
      <c r="U5" s="159"/>
      <c r="Y5" s="74" t="s">
        <v>484</v>
      </c>
      <c r="AU5" s="41" t="s">
        <v>411</v>
      </c>
      <c r="AW5" s="41" t="s">
        <v>412</v>
      </c>
      <c r="BA5" s="74" t="s">
        <v>484</v>
      </c>
      <c r="BE5" s="34" t="s">
        <v>348</v>
      </c>
      <c r="BF5" s="34"/>
      <c r="BG5" s="34"/>
      <c r="BH5" s="34"/>
      <c r="BI5" s="34"/>
      <c r="BJ5" s="34"/>
      <c r="BK5" s="4"/>
      <c r="CG5" s="19"/>
    </row>
    <row r="6" spans="1:97" s="41" customFormat="1" ht="12.75" customHeight="1" x14ac:dyDescent="0.2">
      <c r="D6" s="3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 t="s">
        <v>7</v>
      </c>
      <c r="W6" s="6"/>
      <c r="X6" s="6"/>
      <c r="Z6" s="12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 t="s">
        <v>349</v>
      </c>
      <c r="AV6" s="6"/>
      <c r="AW6" s="6" t="s">
        <v>349</v>
      </c>
      <c r="AX6" s="6"/>
      <c r="AY6" s="6"/>
      <c r="AZ6" s="6"/>
      <c r="BB6" s="12"/>
      <c r="BD6" s="6"/>
      <c r="BE6" s="6" t="s">
        <v>296</v>
      </c>
      <c r="BF6" s="6"/>
      <c r="BG6" s="6" t="s">
        <v>350</v>
      </c>
      <c r="BH6" s="6"/>
      <c r="BI6" s="6"/>
      <c r="BJ6" s="6"/>
      <c r="BK6" s="6" t="s">
        <v>294</v>
      </c>
      <c r="BL6" s="6"/>
      <c r="BM6" s="6" t="s">
        <v>6</v>
      </c>
      <c r="BN6" s="33"/>
      <c r="BR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G6" s="15"/>
      <c r="CI6" s="6"/>
      <c r="CJ6" s="6"/>
      <c r="CK6" s="6"/>
      <c r="CL6" s="6"/>
      <c r="CM6" s="6"/>
      <c r="CN6" s="6"/>
      <c r="CO6" s="6"/>
      <c r="CP6" s="6"/>
      <c r="CQ6" s="6"/>
      <c r="CR6" s="6"/>
      <c r="CS6" s="33"/>
    </row>
    <row r="7" spans="1:97" s="41" customFormat="1" ht="12.75" customHeight="1" x14ac:dyDescent="0.2">
      <c r="D7" s="6"/>
      <c r="E7" s="6" t="s">
        <v>3</v>
      </c>
      <c r="F7" s="6"/>
      <c r="G7" s="6" t="s">
        <v>351</v>
      </c>
      <c r="H7" s="6"/>
      <c r="I7" s="6" t="s">
        <v>6</v>
      </c>
      <c r="J7" s="6"/>
      <c r="K7" s="6" t="s">
        <v>3</v>
      </c>
      <c r="L7" s="6"/>
      <c r="M7" s="6" t="s">
        <v>351</v>
      </c>
      <c r="N7" s="6"/>
      <c r="O7" s="6" t="s">
        <v>6</v>
      </c>
      <c r="P7" s="6"/>
      <c r="Q7" s="41" t="s">
        <v>4</v>
      </c>
      <c r="R7" s="6"/>
      <c r="S7" s="6"/>
      <c r="T7" s="6"/>
      <c r="U7" s="6"/>
      <c r="V7" s="6"/>
      <c r="W7" s="8" t="s">
        <v>6</v>
      </c>
      <c r="X7" s="8"/>
      <c r="AC7" s="6" t="s">
        <v>345</v>
      </c>
      <c r="AD7" s="6"/>
      <c r="AE7" s="6" t="s">
        <v>353</v>
      </c>
      <c r="AF7" s="6"/>
      <c r="AG7" s="6"/>
      <c r="AH7" s="6"/>
      <c r="AI7" s="6" t="s">
        <v>345</v>
      </c>
      <c r="AJ7" s="6"/>
      <c r="AK7" s="6" t="s">
        <v>354</v>
      </c>
      <c r="AL7" s="6"/>
      <c r="AM7" s="6"/>
      <c r="AN7" s="6"/>
      <c r="AO7" s="6"/>
      <c r="AP7" s="6"/>
      <c r="AQ7" s="6" t="s">
        <v>4</v>
      </c>
      <c r="AR7" s="6"/>
      <c r="AS7" s="6" t="s">
        <v>368</v>
      </c>
      <c r="AT7" s="6"/>
      <c r="AU7" s="6" t="s">
        <v>413</v>
      </c>
      <c r="AV7" s="6"/>
      <c r="AW7" s="6" t="s">
        <v>413</v>
      </c>
      <c r="AX7" s="6"/>
      <c r="AY7" s="6" t="s">
        <v>355</v>
      </c>
      <c r="AZ7" s="6"/>
      <c r="BD7" s="6"/>
      <c r="BE7" s="6" t="s">
        <v>356</v>
      </c>
      <c r="BF7" s="6"/>
      <c r="BG7" s="6" t="s">
        <v>302</v>
      </c>
      <c r="BH7" s="6"/>
      <c r="BI7" s="6"/>
      <c r="BJ7" s="6"/>
      <c r="BK7" s="6" t="s">
        <v>352</v>
      </c>
      <c r="BL7" s="6"/>
      <c r="BM7" s="6" t="s">
        <v>352</v>
      </c>
      <c r="BN7" s="33"/>
      <c r="BR7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33"/>
    </row>
    <row r="8" spans="1:97" s="89" customFormat="1" ht="12.75" customHeight="1" x14ac:dyDescent="0.2">
      <c r="A8" s="7" t="s">
        <v>8</v>
      </c>
      <c r="C8" s="7" t="s">
        <v>9</v>
      </c>
      <c r="D8" s="8"/>
      <c r="E8" s="7" t="s">
        <v>0</v>
      </c>
      <c r="F8" s="8"/>
      <c r="G8" s="7" t="s">
        <v>0</v>
      </c>
      <c r="H8" s="8"/>
      <c r="I8" s="7" t="s">
        <v>0</v>
      </c>
      <c r="J8" s="8"/>
      <c r="K8" s="7" t="s">
        <v>1</v>
      </c>
      <c r="L8" s="8"/>
      <c r="M8" s="7" t="s">
        <v>1</v>
      </c>
      <c r="N8" s="8"/>
      <c r="O8" s="7" t="s">
        <v>1</v>
      </c>
      <c r="P8" s="8"/>
      <c r="Q8" s="7" t="s">
        <v>0</v>
      </c>
      <c r="R8" s="8"/>
      <c r="S8" s="7" t="s">
        <v>10</v>
      </c>
      <c r="T8" s="8"/>
      <c r="U8" s="7" t="s">
        <v>11</v>
      </c>
      <c r="V8" s="8"/>
      <c r="W8" s="105" t="s">
        <v>2</v>
      </c>
      <c r="Y8" s="7" t="s">
        <v>8</v>
      </c>
      <c r="AA8" s="7" t="s">
        <v>9</v>
      </c>
      <c r="AB8" s="8"/>
      <c r="AC8" s="78" t="s">
        <v>302</v>
      </c>
      <c r="AD8" s="8"/>
      <c r="AE8" s="78" t="s">
        <v>357</v>
      </c>
      <c r="AF8" s="8"/>
      <c r="AG8" s="78" t="s">
        <v>357</v>
      </c>
      <c r="AH8" s="8"/>
      <c r="AI8" s="78" t="s">
        <v>358</v>
      </c>
      <c r="AJ8" s="8"/>
      <c r="AK8" s="78" t="s">
        <v>414</v>
      </c>
      <c r="AL8" s="8"/>
      <c r="AM8" s="78" t="s">
        <v>359</v>
      </c>
      <c r="AN8" s="8"/>
      <c r="AO8" s="78" t="s">
        <v>360</v>
      </c>
      <c r="AP8" s="8"/>
      <c r="AQ8" s="78" t="s">
        <v>361</v>
      </c>
      <c r="AR8" s="8"/>
      <c r="AS8" s="78" t="s">
        <v>2</v>
      </c>
      <c r="AT8" s="8"/>
      <c r="AU8" s="7" t="s">
        <v>415</v>
      </c>
      <c r="AV8" s="8"/>
      <c r="AW8" s="7" t="s">
        <v>415</v>
      </c>
      <c r="AX8" s="8"/>
      <c r="AY8" s="78" t="s">
        <v>4</v>
      </c>
      <c r="AZ8" s="8"/>
      <c r="BA8" s="7" t="s">
        <v>8</v>
      </c>
      <c r="BC8" s="7" t="s">
        <v>9</v>
      </c>
      <c r="BD8" s="8"/>
      <c r="BE8" s="78" t="s">
        <v>362</v>
      </c>
      <c r="BF8" s="8"/>
      <c r="BG8" s="78" t="s">
        <v>362</v>
      </c>
      <c r="BH8" s="8"/>
      <c r="BI8" s="78" t="s">
        <v>363</v>
      </c>
      <c r="BJ8" s="8"/>
      <c r="BK8" s="78" t="s">
        <v>364</v>
      </c>
      <c r="BL8" s="8"/>
      <c r="BM8" s="7" t="s">
        <v>364</v>
      </c>
      <c r="BN8" s="54"/>
      <c r="BR8" s="51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54"/>
    </row>
    <row r="9" spans="1:97" s="89" customFormat="1" ht="12.75" customHeight="1" x14ac:dyDescent="0.2">
      <c r="A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Y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54"/>
      <c r="BR9" s="51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54"/>
    </row>
    <row r="10" spans="1:97" s="90" customFormat="1" ht="12.75" hidden="1" customHeight="1" x14ac:dyDescent="0.2">
      <c r="A10" s="35" t="s">
        <v>12</v>
      </c>
      <c r="B10" s="51"/>
      <c r="C10" s="35" t="s">
        <v>13</v>
      </c>
      <c r="D10" s="44"/>
      <c r="E10" s="79">
        <f t="shared" ref="E10:E11" si="0">I10-G10</f>
        <v>22858685</v>
      </c>
      <c r="F10" s="79"/>
      <c r="G10" s="79">
        <v>240131435</v>
      </c>
      <c r="H10" s="79"/>
      <c r="I10" s="79">
        <v>262990120</v>
      </c>
      <c r="J10" s="79"/>
      <c r="K10" s="79">
        <f t="shared" ref="K10:K11" si="1">O10-M10</f>
        <v>16649126</v>
      </c>
      <c r="L10" s="79"/>
      <c r="M10" s="79">
        <v>45393072</v>
      </c>
      <c r="N10" s="79"/>
      <c r="O10" s="79">
        <v>62042198</v>
      </c>
      <c r="P10" s="79"/>
      <c r="Q10" s="79">
        <v>193968073</v>
      </c>
      <c r="R10" s="79"/>
      <c r="S10" s="79">
        <v>6662384</v>
      </c>
      <c r="T10" s="79"/>
      <c r="U10" s="79">
        <v>317465</v>
      </c>
      <c r="V10" s="79"/>
      <c r="W10" s="79">
        <f t="shared" ref="W10:W22" si="2">SUM(Q10:U10)</f>
        <v>200947922</v>
      </c>
      <c r="X10" s="53"/>
      <c r="Y10" s="35" t="s">
        <v>12</v>
      </c>
      <c r="Z10" s="55"/>
      <c r="AA10" s="35" t="s">
        <v>13</v>
      </c>
      <c r="AB10" s="35"/>
      <c r="AC10" s="79">
        <v>49673641</v>
      </c>
      <c r="AD10" s="79"/>
      <c r="AE10" s="79">
        <f>44554515-8385575</f>
        <v>36168940</v>
      </c>
      <c r="AF10" s="79"/>
      <c r="AG10" s="79">
        <v>8385575</v>
      </c>
      <c r="AH10" s="79"/>
      <c r="AI10" s="94">
        <f t="shared" ref="AI10:AI11" si="3">+AC10-AE10-AG10</f>
        <v>5119126</v>
      </c>
      <c r="AJ10" s="94"/>
      <c r="AK10" s="94">
        <v>-2361724</v>
      </c>
      <c r="AL10" s="94"/>
      <c r="AM10" s="79">
        <v>0</v>
      </c>
      <c r="AN10" s="79"/>
      <c r="AO10" s="79">
        <v>0</v>
      </c>
      <c r="AP10" s="79"/>
      <c r="AQ10" s="79">
        <v>2668413</v>
      </c>
      <c r="AR10" s="79"/>
      <c r="AS10" s="94">
        <f t="shared" ref="AS10:AS74" si="4">+AI10+AK10+AM10-AO10+AQ10</f>
        <v>5425815</v>
      </c>
      <c r="AT10" s="94"/>
      <c r="AU10" s="79">
        <v>0</v>
      </c>
      <c r="AV10" s="79"/>
      <c r="AW10" s="79">
        <v>0</v>
      </c>
      <c r="AX10" s="79"/>
      <c r="AY10" s="79">
        <f t="shared" ref="AY10:AY72" si="5">+E10-K10</f>
        <v>6209559</v>
      </c>
      <c r="AZ10" s="53"/>
      <c r="BA10" s="35" t="s">
        <v>12</v>
      </c>
      <c r="BB10" s="55"/>
      <c r="BC10" s="35" t="s">
        <v>13</v>
      </c>
      <c r="BD10" s="53"/>
      <c r="BE10" s="79">
        <v>0</v>
      </c>
      <c r="BF10" s="79"/>
      <c r="BG10" s="79">
        <v>3955000</v>
      </c>
      <c r="BH10" s="79"/>
      <c r="BI10" s="79">
        <f>4680874+105556</f>
        <v>4786430</v>
      </c>
      <c r="BJ10" s="79"/>
      <c r="BK10" s="79">
        <f>45393072+518450</f>
        <v>45911522</v>
      </c>
      <c r="BL10" s="79"/>
      <c r="BM10" s="79">
        <f t="shared" ref="BM10:BM17" si="6">SUM(BE10:BK10)</f>
        <v>54652952</v>
      </c>
      <c r="BN10" s="91" t="s">
        <v>347</v>
      </c>
      <c r="BR10" s="66"/>
      <c r="BS10" s="79"/>
      <c r="BT10" s="79"/>
      <c r="BU10" s="79"/>
      <c r="BV10" s="79"/>
      <c r="BW10" s="79"/>
      <c r="BX10" s="94"/>
      <c r="BY10" s="94"/>
      <c r="BZ10" s="79"/>
      <c r="CA10" s="79"/>
      <c r="CB10" s="79"/>
      <c r="CC10" s="79"/>
      <c r="CD10" s="79"/>
      <c r="CE10" s="79"/>
      <c r="CF10" s="64"/>
      <c r="CH10" s="64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91"/>
    </row>
    <row r="11" spans="1:97" s="90" customFormat="1" ht="12.75" customHeight="1" x14ac:dyDescent="0.2">
      <c r="A11" s="35" t="s">
        <v>14</v>
      </c>
      <c r="B11" s="51"/>
      <c r="C11" s="35" t="s">
        <v>15</v>
      </c>
      <c r="D11" s="44"/>
      <c r="E11" s="79">
        <f t="shared" si="0"/>
        <v>6195100</v>
      </c>
      <c r="F11" s="79"/>
      <c r="G11" s="79">
        <v>8782395</v>
      </c>
      <c r="H11" s="79"/>
      <c r="I11" s="79">
        <v>14977495</v>
      </c>
      <c r="J11" s="79"/>
      <c r="K11" s="79">
        <f t="shared" si="1"/>
        <v>469724</v>
      </c>
      <c r="L11" s="79"/>
      <c r="M11" s="79">
        <v>2042216</v>
      </c>
      <c r="N11" s="79"/>
      <c r="O11" s="79">
        <v>2511940</v>
      </c>
      <c r="P11" s="79"/>
      <c r="Q11" s="79">
        <v>6966186</v>
      </c>
      <c r="R11" s="79"/>
      <c r="S11" s="79">
        <v>0</v>
      </c>
      <c r="T11" s="79"/>
      <c r="U11" s="79">
        <v>5499369</v>
      </c>
      <c r="V11" s="79"/>
      <c r="W11" s="79">
        <f t="shared" si="2"/>
        <v>12465555</v>
      </c>
      <c r="X11" s="53"/>
      <c r="Y11" s="35" t="s">
        <v>14</v>
      </c>
      <c r="Z11" s="55"/>
      <c r="AA11" s="35" t="s">
        <v>15</v>
      </c>
      <c r="AB11" s="35"/>
      <c r="AC11" s="79">
        <v>3980135</v>
      </c>
      <c r="AD11" s="79"/>
      <c r="AE11" s="79">
        <f>3583255-473702</f>
        <v>3109553</v>
      </c>
      <c r="AF11" s="79"/>
      <c r="AG11" s="79">
        <v>473702</v>
      </c>
      <c r="AH11" s="79"/>
      <c r="AI11" s="94">
        <f t="shared" si="3"/>
        <v>396880</v>
      </c>
      <c r="AJ11" s="94"/>
      <c r="AK11" s="94">
        <v>-115871</v>
      </c>
      <c r="AL11" s="94"/>
      <c r="AM11" s="79">
        <v>0</v>
      </c>
      <c r="AN11" s="79"/>
      <c r="AO11" s="79">
        <v>0</v>
      </c>
      <c r="AP11" s="79"/>
      <c r="AQ11" s="79">
        <v>0</v>
      </c>
      <c r="AR11" s="79"/>
      <c r="AS11" s="94">
        <f>+AI11+AK11+AM11-AO11+AQ11</f>
        <v>281009</v>
      </c>
      <c r="AT11" s="94"/>
      <c r="AU11" s="79">
        <v>0</v>
      </c>
      <c r="AV11" s="79"/>
      <c r="AW11" s="79">
        <v>0</v>
      </c>
      <c r="AX11" s="79"/>
      <c r="AY11" s="79">
        <f t="shared" si="5"/>
        <v>5725376</v>
      </c>
      <c r="AZ11" s="53"/>
      <c r="BA11" s="35" t="s">
        <v>14</v>
      </c>
      <c r="BB11" s="55"/>
      <c r="BC11" s="35" t="s">
        <v>15</v>
      </c>
      <c r="BD11" s="53"/>
      <c r="BE11" s="79">
        <f>1102000+40000</f>
        <v>1142000</v>
      </c>
      <c r="BF11" s="79"/>
      <c r="BG11" s="79">
        <v>0</v>
      </c>
      <c r="BH11" s="79"/>
      <c r="BI11" s="79">
        <f>42985+631224</f>
        <v>674209</v>
      </c>
      <c r="BJ11" s="79"/>
      <c r="BK11" s="79">
        <f>206839+308992</f>
        <v>515831</v>
      </c>
      <c r="BL11" s="79"/>
      <c r="BM11" s="79">
        <f t="shared" si="6"/>
        <v>2332040</v>
      </c>
      <c r="BN11" s="91" t="s">
        <v>347</v>
      </c>
      <c r="BR11" s="66"/>
      <c r="BS11" s="79"/>
      <c r="BT11" s="79"/>
      <c r="BU11" s="79"/>
      <c r="BV11" s="79"/>
      <c r="BW11" s="79"/>
      <c r="BX11" s="94"/>
      <c r="BY11" s="94"/>
      <c r="BZ11" s="79"/>
      <c r="CA11" s="79"/>
      <c r="CB11" s="79"/>
      <c r="CC11" s="79"/>
      <c r="CD11" s="79"/>
      <c r="CE11" s="79"/>
      <c r="CF11" s="64"/>
      <c r="CH11" s="64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91"/>
    </row>
    <row r="12" spans="1:97" s="55" customFormat="1" ht="12.75" customHeight="1" x14ac:dyDescent="0.2">
      <c r="A12" s="35" t="s">
        <v>16</v>
      </c>
      <c r="B12" s="65"/>
      <c r="C12" s="35" t="s">
        <v>17</v>
      </c>
      <c r="D12" s="44"/>
      <c r="E12" s="53">
        <f t="shared" ref="E12:E76" si="7">I12-G12</f>
        <v>3918032</v>
      </c>
      <c r="F12" s="53"/>
      <c r="G12" s="53">
        <v>14371859</v>
      </c>
      <c r="H12" s="53"/>
      <c r="I12" s="53">
        <v>18289891</v>
      </c>
      <c r="J12" s="53"/>
      <c r="K12" s="53">
        <f t="shared" ref="K12:K76" si="8">O12-M12</f>
        <v>688296</v>
      </c>
      <c r="L12" s="53"/>
      <c r="M12" s="53">
        <v>6176742</v>
      </c>
      <c r="N12" s="53"/>
      <c r="O12" s="53">
        <v>6865038</v>
      </c>
      <c r="P12" s="53"/>
      <c r="Q12" s="53">
        <v>7631754</v>
      </c>
      <c r="R12" s="53"/>
      <c r="S12" s="53">
        <v>0</v>
      </c>
      <c r="T12" s="53"/>
      <c r="U12" s="53">
        <v>3793099</v>
      </c>
      <c r="V12" s="53"/>
      <c r="W12" s="53">
        <f t="shared" si="2"/>
        <v>11424853</v>
      </c>
      <c r="X12" s="53"/>
      <c r="Y12" s="35" t="s">
        <v>16</v>
      </c>
      <c r="AA12" s="35" t="s">
        <v>17</v>
      </c>
      <c r="AB12" s="35"/>
      <c r="AC12" s="53">
        <v>2447400</v>
      </c>
      <c r="AD12" s="53"/>
      <c r="AE12" s="53">
        <f>1945078-553048</f>
        <v>1392030</v>
      </c>
      <c r="AF12" s="53"/>
      <c r="AG12" s="53">
        <v>553048</v>
      </c>
      <c r="AH12" s="53"/>
      <c r="AI12" s="45">
        <f t="shared" ref="AI12:AI76" si="9">+AC12-AE12-AG12</f>
        <v>502322</v>
      </c>
      <c r="AJ12" s="45"/>
      <c r="AK12" s="53">
        <v>-266665</v>
      </c>
      <c r="AL12" s="45"/>
      <c r="AM12" s="53">
        <v>0</v>
      </c>
      <c r="AN12" s="53"/>
      <c r="AO12" s="53">
        <v>0</v>
      </c>
      <c r="AP12" s="53"/>
      <c r="AQ12" s="53">
        <v>0</v>
      </c>
      <c r="AR12" s="53"/>
      <c r="AS12" s="45">
        <f t="shared" si="4"/>
        <v>235657</v>
      </c>
      <c r="AT12" s="45"/>
      <c r="AU12" s="53">
        <v>0</v>
      </c>
      <c r="AV12" s="53"/>
      <c r="AW12" s="53">
        <v>0</v>
      </c>
      <c r="AX12" s="53"/>
      <c r="AY12" s="53">
        <f t="shared" si="5"/>
        <v>3229736</v>
      </c>
      <c r="AZ12" s="53"/>
      <c r="BA12" s="35" t="s">
        <v>16</v>
      </c>
      <c r="BC12" s="35" t="s">
        <v>17</v>
      </c>
      <c r="BD12" s="53"/>
      <c r="BE12" s="53">
        <f>205726+330000</f>
        <v>535726</v>
      </c>
      <c r="BF12" s="53"/>
      <c r="BG12" s="53">
        <v>0</v>
      </c>
      <c r="BH12" s="53"/>
      <c r="BI12" s="53">
        <f>8648+376345+5757790+61596</f>
        <v>6204379</v>
      </c>
      <c r="BJ12" s="53"/>
      <c r="BK12" s="53">
        <f>848+27356</f>
        <v>28204</v>
      </c>
      <c r="BL12" s="53"/>
      <c r="BM12" s="53">
        <f t="shared" si="6"/>
        <v>6768309</v>
      </c>
      <c r="BN12" s="54" t="s">
        <v>347</v>
      </c>
      <c r="BR12" s="65"/>
      <c r="BS12" s="53"/>
      <c r="BT12" s="53"/>
      <c r="BU12" s="53"/>
      <c r="BV12" s="53"/>
      <c r="BW12" s="53"/>
      <c r="BX12" s="45"/>
      <c r="BY12" s="45"/>
      <c r="BZ12" s="53"/>
      <c r="CA12" s="53"/>
      <c r="CB12" s="53"/>
      <c r="CC12" s="53"/>
      <c r="CD12" s="53"/>
      <c r="CE12" s="53"/>
      <c r="CF12" s="35"/>
      <c r="CH12" s="35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4"/>
    </row>
    <row r="13" spans="1:97" s="55" customFormat="1" ht="12.75" customHeight="1" x14ac:dyDescent="0.2">
      <c r="A13" s="35" t="s">
        <v>18</v>
      </c>
      <c r="B13" s="65"/>
      <c r="C13" s="35" t="s">
        <v>18</v>
      </c>
      <c r="D13" s="44"/>
      <c r="E13" s="53">
        <f t="shared" si="7"/>
        <v>2275776</v>
      </c>
      <c r="F13" s="53"/>
      <c r="G13" s="53">
        <v>19563745</v>
      </c>
      <c r="H13" s="53"/>
      <c r="I13" s="53">
        <v>21839521</v>
      </c>
      <c r="J13" s="53"/>
      <c r="K13" s="53">
        <f t="shared" si="8"/>
        <v>537731</v>
      </c>
      <c r="L13" s="53"/>
      <c r="M13" s="53">
        <v>7818430</v>
      </c>
      <c r="N13" s="53"/>
      <c r="O13" s="53">
        <v>8356161</v>
      </c>
      <c r="P13" s="53"/>
      <c r="Q13" s="53">
        <v>11415579</v>
      </c>
      <c r="R13" s="53"/>
      <c r="S13" s="53">
        <v>0</v>
      </c>
      <c r="T13" s="53"/>
      <c r="U13" s="53">
        <v>2067781</v>
      </c>
      <c r="V13" s="53"/>
      <c r="W13" s="53">
        <f t="shared" si="2"/>
        <v>13483360</v>
      </c>
      <c r="X13" s="53"/>
      <c r="Y13" s="35" t="s">
        <v>18</v>
      </c>
      <c r="AA13" s="35" t="s">
        <v>18</v>
      </c>
      <c r="AB13" s="35"/>
      <c r="AC13" s="53">
        <v>3578750</v>
      </c>
      <c r="AD13" s="53"/>
      <c r="AE13" s="53">
        <f>2491154-571475</f>
        <v>1919679</v>
      </c>
      <c r="AF13" s="53"/>
      <c r="AG13" s="53">
        <v>571475</v>
      </c>
      <c r="AH13" s="53"/>
      <c r="AI13" s="45">
        <f t="shared" si="9"/>
        <v>1087596</v>
      </c>
      <c r="AJ13" s="45"/>
      <c r="AK13" s="53">
        <v>-282455</v>
      </c>
      <c r="AL13" s="45"/>
      <c r="AM13" s="53">
        <v>61271</v>
      </c>
      <c r="AN13" s="53"/>
      <c r="AO13" s="53">
        <v>0</v>
      </c>
      <c r="AP13" s="53"/>
      <c r="AQ13" s="53">
        <v>0</v>
      </c>
      <c r="AR13" s="53"/>
      <c r="AS13" s="45">
        <f t="shared" si="4"/>
        <v>866412</v>
      </c>
      <c r="AT13" s="45"/>
      <c r="AU13" s="53">
        <v>0</v>
      </c>
      <c r="AV13" s="53"/>
      <c r="AW13" s="53">
        <v>0</v>
      </c>
      <c r="AX13" s="53"/>
      <c r="AY13" s="53">
        <f t="shared" si="5"/>
        <v>1738045</v>
      </c>
      <c r="AZ13" s="53"/>
      <c r="BA13" s="35" t="s">
        <v>18</v>
      </c>
      <c r="BC13" s="35" t="s">
        <v>18</v>
      </c>
      <c r="BD13" s="53"/>
      <c r="BE13" s="53">
        <f>396000+7752164</f>
        <v>8148164</v>
      </c>
      <c r="BF13" s="53"/>
      <c r="BG13" s="53">
        <v>0</v>
      </c>
      <c r="BH13" s="53"/>
      <c r="BI13" s="53">
        <v>0</v>
      </c>
      <c r="BJ13" s="53"/>
      <c r="BK13" s="53">
        <f>536+66266</f>
        <v>66802</v>
      </c>
      <c r="BL13" s="53"/>
      <c r="BM13" s="53">
        <f t="shared" si="6"/>
        <v>8214966</v>
      </c>
      <c r="BN13" s="54" t="s">
        <v>347</v>
      </c>
      <c r="BR13" s="65"/>
      <c r="BS13" s="53"/>
      <c r="BT13" s="53"/>
      <c r="BU13" s="53"/>
      <c r="BV13" s="53"/>
      <c r="BW13" s="53"/>
      <c r="BX13" s="45"/>
      <c r="BY13" s="45"/>
      <c r="BZ13" s="53"/>
      <c r="CA13" s="53"/>
      <c r="CB13" s="53"/>
      <c r="CC13" s="53"/>
      <c r="CD13" s="53"/>
      <c r="CE13" s="53"/>
      <c r="CF13" s="35"/>
      <c r="CH13" s="35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4"/>
    </row>
    <row r="14" spans="1:97" s="140" customFormat="1" ht="12.75" hidden="1" customHeight="1" x14ac:dyDescent="0.2">
      <c r="A14" s="126" t="s">
        <v>19</v>
      </c>
      <c r="B14" s="125"/>
      <c r="C14" s="126" t="s">
        <v>19</v>
      </c>
      <c r="D14" s="121"/>
      <c r="E14" s="137">
        <f t="shared" si="7"/>
        <v>2028498</v>
      </c>
      <c r="F14" s="137"/>
      <c r="G14" s="137">
        <v>13397819</v>
      </c>
      <c r="H14" s="137"/>
      <c r="I14" s="137">
        <v>15426317</v>
      </c>
      <c r="J14" s="137"/>
      <c r="K14" s="137">
        <f t="shared" si="8"/>
        <v>1135663</v>
      </c>
      <c r="L14" s="137"/>
      <c r="M14" s="137">
        <v>3052819</v>
      </c>
      <c r="N14" s="137"/>
      <c r="O14" s="137">
        <v>4188482</v>
      </c>
      <c r="P14" s="137"/>
      <c r="Q14" s="137">
        <v>10210416</v>
      </c>
      <c r="R14" s="137"/>
      <c r="S14" s="137">
        <v>0</v>
      </c>
      <c r="T14" s="137"/>
      <c r="U14" s="137">
        <v>1610757</v>
      </c>
      <c r="V14" s="137"/>
      <c r="W14" s="137">
        <f t="shared" si="2"/>
        <v>11821173</v>
      </c>
      <c r="X14" s="137"/>
      <c r="Y14" s="126" t="s">
        <v>19</v>
      </c>
      <c r="AA14" s="126" t="s">
        <v>19</v>
      </c>
      <c r="AB14" s="126"/>
      <c r="AC14" s="137">
        <v>3562614</v>
      </c>
      <c r="AD14" s="137"/>
      <c r="AE14" s="137">
        <f>3562614-523432</f>
        <v>3039182</v>
      </c>
      <c r="AF14" s="137"/>
      <c r="AG14" s="137">
        <v>523432</v>
      </c>
      <c r="AH14" s="137"/>
      <c r="AI14" s="127">
        <f t="shared" si="9"/>
        <v>0</v>
      </c>
      <c r="AJ14" s="127"/>
      <c r="AK14" s="137">
        <v>-102231</v>
      </c>
      <c r="AL14" s="127"/>
      <c r="AM14" s="137">
        <v>0</v>
      </c>
      <c r="AN14" s="137"/>
      <c r="AO14" s="137">
        <v>0</v>
      </c>
      <c r="AP14" s="137"/>
      <c r="AQ14" s="137">
        <v>0</v>
      </c>
      <c r="AR14" s="137"/>
      <c r="AS14" s="127">
        <f t="shared" si="4"/>
        <v>-102231</v>
      </c>
      <c r="AT14" s="127"/>
      <c r="AU14" s="137">
        <v>0</v>
      </c>
      <c r="AV14" s="137"/>
      <c r="AW14" s="137">
        <v>0</v>
      </c>
      <c r="AX14" s="137"/>
      <c r="AY14" s="137">
        <f t="shared" si="5"/>
        <v>892835</v>
      </c>
      <c r="AZ14" s="137"/>
      <c r="BA14" s="126" t="s">
        <v>19</v>
      </c>
      <c r="BC14" s="126" t="s">
        <v>19</v>
      </c>
      <c r="BD14" s="137"/>
      <c r="BE14" s="137">
        <v>0</v>
      </c>
      <c r="BF14" s="137"/>
      <c r="BG14" s="137">
        <v>0</v>
      </c>
      <c r="BH14" s="137"/>
      <c r="BI14" s="137">
        <f>482926+2840768</f>
        <v>3323694</v>
      </c>
      <c r="BJ14" s="137"/>
      <c r="BK14" s="137">
        <f>100412+212051</f>
        <v>312463</v>
      </c>
      <c r="BL14" s="137"/>
      <c r="BM14" s="137">
        <f t="shared" si="6"/>
        <v>3636157</v>
      </c>
      <c r="BN14" s="139" t="s">
        <v>347</v>
      </c>
      <c r="BR14" s="125"/>
      <c r="BS14" s="121" t="s">
        <v>502</v>
      </c>
      <c r="BT14" s="137"/>
      <c r="BU14" s="137"/>
      <c r="BV14" s="137"/>
      <c r="BW14" s="137"/>
      <c r="BX14" s="127"/>
      <c r="BY14" s="127"/>
      <c r="BZ14" s="137"/>
      <c r="CA14" s="137"/>
      <c r="CB14" s="137"/>
      <c r="CC14" s="137"/>
      <c r="CD14" s="137"/>
      <c r="CE14" s="137"/>
      <c r="CF14" s="126"/>
      <c r="CH14" s="126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9"/>
    </row>
    <row r="15" spans="1:97" s="55" customFormat="1" ht="12.75" customHeight="1" x14ac:dyDescent="0.2">
      <c r="A15" s="35" t="s">
        <v>20</v>
      </c>
      <c r="B15" s="65"/>
      <c r="C15" s="35" t="s">
        <v>20</v>
      </c>
      <c r="D15" s="44"/>
      <c r="E15" s="53">
        <f t="shared" si="7"/>
        <v>2680692</v>
      </c>
      <c r="F15" s="53"/>
      <c r="G15" s="53">
        <f>817247+9251621</f>
        <v>10068868</v>
      </c>
      <c r="H15" s="53"/>
      <c r="I15" s="53">
        <v>12749560</v>
      </c>
      <c r="J15" s="53"/>
      <c r="K15" s="53">
        <f t="shared" si="8"/>
        <v>2039533</v>
      </c>
      <c r="L15" s="53"/>
      <c r="M15" s="53">
        <f>44006+2016270</f>
        <v>2060276</v>
      </c>
      <c r="N15" s="53"/>
      <c r="O15" s="53">
        <v>4099809</v>
      </c>
      <c r="P15" s="53"/>
      <c r="Q15" s="53">
        <v>6429972</v>
      </c>
      <c r="R15" s="53"/>
      <c r="S15" s="53">
        <v>0</v>
      </c>
      <c r="T15" s="53"/>
      <c r="U15" s="53">
        <v>2219779</v>
      </c>
      <c r="V15" s="53"/>
      <c r="W15" s="53">
        <f t="shared" si="2"/>
        <v>8649751</v>
      </c>
      <c r="X15" s="53"/>
      <c r="Y15" s="35" t="s">
        <v>20</v>
      </c>
      <c r="AA15" s="35" t="s">
        <v>20</v>
      </c>
      <c r="AB15" s="35"/>
      <c r="AC15" s="53">
        <v>3221116</v>
      </c>
      <c r="AD15" s="53"/>
      <c r="AE15" s="53">
        <f>2539050-408260</f>
        <v>2130790</v>
      </c>
      <c r="AF15" s="53"/>
      <c r="AG15" s="53">
        <v>408260</v>
      </c>
      <c r="AH15" s="53"/>
      <c r="AI15" s="45">
        <f t="shared" si="9"/>
        <v>682066</v>
      </c>
      <c r="AJ15" s="45"/>
      <c r="AK15" s="53">
        <v>-55787</v>
      </c>
      <c r="AL15" s="45"/>
      <c r="AM15" s="53">
        <v>0</v>
      </c>
      <c r="AN15" s="53"/>
      <c r="AO15" s="53">
        <v>0</v>
      </c>
      <c r="AP15" s="53"/>
      <c r="AQ15" s="53">
        <v>0</v>
      </c>
      <c r="AR15" s="53"/>
      <c r="AS15" s="45">
        <f t="shared" si="4"/>
        <v>626279</v>
      </c>
      <c r="AT15" s="45"/>
      <c r="AU15" s="53">
        <v>0</v>
      </c>
      <c r="AV15" s="53"/>
      <c r="AW15" s="53">
        <v>0</v>
      </c>
      <c r="AX15" s="53"/>
      <c r="AY15" s="53">
        <f t="shared" si="5"/>
        <v>641159</v>
      </c>
      <c r="AZ15" s="53"/>
      <c r="BA15" s="35" t="s">
        <v>20</v>
      </c>
      <c r="BC15" s="35" t="s">
        <v>20</v>
      </c>
      <c r="BD15" s="53"/>
      <c r="BE15" s="53">
        <v>0</v>
      </c>
      <c r="BF15" s="53"/>
      <c r="BG15" s="53">
        <v>0</v>
      </c>
      <c r="BH15" s="53"/>
      <c r="BI15" s="53">
        <f>2016270+272626</f>
        <v>2288896</v>
      </c>
      <c r="BJ15" s="53"/>
      <c r="BK15" s="53">
        <f>44006+94719+1350000</f>
        <v>1488725</v>
      </c>
      <c r="BL15" s="53"/>
      <c r="BM15" s="53">
        <f t="shared" si="6"/>
        <v>3777621</v>
      </c>
      <c r="BN15" s="54" t="s">
        <v>347</v>
      </c>
      <c r="BO15" s="55" t="s">
        <v>403</v>
      </c>
      <c r="BR15" s="65"/>
      <c r="BS15" s="53"/>
      <c r="BT15" s="53"/>
      <c r="BU15" s="53"/>
      <c r="BV15" s="53"/>
      <c r="BW15" s="53"/>
      <c r="BX15" s="45"/>
      <c r="BY15" s="45"/>
      <c r="BZ15" s="53"/>
      <c r="CA15" s="53"/>
      <c r="CB15" s="53"/>
      <c r="CC15" s="53"/>
      <c r="CD15" s="53"/>
      <c r="CE15" s="53"/>
      <c r="CF15" s="35"/>
      <c r="CH15" s="35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4"/>
    </row>
    <row r="16" spans="1:97" s="55" customFormat="1" ht="12.75" customHeight="1" x14ac:dyDescent="0.2">
      <c r="A16" s="35" t="s">
        <v>21</v>
      </c>
      <c r="B16" s="65"/>
      <c r="C16" s="35" t="s">
        <v>22</v>
      </c>
      <c r="D16" s="44"/>
      <c r="E16" s="53">
        <f t="shared" si="7"/>
        <v>2382681</v>
      </c>
      <c r="F16" s="53"/>
      <c r="G16" s="53">
        <v>28737987</v>
      </c>
      <c r="H16" s="53"/>
      <c r="I16" s="53">
        <v>31120668</v>
      </c>
      <c r="J16" s="53"/>
      <c r="K16" s="53">
        <f t="shared" si="8"/>
        <v>786910</v>
      </c>
      <c r="L16" s="53"/>
      <c r="M16" s="53">
        <v>4796180</v>
      </c>
      <c r="N16" s="53"/>
      <c r="O16" s="53">
        <v>5583090</v>
      </c>
      <c r="P16" s="53"/>
      <c r="Q16" s="53">
        <v>23241969</v>
      </c>
      <c r="R16" s="53"/>
      <c r="S16" s="53">
        <v>0</v>
      </c>
      <c r="T16" s="53"/>
      <c r="U16" s="53">
        <v>2295609</v>
      </c>
      <c r="V16" s="53"/>
      <c r="W16" s="53">
        <f t="shared" si="2"/>
        <v>25537578</v>
      </c>
      <c r="X16" s="53"/>
      <c r="Y16" s="35" t="s">
        <v>21</v>
      </c>
      <c r="AA16" s="35" t="s">
        <v>22</v>
      </c>
      <c r="AB16" s="35"/>
      <c r="AC16" s="53">
        <v>2469981</v>
      </c>
      <c r="AD16" s="53"/>
      <c r="AE16" s="53">
        <f>2139704-846228</f>
        <v>1293476</v>
      </c>
      <c r="AF16" s="53"/>
      <c r="AG16" s="53">
        <v>846228</v>
      </c>
      <c r="AH16" s="53"/>
      <c r="AI16" s="45">
        <f t="shared" si="9"/>
        <v>330277</v>
      </c>
      <c r="AJ16" s="45"/>
      <c r="AK16" s="53">
        <v>-230809</v>
      </c>
      <c r="AL16" s="45"/>
      <c r="AM16" s="53">
        <v>164047</v>
      </c>
      <c r="AN16" s="53"/>
      <c r="AO16" s="53">
        <v>4258</v>
      </c>
      <c r="AP16" s="53"/>
      <c r="AQ16" s="53">
        <v>233920</v>
      </c>
      <c r="AR16" s="53"/>
      <c r="AS16" s="45">
        <f t="shared" si="4"/>
        <v>493177</v>
      </c>
      <c r="AT16" s="45"/>
      <c r="AU16" s="53">
        <v>0</v>
      </c>
      <c r="AV16" s="53"/>
      <c r="AW16" s="53">
        <v>0</v>
      </c>
      <c r="AX16" s="53"/>
      <c r="AY16" s="53">
        <f t="shared" si="5"/>
        <v>1595771</v>
      </c>
      <c r="AZ16" s="53"/>
      <c r="BA16" s="35" t="s">
        <v>21</v>
      </c>
      <c r="BC16" s="35" t="s">
        <v>22</v>
      </c>
      <c r="BD16" s="53"/>
      <c r="BE16" s="53">
        <f>52667+576638</f>
        <v>629305</v>
      </c>
      <c r="BF16" s="53"/>
      <c r="BG16" s="53">
        <v>0</v>
      </c>
      <c r="BH16" s="53"/>
      <c r="BI16" s="53">
        <f>40000+607171+137500+4082042</f>
        <v>4866713</v>
      </c>
      <c r="BJ16" s="53"/>
      <c r="BK16" s="53">
        <v>834</v>
      </c>
      <c r="BL16" s="53"/>
      <c r="BM16" s="53">
        <f t="shared" si="6"/>
        <v>5496852</v>
      </c>
      <c r="BN16" s="54" t="s">
        <v>347</v>
      </c>
      <c r="BR16" s="65"/>
      <c r="BS16" s="53"/>
      <c r="BT16" s="53"/>
      <c r="BU16" s="53"/>
      <c r="BV16" s="53"/>
      <c r="BW16" s="53"/>
      <c r="BX16" s="45"/>
      <c r="BY16" s="45"/>
      <c r="BZ16" s="53"/>
      <c r="CA16" s="53"/>
      <c r="CB16" s="53"/>
      <c r="CC16" s="53"/>
      <c r="CD16" s="53"/>
      <c r="CE16" s="53"/>
      <c r="CF16" s="35"/>
      <c r="CH16" s="35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</row>
    <row r="17" spans="1:97" s="55" customFormat="1" ht="12.75" customHeight="1" x14ac:dyDescent="0.2">
      <c r="A17" s="35" t="s">
        <v>23</v>
      </c>
      <c r="B17" s="65"/>
      <c r="C17" s="35" t="s">
        <v>17</v>
      </c>
      <c r="D17" s="44"/>
      <c r="E17" s="53">
        <f t="shared" si="7"/>
        <v>1651269</v>
      </c>
      <c r="F17" s="53"/>
      <c r="G17" s="53">
        <v>18278098</v>
      </c>
      <c r="H17" s="53"/>
      <c r="I17" s="53">
        <v>19929367</v>
      </c>
      <c r="J17" s="53"/>
      <c r="K17" s="53">
        <f t="shared" si="8"/>
        <v>2878576</v>
      </c>
      <c r="L17" s="53"/>
      <c r="M17" s="53">
        <v>367133</v>
      </c>
      <c r="N17" s="53"/>
      <c r="O17" s="53">
        <v>3245709</v>
      </c>
      <c r="P17" s="53"/>
      <c r="Q17" s="53">
        <v>17789168</v>
      </c>
      <c r="R17" s="53"/>
      <c r="S17" s="53">
        <v>0</v>
      </c>
      <c r="T17" s="53"/>
      <c r="U17" s="53">
        <v>-1105510</v>
      </c>
      <c r="V17" s="53"/>
      <c r="W17" s="53">
        <f t="shared" si="2"/>
        <v>16683658</v>
      </c>
      <c r="X17" s="53"/>
      <c r="Y17" s="35" t="s">
        <v>23</v>
      </c>
      <c r="AA17" s="35" t="s">
        <v>17</v>
      </c>
      <c r="AB17" s="35"/>
      <c r="AC17" s="53">
        <v>1645392</v>
      </c>
      <c r="AD17" s="53"/>
      <c r="AE17" s="53">
        <f>1622528-593863</f>
        <v>1028665</v>
      </c>
      <c r="AF17" s="53"/>
      <c r="AG17" s="53">
        <v>593863</v>
      </c>
      <c r="AH17" s="53"/>
      <c r="AI17" s="45">
        <f t="shared" si="9"/>
        <v>22864</v>
      </c>
      <c r="AJ17" s="45"/>
      <c r="AK17" s="53">
        <v>-38336</v>
      </c>
      <c r="AL17" s="45"/>
      <c r="AM17" s="53">
        <v>18229</v>
      </c>
      <c r="AN17" s="53"/>
      <c r="AO17" s="53">
        <v>0</v>
      </c>
      <c r="AP17" s="53"/>
      <c r="AQ17" s="53">
        <v>63408</v>
      </c>
      <c r="AR17" s="53"/>
      <c r="AS17" s="45">
        <f t="shared" si="4"/>
        <v>66165</v>
      </c>
      <c r="AT17" s="45"/>
      <c r="AU17" s="53">
        <v>0</v>
      </c>
      <c r="AV17" s="53"/>
      <c r="AW17" s="53">
        <v>0</v>
      </c>
      <c r="AX17" s="53"/>
      <c r="AY17" s="53">
        <f t="shared" si="5"/>
        <v>-1227307</v>
      </c>
      <c r="AZ17" s="53"/>
      <c r="BA17" s="35" t="s">
        <v>23</v>
      </c>
      <c r="BC17" s="35" t="s">
        <v>17</v>
      </c>
      <c r="BD17" s="53"/>
      <c r="BE17" s="53">
        <f>267089+48760</f>
        <v>315849</v>
      </c>
      <c r="BF17" s="53"/>
      <c r="BG17" s="53">
        <v>0</v>
      </c>
      <c r="BH17" s="53"/>
      <c r="BI17" s="53">
        <f>38611+134470</f>
        <v>173081</v>
      </c>
      <c r="BJ17" s="53"/>
      <c r="BK17" s="53">
        <f>9182+61433+2250000</f>
        <v>2320615</v>
      </c>
      <c r="BL17" s="53"/>
      <c r="BM17" s="53">
        <f t="shared" si="6"/>
        <v>2809545</v>
      </c>
      <c r="BN17" s="54" t="s">
        <v>347</v>
      </c>
      <c r="BR17" s="65"/>
      <c r="BS17" s="53"/>
      <c r="BT17" s="53"/>
      <c r="BU17" s="53"/>
      <c r="BV17" s="53"/>
      <c r="BW17" s="53"/>
      <c r="BX17" s="45"/>
      <c r="BY17" s="45"/>
      <c r="BZ17" s="53"/>
      <c r="CA17" s="53"/>
      <c r="CB17" s="53"/>
      <c r="CC17" s="53"/>
      <c r="CD17" s="53"/>
      <c r="CE17" s="53"/>
      <c r="CF17" s="35"/>
      <c r="CH17" s="35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4"/>
    </row>
    <row r="18" spans="1:97" s="55" customFormat="1" ht="12.75" customHeight="1" x14ac:dyDescent="0.2">
      <c r="A18" s="35" t="s">
        <v>24</v>
      </c>
      <c r="B18" s="65"/>
      <c r="C18" s="35" t="s">
        <v>17</v>
      </c>
      <c r="D18" s="44"/>
      <c r="E18" s="53">
        <f t="shared" ref="E18" si="10">I18-G18</f>
        <v>3877989</v>
      </c>
      <c r="F18" s="53"/>
      <c r="G18" s="53">
        <v>49989853</v>
      </c>
      <c r="H18" s="53"/>
      <c r="I18" s="53">
        <v>53867842</v>
      </c>
      <c r="J18" s="53"/>
      <c r="K18" s="53">
        <f t="shared" ref="K18" si="11">O18-M18</f>
        <v>615469</v>
      </c>
      <c r="L18" s="53"/>
      <c r="M18" s="53">
        <v>35212256</v>
      </c>
      <c r="N18" s="53"/>
      <c r="O18" s="53">
        <v>35827725</v>
      </c>
      <c r="P18" s="53"/>
      <c r="Q18" s="53">
        <v>14580177</v>
      </c>
      <c r="R18" s="53"/>
      <c r="S18" s="53">
        <v>0</v>
      </c>
      <c r="T18" s="53"/>
      <c r="U18" s="53">
        <v>3459940</v>
      </c>
      <c r="V18" s="53"/>
      <c r="W18" s="53">
        <f t="shared" ref="W18" si="12">SUM(Q18:U18)</f>
        <v>18040117</v>
      </c>
      <c r="X18" s="53"/>
      <c r="Y18" s="35" t="s">
        <v>23</v>
      </c>
      <c r="AA18" s="35" t="s">
        <v>17</v>
      </c>
      <c r="AB18" s="35"/>
      <c r="AC18" s="53">
        <v>5223141</v>
      </c>
      <c r="AD18" s="53"/>
      <c r="AE18" s="53">
        <f>4657887-816220</f>
        <v>3841667</v>
      </c>
      <c r="AF18" s="53"/>
      <c r="AG18" s="53">
        <v>816220</v>
      </c>
      <c r="AH18" s="53"/>
      <c r="AI18" s="45">
        <f t="shared" ref="AI18" si="13">+AC18-AE18-AG18</f>
        <v>565254</v>
      </c>
      <c r="AJ18" s="45"/>
      <c r="AK18" s="53">
        <v>-162543</v>
      </c>
      <c r="AL18" s="45"/>
      <c r="AM18" s="53">
        <v>11683</v>
      </c>
      <c r="AN18" s="53"/>
      <c r="AO18" s="53">
        <v>25060</v>
      </c>
      <c r="AP18" s="53"/>
      <c r="AQ18" s="53">
        <v>2111826</v>
      </c>
      <c r="AR18" s="53"/>
      <c r="AS18" s="45">
        <f t="shared" ref="AS18" si="14">+AI18+AK18+AM18-AO18+AQ18</f>
        <v>2501160</v>
      </c>
      <c r="AT18" s="45"/>
      <c r="AU18" s="53">
        <v>0</v>
      </c>
      <c r="AV18" s="53"/>
      <c r="AW18" s="53">
        <v>0</v>
      </c>
      <c r="AX18" s="53"/>
      <c r="AY18" s="53">
        <f t="shared" ref="AY18" si="15">+E18-K18</f>
        <v>3262520</v>
      </c>
      <c r="AZ18" s="53"/>
      <c r="BA18" s="35" t="s">
        <v>23</v>
      </c>
      <c r="BC18" s="35" t="s">
        <v>17</v>
      </c>
      <c r="BD18" s="53"/>
      <c r="BE18" s="53">
        <f>145000+3799598</f>
        <v>3944598</v>
      </c>
      <c r="BF18" s="53"/>
      <c r="BG18" s="53">
        <v>0</v>
      </c>
      <c r="BH18" s="53"/>
      <c r="BI18" s="53">
        <f>209617+31245367</f>
        <v>31454984</v>
      </c>
      <c r="BJ18" s="53"/>
      <c r="BK18" s="53">
        <f>581+1774+68595+166710</f>
        <v>237660</v>
      </c>
      <c r="BL18" s="53"/>
      <c r="BM18" s="53">
        <f t="shared" ref="BM18" si="16">SUM(BE18:BK18)</f>
        <v>35637242</v>
      </c>
      <c r="BN18" s="54" t="s">
        <v>347</v>
      </c>
      <c r="BR18" s="65"/>
      <c r="BS18" s="53"/>
      <c r="BT18" s="53"/>
      <c r="BU18" s="53"/>
      <c r="BV18" s="53"/>
      <c r="BW18" s="53"/>
      <c r="BX18" s="45"/>
      <c r="BY18" s="45"/>
      <c r="BZ18" s="53"/>
      <c r="CA18" s="53"/>
      <c r="CB18" s="53"/>
      <c r="CC18" s="53"/>
      <c r="CD18" s="53"/>
      <c r="CE18" s="53"/>
      <c r="CF18" s="35"/>
      <c r="CH18" s="35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4"/>
    </row>
    <row r="19" spans="1:97" s="55" customFormat="1" ht="12.75" customHeight="1" x14ac:dyDescent="0.2">
      <c r="A19" s="35" t="s">
        <v>25</v>
      </c>
      <c r="C19" s="35" t="s">
        <v>13</v>
      </c>
      <c r="D19" s="44"/>
      <c r="E19" s="53">
        <f t="shared" si="7"/>
        <v>2813154</v>
      </c>
      <c r="F19" s="53"/>
      <c r="G19" s="53">
        <v>25082014</v>
      </c>
      <c r="H19" s="53"/>
      <c r="I19" s="53">
        <v>27895168</v>
      </c>
      <c r="J19" s="53"/>
      <c r="K19" s="53">
        <f t="shared" si="8"/>
        <v>656324</v>
      </c>
      <c r="L19" s="53"/>
      <c r="M19" s="53">
        <v>2510153</v>
      </c>
      <c r="N19" s="53"/>
      <c r="O19" s="53">
        <v>3166477</v>
      </c>
      <c r="P19" s="53"/>
      <c r="Q19" s="53">
        <v>22034619</v>
      </c>
      <c r="R19" s="53"/>
      <c r="S19" s="53">
        <v>419483</v>
      </c>
      <c r="T19" s="53"/>
      <c r="U19" s="53">
        <v>2274589</v>
      </c>
      <c r="V19" s="53"/>
      <c r="W19" s="53">
        <f t="shared" si="2"/>
        <v>24728691</v>
      </c>
      <c r="X19" s="53"/>
      <c r="Y19" s="35" t="s">
        <v>25</v>
      </c>
      <c r="AA19" s="35" t="s">
        <v>13</v>
      </c>
      <c r="AB19" s="35"/>
      <c r="AC19" s="53">
        <v>4066852</v>
      </c>
      <c r="AD19" s="53"/>
      <c r="AE19" s="53">
        <f>4620902-1113481</f>
        <v>3507421</v>
      </c>
      <c r="AF19" s="53"/>
      <c r="AG19" s="53">
        <v>1113481</v>
      </c>
      <c r="AH19" s="53"/>
      <c r="AI19" s="45">
        <f t="shared" si="9"/>
        <v>-554050</v>
      </c>
      <c r="AJ19" s="45"/>
      <c r="AK19" s="53">
        <v>-121730</v>
      </c>
      <c r="AL19" s="45"/>
      <c r="AM19" s="53">
        <v>0</v>
      </c>
      <c r="AN19" s="53"/>
      <c r="AO19" s="53">
        <v>0</v>
      </c>
      <c r="AP19" s="53"/>
      <c r="AQ19" s="53">
        <v>61102</v>
      </c>
      <c r="AR19" s="53"/>
      <c r="AS19" s="45">
        <f t="shared" si="4"/>
        <v>-614678</v>
      </c>
      <c r="AT19" s="45"/>
      <c r="AU19" s="53">
        <v>0</v>
      </c>
      <c r="AV19" s="53"/>
      <c r="AW19" s="53">
        <v>0</v>
      </c>
      <c r="AX19" s="53"/>
      <c r="AY19" s="53">
        <f t="shared" si="5"/>
        <v>2156830</v>
      </c>
      <c r="AZ19" s="53"/>
      <c r="BA19" s="35" t="s">
        <v>25</v>
      </c>
      <c r="BC19" s="35" t="s">
        <v>13</v>
      </c>
      <c r="BD19" s="53"/>
      <c r="BE19" s="53">
        <f>275166+157978</f>
        <v>433144</v>
      </c>
      <c r="BF19" s="53"/>
      <c r="BG19" s="53">
        <v>0</v>
      </c>
      <c r="BH19" s="53"/>
      <c r="BI19" s="53">
        <f>2095968+98800</f>
        <v>2194768</v>
      </c>
      <c r="BJ19" s="53"/>
      <c r="BK19" s="53">
        <f>78231+256207</f>
        <v>334438</v>
      </c>
      <c r="BL19" s="53"/>
      <c r="BM19" s="53">
        <f>SUM(BE19:BK19)</f>
        <v>2962350</v>
      </c>
      <c r="BN19" s="54" t="s">
        <v>347</v>
      </c>
      <c r="BR19" s="65"/>
      <c r="BS19" s="53"/>
      <c r="BT19" s="53"/>
      <c r="BU19" s="53"/>
      <c r="BV19" s="53"/>
      <c r="BW19" s="53"/>
      <c r="BX19" s="45"/>
      <c r="BY19" s="45"/>
      <c r="BZ19" s="53"/>
      <c r="CA19" s="53"/>
      <c r="CB19" s="53"/>
      <c r="CC19" s="53"/>
      <c r="CD19" s="53"/>
      <c r="CE19" s="53"/>
      <c r="CF19" s="35"/>
      <c r="CH19" s="35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4"/>
    </row>
    <row r="20" spans="1:97" s="55" customFormat="1" ht="12.75" customHeight="1" x14ac:dyDescent="0.2">
      <c r="A20" s="35" t="s">
        <v>26</v>
      </c>
      <c r="B20" s="65"/>
      <c r="C20" s="35" t="s">
        <v>27</v>
      </c>
      <c r="D20" s="44"/>
      <c r="E20" s="53">
        <f t="shared" si="7"/>
        <v>599786</v>
      </c>
      <c r="F20" s="53"/>
      <c r="G20" s="53">
        <v>9708686</v>
      </c>
      <c r="H20" s="53"/>
      <c r="I20" s="53">
        <v>10308472</v>
      </c>
      <c r="J20" s="53"/>
      <c r="K20" s="53">
        <f t="shared" si="8"/>
        <v>477033</v>
      </c>
      <c r="L20" s="53"/>
      <c r="M20" s="53">
        <v>381732</v>
      </c>
      <c r="N20" s="53"/>
      <c r="O20" s="53">
        <v>858765</v>
      </c>
      <c r="P20" s="53"/>
      <c r="Q20" s="53">
        <v>4667215</v>
      </c>
      <c r="R20" s="53"/>
      <c r="S20" s="53">
        <v>0</v>
      </c>
      <c r="T20" s="53"/>
      <c r="U20" s="53">
        <v>4782492</v>
      </c>
      <c r="V20" s="53"/>
      <c r="W20" s="53">
        <f t="shared" si="2"/>
        <v>9449707</v>
      </c>
      <c r="X20" s="53"/>
      <c r="Y20" s="35" t="s">
        <v>26</v>
      </c>
      <c r="AA20" s="35" t="s">
        <v>27</v>
      </c>
      <c r="AB20" s="35"/>
      <c r="AC20" s="53">
        <v>1547041</v>
      </c>
      <c r="AD20" s="53"/>
      <c r="AE20" s="53">
        <f>2307885-203511</f>
        <v>2104374</v>
      </c>
      <c r="AF20" s="53"/>
      <c r="AG20" s="53">
        <v>203511</v>
      </c>
      <c r="AH20" s="53"/>
      <c r="AI20" s="45">
        <f t="shared" si="9"/>
        <v>-760844</v>
      </c>
      <c r="AJ20" s="45"/>
      <c r="AK20" s="53">
        <v>-328634</v>
      </c>
      <c r="AL20" s="45"/>
      <c r="AM20" s="53">
        <v>891000</v>
      </c>
      <c r="AN20" s="53"/>
      <c r="AO20" s="53">
        <v>0</v>
      </c>
      <c r="AP20" s="53"/>
      <c r="AQ20" s="53">
        <v>272220</v>
      </c>
      <c r="AR20" s="53"/>
      <c r="AS20" s="45">
        <f t="shared" si="4"/>
        <v>73742</v>
      </c>
      <c r="AT20" s="45"/>
      <c r="AU20" s="53">
        <v>0</v>
      </c>
      <c r="AV20" s="53"/>
      <c r="AW20" s="53">
        <v>0</v>
      </c>
      <c r="AX20" s="53"/>
      <c r="AY20" s="53">
        <f t="shared" si="5"/>
        <v>122753</v>
      </c>
      <c r="AZ20" s="53"/>
      <c r="BA20" s="35" t="s">
        <v>26</v>
      </c>
      <c r="BC20" s="35" t="s">
        <v>27</v>
      </c>
      <c r="BD20" s="53"/>
      <c r="BE20" s="53">
        <f>50000+50000</f>
        <v>100000</v>
      </c>
      <c r="BF20" s="53"/>
      <c r="BG20" s="53">
        <v>0</v>
      </c>
      <c r="BH20" s="53"/>
      <c r="BI20" s="53">
        <f>272055+34007</f>
        <v>306062</v>
      </c>
      <c r="BJ20" s="53"/>
      <c r="BK20" s="53">
        <f>59677+48080</f>
        <v>107757</v>
      </c>
      <c r="BL20" s="53"/>
      <c r="BM20" s="53">
        <f t="shared" ref="BM20:BM22" si="17">SUM(BE20:BK20)</f>
        <v>513819</v>
      </c>
      <c r="BN20" s="54" t="s">
        <v>347</v>
      </c>
      <c r="BR20" s="65"/>
      <c r="BS20" s="53"/>
      <c r="BT20" s="53"/>
      <c r="BU20" s="53"/>
      <c r="BV20" s="53"/>
      <c r="BW20" s="53"/>
      <c r="BX20" s="45"/>
      <c r="BY20" s="45"/>
      <c r="BZ20" s="53"/>
      <c r="CA20" s="53"/>
      <c r="CB20" s="53"/>
      <c r="CC20" s="53"/>
      <c r="CD20" s="53"/>
      <c r="CE20" s="53"/>
      <c r="CF20" s="35"/>
      <c r="CH20" s="35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4"/>
    </row>
    <row r="21" spans="1:97" s="140" customFormat="1" ht="12.75" hidden="1" customHeight="1" x14ac:dyDescent="0.2">
      <c r="A21" s="126" t="s">
        <v>28</v>
      </c>
      <c r="B21" s="125"/>
      <c r="C21" s="126" t="s">
        <v>27</v>
      </c>
      <c r="D21" s="121"/>
      <c r="E21" s="53">
        <f t="shared" si="7"/>
        <v>0</v>
      </c>
      <c r="F21" s="53"/>
      <c r="G21" s="53"/>
      <c r="H21" s="53"/>
      <c r="I21" s="53"/>
      <c r="J21" s="53"/>
      <c r="K21" s="53">
        <f t="shared" si="8"/>
        <v>0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137"/>
      <c r="W21" s="137">
        <f t="shared" si="2"/>
        <v>0</v>
      </c>
      <c r="X21" s="137"/>
      <c r="Y21" s="126" t="s">
        <v>28</v>
      </c>
      <c r="AA21" s="126" t="s">
        <v>27</v>
      </c>
      <c r="AB21" s="126"/>
      <c r="AC21" s="53"/>
      <c r="AD21" s="53"/>
      <c r="AE21" s="53"/>
      <c r="AF21" s="53"/>
      <c r="AG21" s="53"/>
      <c r="AH21" s="53"/>
      <c r="AI21" s="45">
        <f t="shared" si="9"/>
        <v>0</v>
      </c>
      <c r="AJ21" s="45"/>
      <c r="AK21" s="53"/>
      <c r="AL21" s="45"/>
      <c r="AM21" s="53"/>
      <c r="AN21" s="53"/>
      <c r="AO21" s="53"/>
      <c r="AP21" s="53"/>
      <c r="AQ21" s="53"/>
      <c r="AR21" s="137"/>
      <c r="AS21" s="45">
        <f t="shared" si="4"/>
        <v>0</v>
      </c>
      <c r="AT21" s="127"/>
      <c r="AU21" s="137">
        <v>0</v>
      </c>
      <c r="AV21" s="137"/>
      <c r="AW21" s="137">
        <v>0</v>
      </c>
      <c r="AX21" s="137"/>
      <c r="AY21" s="137">
        <f t="shared" si="5"/>
        <v>0</v>
      </c>
      <c r="AZ21" s="137"/>
      <c r="BA21" s="126" t="s">
        <v>28</v>
      </c>
      <c r="BC21" s="126" t="s">
        <v>27</v>
      </c>
      <c r="BD21" s="137"/>
      <c r="BE21" s="53"/>
      <c r="BF21" s="53"/>
      <c r="BG21" s="53"/>
      <c r="BH21" s="53"/>
      <c r="BI21" s="53"/>
      <c r="BJ21" s="53"/>
      <c r="BK21" s="53"/>
      <c r="BL21" s="137"/>
      <c r="BM21" s="137">
        <f t="shared" si="17"/>
        <v>0</v>
      </c>
      <c r="BN21" s="139" t="s">
        <v>347</v>
      </c>
      <c r="BR21" s="125"/>
      <c r="BS21" s="137"/>
      <c r="BT21" s="137"/>
      <c r="BU21" s="137"/>
      <c r="BV21" s="137"/>
      <c r="BW21" s="137"/>
      <c r="BX21" s="127"/>
      <c r="BY21" s="127"/>
      <c r="BZ21" s="137"/>
      <c r="CA21" s="137"/>
      <c r="CB21" s="137"/>
      <c r="CC21" s="137"/>
      <c r="CD21" s="137"/>
      <c r="CE21" s="137"/>
      <c r="CF21" s="126"/>
      <c r="CH21" s="126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9"/>
    </row>
    <row r="22" spans="1:97" s="140" customFormat="1" ht="12.75" hidden="1" customHeight="1" x14ac:dyDescent="0.2">
      <c r="A22" s="126" t="s">
        <v>29</v>
      </c>
      <c r="B22" s="125"/>
      <c r="C22" s="126" t="s">
        <v>30</v>
      </c>
      <c r="D22" s="121"/>
      <c r="E22" s="53">
        <f t="shared" si="7"/>
        <v>0</v>
      </c>
      <c r="F22" s="53"/>
      <c r="G22" s="53"/>
      <c r="H22" s="53"/>
      <c r="I22" s="53"/>
      <c r="J22" s="53"/>
      <c r="K22" s="53">
        <f t="shared" si="8"/>
        <v>0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137"/>
      <c r="W22" s="137">
        <f t="shared" si="2"/>
        <v>0</v>
      </c>
      <c r="X22" s="137"/>
      <c r="Y22" s="126" t="s">
        <v>29</v>
      </c>
      <c r="AA22" s="126" t="s">
        <v>30</v>
      </c>
      <c r="AB22" s="126"/>
      <c r="AC22" s="53"/>
      <c r="AD22" s="53"/>
      <c r="AE22" s="53"/>
      <c r="AF22" s="53"/>
      <c r="AG22" s="53"/>
      <c r="AH22" s="53"/>
      <c r="AI22" s="45">
        <f t="shared" si="9"/>
        <v>0</v>
      </c>
      <c r="AJ22" s="45"/>
      <c r="AK22" s="53"/>
      <c r="AL22" s="45"/>
      <c r="AM22" s="53"/>
      <c r="AN22" s="53"/>
      <c r="AO22" s="53"/>
      <c r="AP22" s="53"/>
      <c r="AQ22" s="53"/>
      <c r="AR22" s="137"/>
      <c r="AS22" s="45">
        <f t="shared" si="4"/>
        <v>0</v>
      </c>
      <c r="AT22" s="127"/>
      <c r="AU22" s="137">
        <v>0</v>
      </c>
      <c r="AV22" s="137"/>
      <c r="AW22" s="137">
        <v>0</v>
      </c>
      <c r="AX22" s="137"/>
      <c r="AY22" s="137">
        <f t="shared" si="5"/>
        <v>0</v>
      </c>
      <c r="AZ22" s="137"/>
      <c r="BA22" s="126" t="s">
        <v>29</v>
      </c>
      <c r="BC22" s="126" t="s">
        <v>30</v>
      </c>
      <c r="BD22" s="137"/>
      <c r="BE22" s="53"/>
      <c r="BF22" s="53"/>
      <c r="BG22" s="53"/>
      <c r="BH22" s="53"/>
      <c r="BI22" s="53"/>
      <c r="BJ22" s="53"/>
      <c r="BK22" s="53"/>
      <c r="BL22" s="137"/>
      <c r="BM22" s="137">
        <f t="shared" si="17"/>
        <v>0</v>
      </c>
      <c r="BN22" s="139" t="s">
        <v>347</v>
      </c>
      <c r="BR22" s="125"/>
      <c r="BS22" s="137"/>
      <c r="BT22" s="137"/>
      <c r="BU22" s="137"/>
      <c r="BV22" s="137"/>
      <c r="BW22" s="137"/>
      <c r="BX22" s="127"/>
      <c r="BY22" s="127"/>
      <c r="BZ22" s="137"/>
      <c r="CA22" s="137"/>
      <c r="CB22" s="137"/>
      <c r="CC22" s="137"/>
      <c r="CD22" s="137"/>
      <c r="CE22" s="137"/>
      <c r="CF22" s="126"/>
      <c r="CH22" s="126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9"/>
    </row>
    <row r="23" spans="1:97" s="55" customFormat="1" ht="12.75" customHeight="1" x14ac:dyDescent="0.2">
      <c r="A23" s="35" t="s">
        <v>31</v>
      </c>
      <c r="B23" s="65"/>
      <c r="C23" s="35" t="s">
        <v>27</v>
      </c>
      <c r="D23" s="44"/>
      <c r="E23" s="53">
        <f t="shared" si="7"/>
        <v>2527354</v>
      </c>
      <c r="F23" s="53"/>
      <c r="G23" s="53">
        <v>9836845</v>
      </c>
      <c r="H23" s="53"/>
      <c r="I23" s="53">
        <v>12364199</v>
      </c>
      <c r="J23" s="53"/>
      <c r="K23" s="53">
        <f t="shared" si="8"/>
        <v>1273333</v>
      </c>
      <c r="L23" s="53"/>
      <c r="M23" s="53">
        <v>4743720</v>
      </c>
      <c r="N23" s="53"/>
      <c r="O23" s="53">
        <v>6017053</v>
      </c>
      <c r="P23" s="53"/>
      <c r="Q23" s="53">
        <v>4113379</v>
      </c>
      <c r="R23" s="53"/>
      <c r="S23" s="53">
        <v>0</v>
      </c>
      <c r="T23" s="53"/>
      <c r="U23" s="53">
        <v>2233767</v>
      </c>
      <c r="V23" s="53"/>
      <c r="W23" s="53">
        <f>SUM(Q23:U23)</f>
        <v>6347146</v>
      </c>
      <c r="X23" s="53"/>
      <c r="Y23" s="35" t="s">
        <v>31</v>
      </c>
      <c r="AA23" s="35" t="s">
        <v>27</v>
      </c>
      <c r="AB23" s="35"/>
      <c r="AC23" s="53">
        <v>2233413</v>
      </c>
      <c r="AD23" s="53"/>
      <c r="AE23" s="53">
        <f>1618252-283500</f>
        <v>1334752</v>
      </c>
      <c r="AF23" s="53"/>
      <c r="AG23" s="53">
        <v>283500</v>
      </c>
      <c r="AH23" s="53"/>
      <c r="AI23" s="45">
        <f t="shared" si="9"/>
        <v>615161</v>
      </c>
      <c r="AJ23" s="45"/>
      <c r="AK23" s="53">
        <v>-9474</v>
      </c>
      <c r="AL23" s="45"/>
      <c r="AM23" s="53">
        <v>0</v>
      </c>
      <c r="AN23" s="53"/>
      <c r="AO23" s="53">
        <v>0</v>
      </c>
      <c r="AP23" s="53"/>
      <c r="AQ23" s="53">
        <v>0</v>
      </c>
      <c r="AR23" s="53"/>
      <c r="AS23" s="45">
        <f>+AI23+AK23+AM23-AO23+AQ23</f>
        <v>605687</v>
      </c>
      <c r="AT23" s="45"/>
      <c r="AU23" s="53">
        <v>0</v>
      </c>
      <c r="AV23" s="53"/>
      <c r="AW23" s="53">
        <v>0</v>
      </c>
      <c r="AX23" s="53"/>
      <c r="AY23" s="53">
        <f t="shared" si="5"/>
        <v>1254021</v>
      </c>
      <c r="AZ23" s="53"/>
      <c r="BA23" s="35" t="s">
        <v>31</v>
      </c>
      <c r="BC23" s="35" t="s">
        <v>27</v>
      </c>
      <c r="BD23" s="53"/>
      <c r="BE23" s="53">
        <f>1722134+80000</f>
        <v>1802134</v>
      </c>
      <c r="BF23" s="53"/>
      <c r="BG23" s="53">
        <v>0</v>
      </c>
      <c r="BH23" s="53"/>
      <c r="BI23" s="53">
        <f>55294+905047+687536+2282545</f>
        <v>3930422</v>
      </c>
      <c r="BJ23" s="53"/>
      <c r="BK23" s="53">
        <f>51505+27711</f>
        <v>79216</v>
      </c>
      <c r="BL23" s="53"/>
      <c r="BM23" s="53">
        <f>SUM(BE23:BK23)</f>
        <v>5811772</v>
      </c>
      <c r="BN23" s="54" t="s">
        <v>347</v>
      </c>
      <c r="BO23" s="55" t="s">
        <v>404</v>
      </c>
      <c r="BR23" s="65"/>
      <c r="BS23" s="53"/>
      <c r="BT23" s="53"/>
      <c r="BU23" s="53"/>
      <c r="BV23" s="53"/>
      <c r="BW23" s="53"/>
      <c r="BX23" s="45"/>
      <c r="BY23" s="45"/>
      <c r="BZ23" s="53"/>
      <c r="CA23" s="53"/>
      <c r="CB23" s="53"/>
      <c r="CC23" s="53"/>
      <c r="CD23" s="53"/>
      <c r="CE23" s="53"/>
      <c r="CF23" s="44"/>
      <c r="CH23" s="35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4"/>
    </row>
    <row r="24" spans="1:97" s="55" customFormat="1" ht="12.75" customHeight="1" x14ac:dyDescent="0.2">
      <c r="A24" s="35" t="s">
        <v>32</v>
      </c>
      <c r="B24" s="65"/>
      <c r="C24" s="35" t="s">
        <v>27</v>
      </c>
      <c r="D24" s="44"/>
      <c r="E24" s="53">
        <f t="shared" si="7"/>
        <v>2233756</v>
      </c>
      <c r="F24" s="53"/>
      <c r="G24" s="53">
        <v>7540718</v>
      </c>
      <c r="H24" s="53"/>
      <c r="I24" s="53">
        <v>9774474</v>
      </c>
      <c r="J24" s="53"/>
      <c r="K24" s="53">
        <f t="shared" si="8"/>
        <v>382479</v>
      </c>
      <c r="L24" s="53"/>
      <c r="M24" s="53">
        <v>809987</v>
      </c>
      <c r="N24" s="53"/>
      <c r="O24" s="53">
        <v>1192466</v>
      </c>
      <c r="P24" s="53"/>
      <c r="Q24" s="53">
        <v>6807618</v>
      </c>
      <c r="R24" s="53"/>
      <c r="S24" s="53">
        <v>0</v>
      </c>
      <c r="T24" s="53"/>
      <c r="U24" s="53">
        <v>1774390</v>
      </c>
      <c r="V24" s="53"/>
      <c r="W24" s="53">
        <f t="shared" ref="W24:W41" si="18">SUM(Q24:U24)</f>
        <v>8582008</v>
      </c>
      <c r="X24" s="53"/>
      <c r="Y24" s="35" t="s">
        <v>32</v>
      </c>
      <c r="AA24" s="35" t="s">
        <v>27</v>
      </c>
      <c r="AB24" s="35"/>
      <c r="AC24" s="53">
        <v>2754905</v>
      </c>
      <c r="AD24" s="53"/>
      <c r="AE24" s="53">
        <f>2992523-399539</f>
        <v>2592984</v>
      </c>
      <c r="AF24" s="53"/>
      <c r="AG24" s="53">
        <v>399539</v>
      </c>
      <c r="AH24" s="53"/>
      <c r="AI24" s="45">
        <f t="shared" si="9"/>
        <v>-237618</v>
      </c>
      <c r="AJ24" s="45"/>
      <c r="AK24" s="53">
        <v>-26530</v>
      </c>
      <c r="AL24" s="45"/>
      <c r="AM24" s="53">
        <v>0</v>
      </c>
      <c r="AN24" s="53"/>
      <c r="AO24" s="53">
        <v>0</v>
      </c>
      <c r="AP24" s="53"/>
      <c r="AQ24" s="53">
        <v>363407</v>
      </c>
      <c r="AR24" s="53"/>
      <c r="AS24" s="45">
        <f t="shared" ref="AS24:AS54" si="19">+AI24+AK24+AM24-AO24+AQ24</f>
        <v>99259</v>
      </c>
      <c r="AT24" s="45"/>
      <c r="AU24" s="53">
        <v>0</v>
      </c>
      <c r="AV24" s="53"/>
      <c r="AW24" s="53">
        <v>0</v>
      </c>
      <c r="AX24" s="53"/>
      <c r="AY24" s="53">
        <f t="shared" ref="AY24:AY54" si="20">+E24-K24</f>
        <v>1851277</v>
      </c>
      <c r="AZ24" s="53"/>
      <c r="BA24" s="35" t="s">
        <v>32</v>
      </c>
      <c r="BC24" s="35" t="s">
        <v>27</v>
      </c>
      <c r="BD24" s="53"/>
      <c r="BE24" s="53">
        <f>638600+94500</f>
        <v>733100</v>
      </c>
      <c r="BF24" s="53"/>
      <c r="BG24" s="53">
        <v>0</v>
      </c>
      <c r="BH24" s="53"/>
      <c r="BI24" s="53">
        <v>0</v>
      </c>
      <c r="BJ24" s="53"/>
      <c r="BK24" s="53">
        <f>171387+111114</f>
        <v>282501</v>
      </c>
      <c r="BL24" s="53"/>
      <c r="BM24" s="53">
        <f t="shared" ref="BM24:BM47" si="21">SUM(BE24:BK24)</f>
        <v>1015601</v>
      </c>
      <c r="BN24" s="54" t="s">
        <v>347</v>
      </c>
      <c r="BR24" s="65"/>
      <c r="BS24" s="53"/>
      <c r="BT24" s="53"/>
      <c r="BU24" s="53"/>
      <c r="BV24" s="53"/>
      <c r="BW24" s="53"/>
      <c r="BX24" s="45"/>
      <c r="BY24" s="45"/>
      <c r="BZ24" s="53"/>
      <c r="CA24" s="53"/>
      <c r="CB24" s="53"/>
      <c r="CC24" s="53"/>
      <c r="CD24" s="53"/>
      <c r="CE24" s="53"/>
      <c r="CF24" s="35"/>
      <c r="CH24" s="35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4"/>
    </row>
    <row r="25" spans="1:97" s="55" customFormat="1" ht="12.75" hidden="1" customHeight="1" x14ac:dyDescent="0.2">
      <c r="A25" s="35" t="s">
        <v>34</v>
      </c>
      <c r="B25" s="65"/>
      <c r="C25" s="35" t="s">
        <v>30</v>
      </c>
      <c r="D25" s="44"/>
      <c r="E25" s="53">
        <f t="shared" si="7"/>
        <v>0</v>
      </c>
      <c r="F25" s="53"/>
      <c r="G25" s="53"/>
      <c r="H25" s="53"/>
      <c r="I25" s="53"/>
      <c r="J25" s="53"/>
      <c r="K25" s="53">
        <f t="shared" si="8"/>
        <v>0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>
        <f t="shared" si="18"/>
        <v>0</v>
      </c>
      <c r="X25" s="53"/>
      <c r="Y25" s="35" t="s">
        <v>34</v>
      </c>
      <c r="AA25" s="35" t="s">
        <v>30</v>
      </c>
      <c r="AB25" s="35"/>
      <c r="AC25" s="53">
        <v>0</v>
      </c>
      <c r="AD25" s="53"/>
      <c r="AE25" s="53">
        <v>0</v>
      </c>
      <c r="AF25" s="53"/>
      <c r="AG25" s="53">
        <v>0</v>
      </c>
      <c r="AH25" s="53"/>
      <c r="AI25" s="45">
        <f t="shared" si="9"/>
        <v>0</v>
      </c>
      <c r="AJ25" s="45"/>
      <c r="AK25" s="53">
        <v>0</v>
      </c>
      <c r="AL25" s="45"/>
      <c r="AM25" s="53">
        <v>0</v>
      </c>
      <c r="AN25" s="53"/>
      <c r="AO25" s="53">
        <v>0</v>
      </c>
      <c r="AP25" s="53"/>
      <c r="AQ25" s="53">
        <v>0</v>
      </c>
      <c r="AR25" s="53"/>
      <c r="AS25" s="45">
        <f t="shared" si="19"/>
        <v>0</v>
      </c>
      <c r="AT25" s="45"/>
      <c r="AU25" s="53">
        <v>0</v>
      </c>
      <c r="AV25" s="53"/>
      <c r="AW25" s="53">
        <v>0</v>
      </c>
      <c r="AX25" s="53"/>
      <c r="AY25" s="53">
        <f t="shared" si="20"/>
        <v>0</v>
      </c>
      <c r="AZ25" s="53"/>
      <c r="BA25" s="35" t="s">
        <v>34</v>
      </c>
      <c r="BC25" s="35" t="s">
        <v>30</v>
      </c>
      <c r="BD25" s="53"/>
      <c r="BE25" s="53">
        <v>0</v>
      </c>
      <c r="BF25" s="53"/>
      <c r="BG25" s="53">
        <v>0</v>
      </c>
      <c r="BH25" s="53"/>
      <c r="BI25" s="53">
        <v>0</v>
      </c>
      <c r="BJ25" s="53"/>
      <c r="BK25" s="53">
        <v>0</v>
      </c>
      <c r="BL25" s="53"/>
      <c r="BM25" s="53">
        <f t="shared" si="21"/>
        <v>0</v>
      </c>
      <c r="BN25" s="54" t="s">
        <v>347</v>
      </c>
      <c r="BR25" s="65"/>
      <c r="BS25" s="53"/>
      <c r="BT25" s="53"/>
      <c r="BU25" s="53"/>
      <c r="BV25" s="53"/>
      <c r="BW25" s="53"/>
      <c r="BX25" s="45"/>
      <c r="BY25" s="45"/>
      <c r="BZ25" s="53"/>
      <c r="CA25" s="53"/>
      <c r="CB25" s="53"/>
      <c r="CC25" s="53"/>
      <c r="CD25" s="53"/>
      <c r="CE25" s="53"/>
      <c r="CF25" s="35"/>
      <c r="CH25" s="35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4"/>
    </row>
    <row r="26" spans="1:97" s="55" customFormat="1" ht="12.75" customHeight="1" x14ac:dyDescent="0.2">
      <c r="A26" s="35" t="s">
        <v>35</v>
      </c>
      <c r="B26" s="65"/>
      <c r="C26" s="35" t="s">
        <v>36</v>
      </c>
      <c r="D26" s="44"/>
      <c r="E26" s="53">
        <f t="shared" si="7"/>
        <v>2546979</v>
      </c>
      <c r="F26" s="53"/>
      <c r="G26" s="53">
        <v>14441914</v>
      </c>
      <c r="H26" s="53"/>
      <c r="I26" s="53">
        <v>16988893</v>
      </c>
      <c r="J26" s="53"/>
      <c r="K26" s="53">
        <f t="shared" si="8"/>
        <v>645130</v>
      </c>
      <c r="L26" s="53"/>
      <c r="M26" s="53">
        <v>3088387</v>
      </c>
      <c r="N26" s="53"/>
      <c r="O26" s="53">
        <v>3733517</v>
      </c>
      <c r="P26" s="53"/>
      <c r="Q26" s="53">
        <v>11330477</v>
      </c>
      <c r="R26" s="53"/>
      <c r="S26" s="53">
        <v>0</v>
      </c>
      <c r="T26" s="53"/>
      <c r="U26" s="53">
        <v>1924899</v>
      </c>
      <c r="V26" s="53"/>
      <c r="W26" s="53">
        <f t="shared" si="18"/>
        <v>13255376</v>
      </c>
      <c r="X26" s="53"/>
      <c r="Y26" s="35" t="s">
        <v>35</v>
      </c>
      <c r="AA26" s="35" t="s">
        <v>36</v>
      </c>
      <c r="AB26" s="35"/>
      <c r="AC26" s="53">
        <v>2756296</v>
      </c>
      <c r="AD26" s="53"/>
      <c r="AE26" s="53">
        <f>1892130-310513</f>
        <v>1581617</v>
      </c>
      <c r="AF26" s="53"/>
      <c r="AG26" s="53">
        <v>310513</v>
      </c>
      <c r="AH26" s="53"/>
      <c r="AI26" s="45">
        <f t="shared" si="9"/>
        <v>864166</v>
      </c>
      <c r="AJ26" s="45"/>
      <c r="AK26" s="53">
        <v>-18472</v>
      </c>
      <c r="AL26" s="45"/>
      <c r="AM26" s="53">
        <v>0</v>
      </c>
      <c r="AN26" s="53"/>
      <c r="AO26" s="53">
        <v>0</v>
      </c>
      <c r="AP26" s="53"/>
      <c r="AQ26" s="53">
        <v>0</v>
      </c>
      <c r="AR26" s="53"/>
      <c r="AS26" s="45">
        <f t="shared" si="19"/>
        <v>845694</v>
      </c>
      <c r="AT26" s="45"/>
      <c r="AU26" s="53">
        <v>0</v>
      </c>
      <c r="AV26" s="53"/>
      <c r="AW26" s="53">
        <v>0</v>
      </c>
      <c r="AX26" s="53"/>
      <c r="AY26" s="53">
        <f t="shared" si="20"/>
        <v>1901849</v>
      </c>
      <c r="AZ26" s="53"/>
      <c r="BA26" s="35" t="s">
        <v>35</v>
      </c>
      <c r="BC26" s="35" t="s">
        <v>36</v>
      </c>
      <c r="BD26" s="53"/>
      <c r="BE26" s="53">
        <f>380653+2637362</f>
        <v>3018015</v>
      </c>
      <c r="BF26" s="53"/>
      <c r="BG26" s="53">
        <v>0</v>
      </c>
      <c r="BH26" s="53"/>
      <c r="BI26" s="53">
        <v>0</v>
      </c>
      <c r="BJ26" s="53"/>
      <c r="BK26" s="53">
        <f>24945+29479+426080+32920</f>
        <v>513424</v>
      </c>
      <c r="BL26" s="53"/>
      <c r="BM26" s="53">
        <f t="shared" si="21"/>
        <v>3531439</v>
      </c>
      <c r="BN26" s="54" t="s">
        <v>347</v>
      </c>
      <c r="BR26" s="65"/>
      <c r="BS26" s="53"/>
      <c r="BT26" s="53"/>
      <c r="BU26" s="53"/>
      <c r="BV26" s="53"/>
      <c r="BW26" s="53"/>
      <c r="BX26" s="45"/>
      <c r="BY26" s="45"/>
      <c r="BZ26" s="53"/>
      <c r="CA26" s="53"/>
      <c r="CB26" s="53"/>
      <c r="CC26" s="53"/>
      <c r="CD26" s="53"/>
      <c r="CE26" s="53"/>
      <c r="CF26" s="35"/>
      <c r="CH26" s="35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4"/>
    </row>
    <row r="27" spans="1:97" s="55" customFormat="1" ht="12.75" customHeight="1" x14ac:dyDescent="0.2">
      <c r="A27" s="35" t="s">
        <v>37</v>
      </c>
      <c r="B27" s="65"/>
      <c r="C27" s="35" t="s">
        <v>38</v>
      </c>
      <c r="D27" s="44"/>
      <c r="E27" s="53">
        <f t="shared" si="7"/>
        <v>2120263</v>
      </c>
      <c r="F27" s="53"/>
      <c r="G27" s="53">
        <f>497038+11838896</f>
        <v>12335934</v>
      </c>
      <c r="H27" s="53"/>
      <c r="I27" s="53">
        <v>14456197</v>
      </c>
      <c r="J27" s="53"/>
      <c r="K27" s="53">
        <f t="shared" si="8"/>
        <v>1017546</v>
      </c>
      <c r="L27" s="53"/>
      <c r="M27" s="53">
        <v>6304122</v>
      </c>
      <c r="N27" s="53"/>
      <c r="O27" s="53">
        <v>7321668</v>
      </c>
      <c r="P27" s="53"/>
      <c r="Q27" s="53">
        <v>5431017</v>
      </c>
      <c r="R27" s="53"/>
      <c r="S27" s="53">
        <v>0</v>
      </c>
      <c r="T27" s="53"/>
      <c r="U27" s="53">
        <v>1703512</v>
      </c>
      <c r="V27" s="53"/>
      <c r="W27" s="53">
        <f>SUM(Q27:U27)</f>
        <v>7134529</v>
      </c>
      <c r="X27" s="65"/>
      <c r="Y27" s="35" t="s">
        <v>37</v>
      </c>
      <c r="Z27" s="53"/>
      <c r="AA27" s="35" t="s">
        <v>38</v>
      </c>
      <c r="AB27" s="65"/>
      <c r="AC27" s="53">
        <v>2416266</v>
      </c>
      <c r="AD27" s="53"/>
      <c r="AE27" s="53">
        <f>1848593-282967</f>
        <v>1565626</v>
      </c>
      <c r="AF27" s="53"/>
      <c r="AG27" s="53">
        <v>282967</v>
      </c>
      <c r="AH27" s="53"/>
      <c r="AI27" s="45">
        <f t="shared" si="9"/>
        <v>567673</v>
      </c>
      <c r="AJ27" s="45"/>
      <c r="AK27" s="53">
        <v>-193590</v>
      </c>
      <c r="AL27" s="45"/>
      <c r="AM27" s="53">
        <v>0</v>
      </c>
      <c r="AN27" s="53"/>
      <c r="AO27" s="53">
        <v>0</v>
      </c>
      <c r="AP27" s="53"/>
      <c r="AQ27" s="53">
        <v>0</v>
      </c>
      <c r="AR27" s="53"/>
      <c r="AS27" s="45">
        <f t="shared" si="19"/>
        <v>374083</v>
      </c>
      <c r="AT27" s="45"/>
      <c r="AU27" s="53">
        <v>0</v>
      </c>
      <c r="AV27" s="53"/>
      <c r="AW27" s="53">
        <v>0</v>
      </c>
      <c r="AX27" s="53"/>
      <c r="AY27" s="53">
        <f>+E27-K27</f>
        <v>1102717</v>
      </c>
      <c r="AZ27" s="65"/>
      <c r="BA27" s="35" t="s">
        <v>37</v>
      </c>
      <c r="BB27" s="35"/>
      <c r="BC27" s="35" t="s">
        <v>38</v>
      </c>
      <c r="BD27" s="53"/>
      <c r="BE27" s="53">
        <v>0</v>
      </c>
      <c r="BF27" s="53"/>
      <c r="BG27" s="53">
        <v>0</v>
      </c>
      <c r="BH27" s="53"/>
      <c r="BI27" s="53">
        <f>6240083+664834</f>
        <v>6904917</v>
      </c>
      <c r="BJ27" s="53"/>
      <c r="BK27" s="53">
        <f>64039+13274</f>
        <v>77313</v>
      </c>
      <c r="BL27" s="53"/>
      <c r="BM27" s="53">
        <f t="shared" si="21"/>
        <v>6982230</v>
      </c>
      <c r="BN27" s="54" t="s">
        <v>347</v>
      </c>
      <c r="BR27" s="65"/>
      <c r="BS27" s="53"/>
      <c r="BT27" s="53"/>
      <c r="BU27" s="53"/>
      <c r="BV27" s="53"/>
      <c r="BW27" s="53"/>
      <c r="BX27" s="45"/>
      <c r="BY27" s="45"/>
      <c r="BZ27" s="53"/>
      <c r="CA27" s="53"/>
      <c r="CB27" s="53"/>
      <c r="CC27" s="53"/>
      <c r="CD27" s="53"/>
      <c r="CE27" s="53"/>
      <c r="CF27" s="35"/>
      <c r="CH27" s="35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4"/>
    </row>
    <row r="28" spans="1:97" s="35" customFormat="1" ht="12.75" customHeight="1" x14ac:dyDescent="0.2">
      <c r="A28" s="35" t="s">
        <v>39</v>
      </c>
      <c r="B28" s="65"/>
      <c r="C28" s="35" t="s">
        <v>40</v>
      </c>
      <c r="D28" s="44"/>
      <c r="E28" s="53">
        <f t="shared" si="7"/>
        <v>439270</v>
      </c>
      <c r="F28" s="53"/>
      <c r="G28" s="53">
        <v>7032144</v>
      </c>
      <c r="H28" s="53"/>
      <c r="I28" s="53">
        <v>7471414</v>
      </c>
      <c r="J28" s="53"/>
      <c r="K28" s="53">
        <f t="shared" si="8"/>
        <v>454524</v>
      </c>
      <c r="L28" s="53"/>
      <c r="M28" s="53">
        <v>2247255</v>
      </c>
      <c r="N28" s="53"/>
      <c r="O28" s="53">
        <v>2701779</v>
      </c>
      <c r="P28" s="53"/>
      <c r="Q28" s="53">
        <v>4387920</v>
      </c>
      <c r="R28" s="53"/>
      <c r="S28" s="53">
        <v>0</v>
      </c>
      <c r="T28" s="53"/>
      <c r="U28" s="53">
        <v>381715</v>
      </c>
      <c r="V28" s="53"/>
      <c r="W28" s="53">
        <f>SUM(Q28:U28)</f>
        <v>4769635</v>
      </c>
      <c r="X28" s="53"/>
      <c r="Y28" s="35" t="s">
        <v>39</v>
      </c>
      <c r="Z28" s="55"/>
      <c r="AA28" s="35" t="s">
        <v>40</v>
      </c>
      <c r="AC28" s="53">
        <v>1471585</v>
      </c>
      <c r="AD28" s="53"/>
      <c r="AE28" s="53">
        <f>1087373-239241</f>
        <v>848132</v>
      </c>
      <c r="AF28" s="53"/>
      <c r="AG28" s="53">
        <v>239241</v>
      </c>
      <c r="AH28" s="53"/>
      <c r="AI28" s="45">
        <f t="shared" si="9"/>
        <v>384212</v>
      </c>
      <c r="AJ28" s="45"/>
      <c r="AK28" s="53">
        <v>-116139</v>
      </c>
      <c r="AL28" s="45"/>
      <c r="AM28" s="53">
        <v>0</v>
      </c>
      <c r="AN28" s="53"/>
      <c r="AO28" s="53">
        <v>0</v>
      </c>
      <c r="AP28" s="53"/>
      <c r="AQ28" s="53">
        <v>0</v>
      </c>
      <c r="AR28" s="53"/>
      <c r="AS28" s="45">
        <f t="shared" si="19"/>
        <v>268073</v>
      </c>
      <c r="AT28" s="45"/>
      <c r="AU28" s="53">
        <v>0</v>
      </c>
      <c r="AV28" s="53"/>
      <c r="AW28" s="53">
        <v>0</v>
      </c>
      <c r="AX28" s="53"/>
      <c r="AY28" s="53">
        <f>+E28-K28</f>
        <v>-15254</v>
      </c>
      <c r="AZ28" s="53"/>
      <c r="BA28" s="35" t="s">
        <v>39</v>
      </c>
      <c r="BB28" s="55"/>
      <c r="BC28" s="35" t="s">
        <v>40</v>
      </c>
      <c r="BD28" s="53"/>
      <c r="BE28" s="53">
        <v>0</v>
      </c>
      <c r="BF28" s="53"/>
      <c r="BG28" s="53">
        <v>0</v>
      </c>
      <c r="BH28" s="53"/>
      <c r="BI28" s="53">
        <f>128960+9881</f>
        <v>138841</v>
      </c>
      <c r="BJ28" s="53"/>
      <c r="BK28" s="53">
        <f>2111259+7036+394124</f>
        <v>2512419</v>
      </c>
      <c r="BL28" s="53"/>
      <c r="BM28" s="53">
        <f t="shared" si="21"/>
        <v>2651260</v>
      </c>
      <c r="BN28" s="54"/>
      <c r="BR28" s="55"/>
      <c r="BS28" s="55"/>
      <c r="BT28" s="84"/>
      <c r="BU28" s="55"/>
      <c r="BV28" s="55"/>
      <c r="BW28" s="55"/>
      <c r="BX28" s="55"/>
      <c r="BY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</row>
    <row r="29" spans="1:97" s="55" customFormat="1" ht="12.75" customHeight="1" x14ac:dyDescent="0.2">
      <c r="A29" s="35" t="s">
        <v>41</v>
      </c>
      <c r="B29" s="65"/>
      <c r="C29" s="35" t="s">
        <v>27</v>
      </c>
      <c r="D29" s="44"/>
      <c r="E29" s="53">
        <f t="shared" si="7"/>
        <v>558436</v>
      </c>
      <c r="F29" s="53"/>
      <c r="G29" s="53">
        <v>11998114</v>
      </c>
      <c r="H29" s="53"/>
      <c r="I29" s="53">
        <v>12556550</v>
      </c>
      <c r="J29" s="53"/>
      <c r="K29" s="53">
        <f t="shared" si="8"/>
        <v>296893</v>
      </c>
      <c r="L29" s="53"/>
      <c r="M29" s="53">
        <v>4192649</v>
      </c>
      <c r="N29" s="53"/>
      <c r="O29" s="53">
        <v>4489542</v>
      </c>
      <c r="P29" s="53"/>
      <c r="Q29" s="53">
        <v>7595574</v>
      </c>
      <c r="R29" s="53"/>
      <c r="S29" s="53">
        <v>0</v>
      </c>
      <c r="T29" s="53"/>
      <c r="U29" s="53">
        <v>471434</v>
      </c>
      <c r="V29" s="53"/>
      <c r="W29" s="53">
        <f t="shared" si="18"/>
        <v>8067008</v>
      </c>
      <c r="X29" s="53"/>
      <c r="Y29" s="35" t="s">
        <v>41</v>
      </c>
      <c r="AA29" s="35" t="s">
        <v>27</v>
      </c>
      <c r="AB29" s="35"/>
      <c r="AC29" s="53">
        <v>694092</v>
      </c>
      <c r="AD29" s="53"/>
      <c r="AE29" s="53">
        <f>611987-286407</f>
        <v>325580</v>
      </c>
      <c r="AF29" s="53"/>
      <c r="AG29" s="53">
        <v>286407</v>
      </c>
      <c r="AH29" s="53"/>
      <c r="AI29" s="45">
        <f t="shared" si="9"/>
        <v>82105</v>
      </c>
      <c r="AJ29" s="45"/>
      <c r="AK29" s="53">
        <v>-578841</v>
      </c>
      <c r="AL29" s="45"/>
      <c r="AM29" s="53">
        <v>230000</v>
      </c>
      <c r="AN29" s="53"/>
      <c r="AO29" s="53">
        <v>0</v>
      </c>
      <c r="AP29" s="53"/>
      <c r="AQ29" s="53">
        <v>968472</v>
      </c>
      <c r="AR29" s="53"/>
      <c r="AS29" s="45">
        <f t="shared" si="19"/>
        <v>701736</v>
      </c>
      <c r="AT29" s="45"/>
      <c r="AU29" s="53">
        <v>0</v>
      </c>
      <c r="AV29" s="53"/>
      <c r="AW29" s="53">
        <v>0</v>
      </c>
      <c r="AX29" s="53"/>
      <c r="AY29" s="53">
        <f t="shared" si="20"/>
        <v>261543</v>
      </c>
      <c r="AZ29" s="53"/>
      <c r="BA29" s="35" t="s">
        <v>41</v>
      </c>
      <c r="BC29" s="35" t="s">
        <v>27</v>
      </c>
      <c r="BD29" s="53"/>
      <c r="BE29" s="53">
        <v>0</v>
      </c>
      <c r="BF29" s="53"/>
      <c r="BG29" s="53">
        <v>0</v>
      </c>
      <c r="BH29" s="53"/>
      <c r="BI29" s="53">
        <f>388070+1126507+2674206+54004+159753</f>
        <v>4402540</v>
      </c>
      <c r="BJ29" s="53"/>
      <c r="BK29" s="53">
        <v>3866</v>
      </c>
      <c r="BL29" s="53"/>
      <c r="BM29" s="53">
        <f t="shared" si="21"/>
        <v>4406406</v>
      </c>
      <c r="BN29" s="54" t="s">
        <v>347</v>
      </c>
      <c r="BR29" s="65"/>
      <c r="BS29" s="53"/>
      <c r="BT29" s="53"/>
      <c r="BU29" s="53"/>
      <c r="BV29" s="53"/>
      <c r="BW29" s="53"/>
      <c r="BX29" s="45"/>
      <c r="BY29" s="45"/>
      <c r="BZ29" s="53"/>
      <c r="CA29" s="53"/>
      <c r="CB29" s="53"/>
      <c r="CC29" s="53"/>
      <c r="CD29" s="53"/>
      <c r="CE29" s="53"/>
      <c r="CF29" s="35"/>
      <c r="CH29" s="35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4"/>
    </row>
    <row r="30" spans="1:97" s="55" customFormat="1" ht="12.75" customHeight="1" x14ac:dyDescent="0.2">
      <c r="A30" s="35" t="s">
        <v>42</v>
      </c>
      <c r="B30" s="65"/>
      <c r="C30" s="35" t="s">
        <v>43</v>
      </c>
      <c r="D30" s="44"/>
      <c r="E30" s="53">
        <f t="shared" si="7"/>
        <v>2460318</v>
      </c>
      <c r="F30" s="53"/>
      <c r="G30" s="53">
        <v>3109096</v>
      </c>
      <c r="H30" s="53"/>
      <c r="I30" s="53">
        <v>5569414</v>
      </c>
      <c r="J30" s="53"/>
      <c r="K30" s="53">
        <f t="shared" si="8"/>
        <v>480265</v>
      </c>
      <c r="L30" s="53"/>
      <c r="M30" s="53">
        <v>1057875</v>
      </c>
      <c r="N30" s="53"/>
      <c r="O30" s="53">
        <v>1538140</v>
      </c>
      <c r="P30" s="53"/>
      <c r="Q30" s="53">
        <v>1996117</v>
      </c>
      <c r="R30" s="53"/>
      <c r="S30" s="53">
        <v>0</v>
      </c>
      <c r="T30" s="53"/>
      <c r="U30" s="53">
        <v>2035157</v>
      </c>
      <c r="V30" s="53"/>
      <c r="W30" s="53">
        <f t="shared" si="18"/>
        <v>4031274</v>
      </c>
      <c r="X30" s="53"/>
      <c r="Y30" s="35" t="s">
        <v>42</v>
      </c>
      <c r="AA30" s="35" t="s">
        <v>43</v>
      </c>
      <c r="AB30" s="35"/>
      <c r="AC30" s="53">
        <v>2316749</v>
      </c>
      <c r="AD30" s="53"/>
      <c r="AE30" s="53">
        <f>1868395-99020</f>
        <v>1769375</v>
      </c>
      <c r="AF30" s="53"/>
      <c r="AG30" s="53">
        <v>99020</v>
      </c>
      <c r="AH30" s="53"/>
      <c r="AI30" s="45">
        <f t="shared" si="9"/>
        <v>448354</v>
      </c>
      <c r="AJ30" s="45"/>
      <c r="AK30" s="53">
        <v>-27803</v>
      </c>
      <c r="AL30" s="45"/>
      <c r="AM30" s="53">
        <v>0</v>
      </c>
      <c r="AN30" s="53"/>
      <c r="AO30" s="53">
        <v>0</v>
      </c>
      <c r="AP30" s="53"/>
      <c r="AQ30" s="53">
        <v>0</v>
      </c>
      <c r="AR30" s="53"/>
      <c r="AS30" s="45">
        <f t="shared" si="19"/>
        <v>420551</v>
      </c>
      <c r="AT30" s="45"/>
      <c r="AU30" s="53">
        <v>0</v>
      </c>
      <c r="AV30" s="53"/>
      <c r="AW30" s="53">
        <v>0</v>
      </c>
      <c r="AX30" s="53"/>
      <c r="AY30" s="53">
        <f t="shared" si="20"/>
        <v>1980053</v>
      </c>
      <c r="AZ30" s="53"/>
      <c r="BA30" s="35" t="s">
        <v>42</v>
      </c>
      <c r="BC30" s="35" t="s">
        <v>43</v>
      </c>
      <c r="BD30" s="53"/>
      <c r="BE30" s="53">
        <f>737000+37000</f>
        <v>774000</v>
      </c>
      <c r="BF30" s="53"/>
      <c r="BG30" s="53">
        <v>0</v>
      </c>
      <c r="BH30" s="53"/>
      <c r="BI30" s="53">
        <f>308425+23725</f>
        <v>332150</v>
      </c>
      <c r="BJ30" s="53"/>
      <c r="BK30" s="53">
        <f>428+12450</f>
        <v>12878</v>
      </c>
      <c r="BL30" s="53"/>
      <c r="BM30" s="53">
        <f t="shared" si="21"/>
        <v>1119028</v>
      </c>
      <c r="BN30" s="54" t="s">
        <v>347</v>
      </c>
      <c r="BR30" s="65"/>
      <c r="BS30" s="53"/>
      <c r="BT30" s="53"/>
      <c r="BU30" s="53"/>
      <c r="BV30" s="53"/>
      <c r="BW30" s="53"/>
      <c r="BX30" s="45"/>
      <c r="BY30" s="45"/>
      <c r="BZ30" s="53"/>
      <c r="CA30" s="53"/>
      <c r="CB30" s="53"/>
      <c r="CC30" s="53"/>
      <c r="CD30" s="53"/>
      <c r="CE30" s="53"/>
      <c r="CF30" s="35"/>
      <c r="CH30" s="35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4"/>
    </row>
    <row r="31" spans="1:97" s="55" customFormat="1" ht="12.75" hidden="1" customHeight="1" x14ac:dyDescent="0.2">
      <c r="A31" s="35" t="s">
        <v>44</v>
      </c>
      <c r="B31" s="65"/>
      <c r="C31" s="35" t="s">
        <v>45</v>
      </c>
      <c r="D31" s="44"/>
      <c r="E31" s="53">
        <f t="shared" si="7"/>
        <v>0</v>
      </c>
      <c r="F31" s="53"/>
      <c r="G31" s="53"/>
      <c r="H31" s="53"/>
      <c r="I31" s="53"/>
      <c r="J31" s="53"/>
      <c r="K31" s="53">
        <f t="shared" si="8"/>
        <v>0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>
        <f t="shared" si="18"/>
        <v>0</v>
      </c>
      <c r="X31" s="53"/>
      <c r="Y31" s="35" t="s">
        <v>44</v>
      </c>
      <c r="AA31" s="35" t="s">
        <v>45</v>
      </c>
      <c r="AB31" s="35"/>
      <c r="AC31" s="53"/>
      <c r="AD31" s="53"/>
      <c r="AE31" s="53"/>
      <c r="AF31" s="53"/>
      <c r="AG31" s="53"/>
      <c r="AH31" s="53"/>
      <c r="AI31" s="45">
        <f t="shared" si="9"/>
        <v>0</v>
      </c>
      <c r="AJ31" s="45"/>
      <c r="AK31" s="53"/>
      <c r="AL31" s="45"/>
      <c r="AM31" s="53"/>
      <c r="AN31" s="53"/>
      <c r="AO31" s="53"/>
      <c r="AP31" s="53"/>
      <c r="AQ31" s="53"/>
      <c r="AR31" s="53"/>
      <c r="AS31" s="45">
        <f t="shared" si="19"/>
        <v>0</v>
      </c>
      <c r="AT31" s="45"/>
      <c r="AU31" s="53">
        <v>0</v>
      </c>
      <c r="AV31" s="53"/>
      <c r="AW31" s="53">
        <v>0</v>
      </c>
      <c r="AX31" s="53"/>
      <c r="AY31" s="53">
        <f t="shared" si="20"/>
        <v>0</v>
      </c>
      <c r="AZ31" s="53"/>
      <c r="BA31" s="35" t="s">
        <v>44</v>
      </c>
      <c r="BC31" s="35" t="s">
        <v>45</v>
      </c>
      <c r="BD31" s="53"/>
      <c r="BE31" s="53"/>
      <c r="BF31" s="53"/>
      <c r="BG31" s="53"/>
      <c r="BH31" s="53"/>
      <c r="BI31" s="53"/>
      <c r="BJ31" s="53"/>
      <c r="BK31" s="53"/>
      <c r="BL31" s="53"/>
      <c r="BM31" s="53">
        <f t="shared" si="21"/>
        <v>0</v>
      </c>
      <c r="BN31" s="54" t="s">
        <v>347</v>
      </c>
      <c r="BR31" s="65"/>
      <c r="BS31" s="53"/>
      <c r="BT31" s="53"/>
      <c r="BU31" s="53"/>
      <c r="BV31" s="53"/>
      <c r="BW31" s="53"/>
      <c r="BX31" s="45"/>
      <c r="BY31" s="45"/>
      <c r="BZ31" s="53"/>
      <c r="CA31" s="53"/>
      <c r="CB31" s="53"/>
      <c r="CC31" s="53"/>
      <c r="CD31" s="53"/>
      <c r="CE31" s="53"/>
      <c r="CF31" s="35"/>
      <c r="CH31" s="35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4"/>
    </row>
    <row r="32" spans="1:97" s="55" customFormat="1" ht="12.75" customHeight="1" x14ac:dyDescent="0.2">
      <c r="A32" s="35" t="s">
        <v>46</v>
      </c>
      <c r="B32" s="65"/>
      <c r="C32" s="35" t="s">
        <v>47</v>
      </c>
      <c r="D32" s="44"/>
      <c r="E32" s="53">
        <f t="shared" si="7"/>
        <v>3144651</v>
      </c>
      <c r="F32" s="53"/>
      <c r="G32" s="53">
        <v>45890998</v>
      </c>
      <c r="H32" s="53"/>
      <c r="I32" s="53">
        <v>49035649</v>
      </c>
      <c r="J32" s="53"/>
      <c r="K32" s="53">
        <f t="shared" si="8"/>
        <v>471794</v>
      </c>
      <c r="L32" s="53"/>
      <c r="M32" s="53">
        <v>2834343</v>
      </c>
      <c r="N32" s="53"/>
      <c r="O32" s="53">
        <v>3306137</v>
      </c>
      <c r="P32" s="53"/>
      <c r="Q32" s="53">
        <v>43018386</v>
      </c>
      <c r="R32" s="53"/>
      <c r="S32" s="53">
        <v>0</v>
      </c>
      <c r="T32" s="53"/>
      <c r="U32" s="53">
        <v>2711126</v>
      </c>
      <c r="V32" s="53"/>
      <c r="W32" s="53">
        <f t="shared" si="18"/>
        <v>45729512</v>
      </c>
      <c r="X32" s="53"/>
      <c r="Y32" s="35" t="s">
        <v>46</v>
      </c>
      <c r="AA32" s="35" t="s">
        <v>47</v>
      </c>
      <c r="AB32" s="35"/>
      <c r="AC32" s="53">
        <v>4002172</v>
      </c>
      <c r="AD32" s="53"/>
      <c r="AE32" s="53">
        <f>4909473-1344481</f>
        <v>3564992</v>
      </c>
      <c r="AF32" s="53"/>
      <c r="AG32" s="53">
        <v>1344481</v>
      </c>
      <c r="AH32" s="53"/>
      <c r="AI32" s="45">
        <f t="shared" si="9"/>
        <v>-907301</v>
      </c>
      <c r="AJ32" s="45"/>
      <c r="AK32" s="53">
        <v>-129824</v>
      </c>
      <c r="AL32" s="45"/>
      <c r="AM32" s="53">
        <v>0</v>
      </c>
      <c r="AN32" s="53"/>
      <c r="AO32" s="53">
        <v>0</v>
      </c>
      <c r="AP32" s="53"/>
      <c r="AQ32" s="53">
        <v>492063</v>
      </c>
      <c r="AR32" s="53"/>
      <c r="AS32" s="45">
        <f t="shared" si="19"/>
        <v>-545062</v>
      </c>
      <c r="AT32" s="45"/>
      <c r="AU32" s="53">
        <v>0</v>
      </c>
      <c r="AV32" s="53"/>
      <c r="AW32" s="53">
        <v>0</v>
      </c>
      <c r="AX32" s="53"/>
      <c r="AY32" s="53">
        <f t="shared" si="20"/>
        <v>2672857</v>
      </c>
      <c r="AZ32" s="53"/>
      <c r="BA32" s="35" t="s">
        <v>46</v>
      </c>
      <c r="BC32" s="35" t="s">
        <v>47</v>
      </c>
      <c r="BD32" s="53"/>
      <c r="BE32" s="53">
        <f>2682612+190000</f>
        <v>2872612</v>
      </c>
      <c r="BF32" s="53"/>
      <c r="BG32" s="53">
        <v>0</v>
      </c>
      <c r="BH32" s="53"/>
      <c r="BI32" s="53">
        <v>0</v>
      </c>
      <c r="BJ32" s="53"/>
      <c r="BK32" s="53">
        <f>151731+94278</f>
        <v>246009</v>
      </c>
      <c r="BL32" s="53"/>
      <c r="BM32" s="53">
        <f t="shared" si="21"/>
        <v>3118621</v>
      </c>
      <c r="BN32" s="54" t="s">
        <v>347</v>
      </c>
      <c r="BR32" s="65"/>
      <c r="BS32" s="53"/>
      <c r="BT32" s="53"/>
      <c r="BU32" s="53"/>
      <c r="BV32" s="53"/>
      <c r="BW32" s="53"/>
      <c r="BX32" s="45"/>
      <c r="BY32" s="45"/>
      <c r="BZ32" s="53"/>
      <c r="CA32" s="53"/>
      <c r="CB32" s="53"/>
      <c r="CC32" s="53"/>
      <c r="CD32" s="53"/>
      <c r="CE32" s="53"/>
      <c r="CF32" s="35"/>
      <c r="CH32" s="35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4"/>
    </row>
    <row r="33" spans="1:97" s="55" customFormat="1" ht="12.75" hidden="1" customHeight="1" x14ac:dyDescent="0.2">
      <c r="A33" s="35" t="s">
        <v>48</v>
      </c>
      <c r="B33" s="65"/>
      <c r="C33" s="35" t="s">
        <v>27</v>
      </c>
      <c r="D33" s="44"/>
      <c r="E33" s="53">
        <f t="shared" si="7"/>
        <v>0</v>
      </c>
      <c r="F33" s="53"/>
      <c r="G33" s="53"/>
      <c r="H33" s="53"/>
      <c r="I33" s="53"/>
      <c r="J33" s="53"/>
      <c r="K33" s="53">
        <f t="shared" si="8"/>
        <v>0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>
        <f t="shared" si="18"/>
        <v>0</v>
      </c>
      <c r="X33" s="53"/>
      <c r="Y33" s="35" t="s">
        <v>48</v>
      </c>
      <c r="AA33" s="35" t="s">
        <v>27</v>
      </c>
      <c r="AB33" s="35"/>
      <c r="AC33" s="53"/>
      <c r="AD33" s="53"/>
      <c r="AE33" s="53"/>
      <c r="AF33" s="53"/>
      <c r="AG33" s="53"/>
      <c r="AH33" s="53"/>
      <c r="AI33" s="45">
        <f t="shared" si="9"/>
        <v>0</v>
      </c>
      <c r="AJ33" s="45"/>
      <c r="AK33" s="53"/>
      <c r="AL33" s="45"/>
      <c r="AM33" s="53"/>
      <c r="AN33" s="53"/>
      <c r="AO33" s="53"/>
      <c r="AP33" s="53"/>
      <c r="AQ33" s="53"/>
      <c r="AR33" s="53"/>
      <c r="AS33" s="45">
        <f t="shared" si="19"/>
        <v>0</v>
      </c>
      <c r="AT33" s="45"/>
      <c r="AU33" s="53">
        <v>0</v>
      </c>
      <c r="AV33" s="53"/>
      <c r="AW33" s="53">
        <v>0</v>
      </c>
      <c r="AX33" s="53"/>
      <c r="AY33" s="53">
        <f t="shared" si="20"/>
        <v>0</v>
      </c>
      <c r="AZ33" s="53"/>
      <c r="BA33" s="35" t="s">
        <v>48</v>
      </c>
      <c r="BC33" s="35" t="s">
        <v>27</v>
      </c>
      <c r="BD33" s="53"/>
      <c r="BE33" s="53"/>
      <c r="BF33" s="53"/>
      <c r="BG33" s="53"/>
      <c r="BH33" s="53"/>
      <c r="BI33" s="53"/>
      <c r="BJ33" s="53"/>
      <c r="BK33" s="53"/>
      <c r="BL33" s="53"/>
      <c r="BM33" s="53">
        <f t="shared" si="21"/>
        <v>0</v>
      </c>
      <c r="BN33" s="54" t="s">
        <v>347</v>
      </c>
      <c r="BR33" s="65"/>
      <c r="BS33" s="53"/>
      <c r="BT33" s="53"/>
      <c r="BU33" s="53"/>
      <c r="BV33" s="53"/>
      <c r="BW33" s="53"/>
      <c r="BX33" s="45"/>
      <c r="BY33" s="45"/>
      <c r="BZ33" s="53"/>
      <c r="CA33" s="53"/>
      <c r="CB33" s="53"/>
      <c r="CC33" s="53"/>
      <c r="CD33" s="53"/>
      <c r="CE33" s="53"/>
      <c r="CF33" s="35"/>
      <c r="CH33" s="35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4"/>
    </row>
    <row r="34" spans="1:97" s="55" customFormat="1" ht="12.75" customHeight="1" x14ac:dyDescent="0.2">
      <c r="A34" s="35" t="s">
        <v>49</v>
      </c>
      <c r="B34" s="65"/>
      <c r="C34" s="35" t="s">
        <v>27</v>
      </c>
      <c r="D34" s="44"/>
      <c r="E34" s="53">
        <f t="shared" si="7"/>
        <v>1117943</v>
      </c>
      <c r="F34" s="53"/>
      <c r="G34" s="53">
        <v>3106968</v>
      </c>
      <c r="H34" s="53"/>
      <c r="I34" s="53">
        <v>4224911</v>
      </c>
      <c r="J34" s="53"/>
      <c r="K34" s="53">
        <f t="shared" si="8"/>
        <v>138292</v>
      </c>
      <c r="L34" s="53"/>
      <c r="M34" s="53">
        <v>15451</v>
      </c>
      <c r="N34" s="53"/>
      <c r="O34" s="53">
        <v>153743</v>
      </c>
      <c r="P34" s="53"/>
      <c r="Q34" s="53">
        <v>3106968</v>
      </c>
      <c r="R34" s="53"/>
      <c r="S34" s="53">
        <v>0</v>
      </c>
      <c r="T34" s="53"/>
      <c r="U34" s="53">
        <v>964200</v>
      </c>
      <c r="V34" s="53"/>
      <c r="W34" s="53">
        <f t="shared" si="18"/>
        <v>4071168</v>
      </c>
      <c r="X34" s="53"/>
      <c r="Y34" s="35" t="s">
        <v>49</v>
      </c>
      <c r="AA34" s="35" t="s">
        <v>27</v>
      </c>
      <c r="AB34" s="35"/>
      <c r="AC34" s="53">
        <v>1247253</v>
      </c>
      <c r="AD34" s="53"/>
      <c r="AE34" s="53">
        <f>1931762-474023</f>
        <v>1457739</v>
      </c>
      <c r="AF34" s="53"/>
      <c r="AG34" s="53">
        <v>474023</v>
      </c>
      <c r="AH34" s="53"/>
      <c r="AI34" s="45">
        <f t="shared" si="9"/>
        <v>-684509</v>
      </c>
      <c r="AJ34" s="45"/>
      <c r="AK34" s="53">
        <v>908</v>
      </c>
      <c r="AL34" s="45"/>
      <c r="AM34" s="53">
        <v>0</v>
      </c>
      <c r="AN34" s="53"/>
      <c r="AO34" s="53">
        <v>0</v>
      </c>
      <c r="AP34" s="53"/>
      <c r="AQ34" s="53">
        <v>0</v>
      </c>
      <c r="AR34" s="53"/>
      <c r="AS34" s="45">
        <f t="shared" si="19"/>
        <v>-683601</v>
      </c>
      <c r="AT34" s="45"/>
      <c r="AU34" s="53">
        <v>0</v>
      </c>
      <c r="AV34" s="53"/>
      <c r="AW34" s="53">
        <v>0</v>
      </c>
      <c r="AX34" s="53"/>
      <c r="AY34" s="53">
        <f t="shared" si="20"/>
        <v>979651</v>
      </c>
      <c r="AZ34" s="53"/>
      <c r="BA34" s="35" t="s">
        <v>49</v>
      </c>
      <c r="BC34" s="35" t="s">
        <v>27</v>
      </c>
      <c r="BD34" s="53"/>
      <c r="BE34" s="53">
        <v>0</v>
      </c>
      <c r="BF34" s="53"/>
      <c r="BG34" s="53">
        <v>0</v>
      </c>
      <c r="BH34" s="53"/>
      <c r="BI34" s="53">
        <v>0</v>
      </c>
      <c r="BJ34" s="53"/>
      <c r="BK34" s="53">
        <f>15451+5150</f>
        <v>20601</v>
      </c>
      <c r="BL34" s="53"/>
      <c r="BM34" s="53">
        <f t="shared" si="21"/>
        <v>20601</v>
      </c>
      <c r="BN34" s="54" t="s">
        <v>347</v>
      </c>
      <c r="BR34" s="65"/>
      <c r="BS34" s="53"/>
      <c r="BT34" s="53"/>
      <c r="BU34" s="53"/>
      <c r="BV34" s="53"/>
      <c r="BW34" s="53"/>
      <c r="BX34" s="45"/>
      <c r="BY34" s="45"/>
      <c r="BZ34" s="53"/>
      <c r="CA34" s="53"/>
      <c r="CB34" s="53"/>
      <c r="CC34" s="53"/>
      <c r="CD34" s="53"/>
      <c r="CE34" s="53"/>
      <c r="CF34" s="35"/>
      <c r="CH34" s="35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4"/>
    </row>
    <row r="35" spans="1:97" s="55" customFormat="1" ht="12.75" hidden="1" customHeight="1" x14ac:dyDescent="0.2">
      <c r="A35" s="35" t="s">
        <v>50</v>
      </c>
      <c r="B35" s="65"/>
      <c r="C35" s="35" t="s">
        <v>27</v>
      </c>
      <c r="D35" s="44"/>
      <c r="E35" s="53">
        <f t="shared" si="7"/>
        <v>0</v>
      </c>
      <c r="F35" s="53"/>
      <c r="G35" s="53"/>
      <c r="H35" s="53"/>
      <c r="I35" s="53"/>
      <c r="J35" s="53"/>
      <c r="K35" s="53">
        <f t="shared" si="8"/>
        <v>0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>
        <f t="shared" si="18"/>
        <v>0</v>
      </c>
      <c r="X35" s="53"/>
      <c r="Y35" s="35" t="s">
        <v>50</v>
      </c>
      <c r="AA35" s="35" t="s">
        <v>27</v>
      </c>
      <c r="AB35" s="35"/>
      <c r="AC35" s="53"/>
      <c r="AD35" s="53"/>
      <c r="AE35" s="53"/>
      <c r="AF35" s="53"/>
      <c r="AG35" s="53"/>
      <c r="AH35" s="53"/>
      <c r="AI35" s="45">
        <f t="shared" si="9"/>
        <v>0</v>
      </c>
      <c r="AJ35" s="45"/>
      <c r="AK35" s="53"/>
      <c r="AL35" s="45"/>
      <c r="AM35" s="53"/>
      <c r="AN35" s="53"/>
      <c r="AO35" s="53"/>
      <c r="AP35" s="53"/>
      <c r="AQ35" s="53"/>
      <c r="AR35" s="53"/>
      <c r="AS35" s="45">
        <f t="shared" si="19"/>
        <v>0</v>
      </c>
      <c r="AT35" s="45"/>
      <c r="AU35" s="53">
        <v>0</v>
      </c>
      <c r="AV35" s="53"/>
      <c r="AW35" s="53">
        <v>0</v>
      </c>
      <c r="AX35" s="53"/>
      <c r="AY35" s="53">
        <f t="shared" si="20"/>
        <v>0</v>
      </c>
      <c r="AZ35" s="53"/>
      <c r="BA35" s="35" t="s">
        <v>50</v>
      </c>
      <c r="BC35" s="35" t="s">
        <v>27</v>
      </c>
      <c r="BD35" s="53"/>
      <c r="BE35" s="53"/>
      <c r="BF35" s="53"/>
      <c r="BG35" s="53"/>
      <c r="BH35" s="53"/>
      <c r="BI35" s="53"/>
      <c r="BJ35" s="53"/>
      <c r="BK35" s="53"/>
      <c r="BL35" s="53"/>
      <c r="BM35" s="53">
        <f t="shared" si="21"/>
        <v>0</v>
      </c>
      <c r="BN35" s="54" t="s">
        <v>347</v>
      </c>
      <c r="BR35" s="65"/>
      <c r="BS35" s="53"/>
      <c r="BT35" s="53"/>
      <c r="BU35" s="53"/>
      <c r="BV35" s="53"/>
      <c r="BW35" s="53"/>
      <c r="BX35" s="45"/>
      <c r="BY35" s="45"/>
      <c r="BZ35" s="53"/>
      <c r="CA35" s="53"/>
      <c r="CB35" s="53"/>
      <c r="CC35" s="53"/>
      <c r="CD35" s="53"/>
      <c r="CE35" s="53"/>
      <c r="CF35" s="35"/>
      <c r="CH35" s="35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4"/>
    </row>
    <row r="36" spans="1:97" s="55" customFormat="1" ht="12.75" hidden="1" customHeight="1" x14ac:dyDescent="0.2">
      <c r="A36" s="35" t="s">
        <v>51</v>
      </c>
      <c r="B36" s="65"/>
      <c r="C36" s="35" t="s">
        <v>27</v>
      </c>
      <c r="D36" s="44"/>
      <c r="E36" s="53">
        <f t="shared" si="7"/>
        <v>0</v>
      </c>
      <c r="F36" s="53"/>
      <c r="G36" s="53"/>
      <c r="H36" s="53"/>
      <c r="I36" s="53"/>
      <c r="J36" s="53"/>
      <c r="K36" s="53">
        <f t="shared" si="8"/>
        <v>0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>
        <f t="shared" si="18"/>
        <v>0</v>
      </c>
      <c r="X36" s="53"/>
      <c r="Y36" s="35" t="s">
        <v>51</v>
      </c>
      <c r="AA36" s="35" t="s">
        <v>27</v>
      </c>
      <c r="AB36" s="35"/>
      <c r="AC36" s="53"/>
      <c r="AD36" s="53"/>
      <c r="AE36" s="53"/>
      <c r="AF36" s="53"/>
      <c r="AG36" s="53"/>
      <c r="AH36" s="53"/>
      <c r="AI36" s="45">
        <f t="shared" si="9"/>
        <v>0</v>
      </c>
      <c r="AJ36" s="45"/>
      <c r="AK36" s="53"/>
      <c r="AL36" s="45"/>
      <c r="AM36" s="53"/>
      <c r="AN36" s="53"/>
      <c r="AO36" s="53"/>
      <c r="AP36" s="53"/>
      <c r="AQ36" s="53"/>
      <c r="AR36" s="53"/>
      <c r="AS36" s="45">
        <f t="shared" si="19"/>
        <v>0</v>
      </c>
      <c r="AT36" s="45"/>
      <c r="AU36" s="53">
        <v>0</v>
      </c>
      <c r="AV36" s="53"/>
      <c r="AW36" s="53">
        <v>0</v>
      </c>
      <c r="AX36" s="53"/>
      <c r="AY36" s="53">
        <f t="shared" si="20"/>
        <v>0</v>
      </c>
      <c r="AZ36" s="53"/>
      <c r="BA36" s="35" t="s">
        <v>51</v>
      </c>
      <c r="BC36" s="35" t="s">
        <v>27</v>
      </c>
      <c r="BD36" s="53"/>
      <c r="BE36" s="53"/>
      <c r="BF36" s="53"/>
      <c r="BG36" s="53"/>
      <c r="BH36" s="53"/>
      <c r="BI36" s="53"/>
      <c r="BJ36" s="53"/>
      <c r="BK36" s="53"/>
      <c r="BL36" s="53"/>
      <c r="BM36" s="53">
        <f t="shared" si="21"/>
        <v>0</v>
      </c>
      <c r="BN36" s="54" t="s">
        <v>347</v>
      </c>
      <c r="BO36" s="55" t="s">
        <v>404</v>
      </c>
      <c r="BR36" s="65"/>
      <c r="BS36" s="53"/>
      <c r="BT36" s="53"/>
      <c r="BU36" s="53"/>
      <c r="BV36" s="53"/>
      <c r="BW36" s="53"/>
      <c r="BX36" s="45"/>
      <c r="BY36" s="45"/>
      <c r="BZ36" s="53"/>
      <c r="CA36" s="53"/>
      <c r="CB36" s="53"/>
      <c r="CC36" s="53"/>
      <c r="CD36" s="53"/>
      <c r="CE36" s="53"/>
      <c r="CF36" s="35"/>
      <c r="CH36" s="35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4"/>
    </row>
    <row r="37" spans="1:97" s="55" customFormat="1" ht="12.75" customHeight="1" x14ac:dyDescent="0.2">
      <c r="A37" s="35" t="s">
        <v>462</v>
      </c>
      <c r="B37" s="65"/>
      <c r="C37" s="35" t="s">
        <v>66</v>
      </c>
      <c r="D37" s="44"/>
      <c r="E37" s="53">
        <f t="shared" si="7"/>
        <v>288684</v>
      </c>
      <c r="F37" s="53"/>
      <c r="G37" s="53">
        <v>2672615</v>
      </c>
      <c r="H37" s="53"/>
      <c r="I37" s="53">
        <v>2961299</v>
      </c>
      <c r="J37" s="53"/>
      <c r="K37" s="53">
        <f t="shared" si="8"/>
        <v>98645</v>
      </c>
      <c r="L37" s="53"/>
      <c r="M37" s="53">
        <v>240380</v>
      </c>
      <c r="N37" s="53"/>
      <c r="O37" s="53">
        <v>339025</v>
      </c>
      <c r="P37" s="53"/>
      <c r="Q37" s="53">
        <v>2392606</v>
      </c>
      <c r="R37" s="53"/>
      <c r="S37" s="53">
        <v>0</v>
      </c>
      <c r="T37" s="53"/>
      <c r="U37" s="53">
        <v>229668</v>
      </c>
      <c r="V37" s="53"/>
      <c r="W37" s="53">
        <f t="shared" si="18"/>
        <v>2622274</v>
      </c>
      <c r="X37" s="53"/>
      <c r="Y37" s="35" t="s">
        <v>462</v>
      </c>
      <c r="AA37" s="35" t="s">
        <v>66</v>
      </c>
      <c r="AB37" s="35"/>
      <c r="AC37" s="53">
        <v>480229</v>
      </c>
      <c r="AD37" s="53"/>
      <c r="AE37" s="53">
        <f>677110-353661</f>
        <v>323449</v>
      </c>
      <c r="AF37" s="53"/>
      <c r="AG37" s="53">
        <v>353661</v>
      </c>
      <c r="AH37" s="53"/>
      <c r="AI37" s="45">
        <f t="shared" si="9"/>
        <v>-196881</v>
      </c>
      <c r="AJ37" s="45"/>
      <c r="AK37" s="53">
        <v>0</v>
      </c>
      <c r="AL37" s="45"/>
      <c r="AM37" s="53">
        <v>0</v>
      </c>
      <c r="AN37" s="53"/>
      <c r="AO37" s="53">
        <v>0</v>
      </c>
      <c r="AP37" s="53"/>
      <c r="AQ37" s="53">
        <v>103013</v>
      </c>
      <c r="AR37" s="53"/>
      <c r="AS37" s="45">
        <f t="shared" si="19"/>
        <v>-93868</v>
      </c>
      <c r="AT37" s="45"/>
      <c r="AU37" s="53">
        <v>0</v>
      </c>
      <c r="AV37" s="53"/>
      <c r="AW37" s="53">
        <v>0</v>
      </c>
      <c r="AX37" s="53"/>
      <c r="AY37" s="53">
        <f t="shared" si="20"/>
        <v>190039</v>
      </c>
      <c r="AZ37" s="53"/>
      <c r="BA37" s="35" t="s">
        <v>462</v>
      </c>
      <c r="BC37" s="35" t="s">
        <v>66</v>
      </c>
      <c r="BD37" s="53"/>
      <c r="BE37" s="53">
        <v>0</v>
      </c>
      <c r="BF37" s="53"/>
      <c r="BG37" s="53">
        <v>0</v>
      </c>
      <c r="BH37" s="53"/>
      <c r="BI37" s="53">
        <f>234816+45193</f>
        <v>280009</v>
      </c>
      <c r="BJ37" s="53"/>
      <c r="BK37" s="53">
        <f>5564+7469</f>
        <v>13033</v>
      </c>
      <c r="BL37" s="53"/>
      <c r="BM37" s="53">
        <f t="shared" si="21"/>
        <v>293042</v>
      </c>
      <c r="BN37" s="53">
        <f>SUM(BF37:BL37)</f>
        <v>293042</v>
      </c>
      <c r="BR37" s="65"/>
      <c r="BS37" s="53"/>
      <c r="BT37" s="53"/>
      <c r="BU37" s="53"/>
      <c r="BV37" s="53"/>
      <c r="BW37" s="53"/>
      <c r="BX37" s="45"/>
      <c r="BY37" s="45"/>
      <c r="BZ37" s="53"/>
      <c r="CA37" s="53"/>
      <c r="CB37" s="53"/>
      <c r="CC37" s="53"/>
      <c r="CD37" s="53"/>
      <c r="CE37" s="53"/>
      <c r="CF37" s="35"/>
      <c r="CH37" s="35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4"/>
    </row>
    <row r="38" spans="1:97" s="55" customFormat="1" ht="12.75" hidden="1" customHeight="1" x14ac:dyDescent="0.2">
      <c r="A38" s="35" t="s">
        <v>52</v>
      </c>
      <c r="B38" s="65"/>
      <c r="C38" s="35" t="s">
        <v>53</v>
      </c>
      <c r="D38" s="44"/>
      <c r="E38" s="53">
        <f t="shared" si="7"/>
        <v>0</v>
      </c>
      <c r="F38" s="53"/>
      <c r="G38" s="53"/>
      <c r="H38" s="53"/>
      <c r="I38" s="53"/>
      <c r="J38" s="53"/>
      <c r="K38" s="53">
        <f t="shared" si="8"/>
        <v>0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>
        <f t="shared" si="18"/>
        <v>0</v>
      </c>
      <c r="X38" s="53"/>
      <c r="Y38" s="35" t="s">
        <v>52</v>
      </c>
      <c r="AA38" s="35" t="s">
        <v>53</v>
      </c>
      <c r="AB38" s="35"/>
      <c r="AC38" s="53"/>
      <c r="AD38" s="53"/>
      <c r="AE38" s="53"/>
      <c r="AF38" s="53"/>
      <c r="AG38" s="53"/>
      <c r="AH38" s="53"/>
      <c r="AI38" s="45">
        <f t="shared" si="9"/>
        <v>0</v>
      </c>
      <c r="AJ38" s="45"/>
      <c r="AK38" s="53"/>
      <c r="AL38" s="45"/>
      <c r="AM38" s="53"/>
      <c r="AN38" s="53"/>
      <c r="AO38" s="53"/>
      <c r="AP38" s="53"/>
      <c r="AQ38" s="53"/>
      <c r="AR38" s="53"/>
      <c r="AS38" s="45">
        <f t="shared" si="19"/>
        <v>0</v>
      </c>
      <c r="AT38" s="45"/>
      <c r="AU38" s="53">
        <v>0</v>
      </c>
      <c r="AV38" s="53"/>
      <c r="AW38" s="53">
        <v>0</v>
      </c>
      <c r="AX38" s="53"/>
      <c r="AY38" s="53">
        <f t="shared" si="20"/>
        <v>0</v>
      </c>
      <c r="AZ38" s="53"/>
      <c r="BA38" s="35" t="s">
        <v>52</v>
      </c>
      <c r="BC38" s="35" t="s">
        <v>53</v>
      </c>
      <c r="BD38" s="53"/>
      <c r="BE38" s="53"/>
      <c r="BF38" s="53"/>
      <c r="BG38" s="53"/>
      <c r="BH38" s="53"/>
      <c r="BI38" s="53"/>
      <c r="BJ38" s="53"/>
      <c r="BK38" s="53"/>
      <c r="BL38" s="53"/>
      <c r="BM38" s="53">
        <f t="shared" si="21"/>
        <v>0</v>
      </c>
      <c r="BN38" s="54" t="s">
        <v>347</v>
      </c>
      <c r="BR38" s="65"/>
      <c r="BS38" s="53"/>
      <c r="BT38" s="53"/>
      <c r="BU38" s="53"/>
      <c r="BV38" s="53"/>
      <c r="BW38" s="53"/>
      <c r="BX38" s="45"/>
      <c r="BY38" s="45"/>
      <c r="BZ38" s="53"/>
      <c r="CA38" s="53"/>
      <c r="CB38" s="53"/>
      <c r="CC38" s="53"/>
      <c r="CD38" s="53"/>
      <c r="CE38" s="53"/>
      <c r="CF38" s="35"/>
      <c r="CH38" s="35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4"/>
    </row>
    <row r="39" spans="1:97" s="55" customFormat="1" ht="12.75" customHeight="1" x14ac:dyDescent="0.2">
      <c r="A39" s="35" t="s">
        <v>54</v>
      </c>
      <c r="B39" s="65"/>
      <c r="C39" s="35" t="s">
        <v>55</v>
      </c>
      <c r="D39" s="44"/>
      <c r="E39" s="53">
        <f t="shared" si="7"/>
        <v>862822</v>
      </c>
      <c r="F39" s="53"/>
      <c r="G39" s="53">
        <v>12706032</v>
      </c>
      <c r="H39" s="53"/>
      <c r="I39" s="53">
        <v>13568854</v>
      </c>
      <c r="J39" s="53"/>
      <c r="K39" s="53">
        <f t="shared" si="8"/>
        <v>168473</v>
      </c>
      <c r="L39" s="53"/>
      <c r="M39" s="53">
        <v>323436</v>
      </c>
      <c r="N39" s="53"/>
      <c r="O39" s="53">
        <v>491909</v>
      </c>
      <c r="P39" s="53"/>
      <c r="Q39" s="53">
        <v>12335881</v>
      </c>
      <c r="R39" s="53"/>
      <c r="S39" s="53">
        <v>0</v>
      </c>
      <c r="T39" s="53"/>
      <c r="U39" s="53">
        <v>741064</v>
      </c>
      <c r="V39" s="53"/>
      <c r="W39" s="53">
        <f t="shared" si="18"/>
        <v>13076945</v>
      </c>
      <c r="X39" s="53"/>
      <c r="Y39" s="35" t="s">
        <v>54</v>
      </c>
      <c r="AA39" s="35" t="s">
        <v>55</v>
      </c>
      <c r="AB39" s="35"/>
      <c r="AC39" s="53">
        <v>1057497</v>
      </c>
      <c r="AD39" s="53"/>
      <c r="AE39" s="53">
        <f>1231147-523489</f>
        <v>707658</v>
      </c>
      <c r="AF39" s="53"/>
      <c r="AG39" s="53">
        <v>523489</v>
      </c>
      <c r="AH39" s="53"/>
      <c r="AI39" s="45">
        <f t="shared" si="9"/>
        <v>-173650</v>
      </c>
      <c r="AJ39" s="45"/>
      <c r="AK39" s="53">
        <v>-4554</v>
      </c>
      <c r="AL39" s="45"/>
      <c r="AM39" s="53">
        <v>300117</v>
      </c>
      <c r="AN39" s="53"/>
      <c r="AO39" s="53">
        <v>0</v>
      </c>
      <c r="AP39" s="53"/>
      <c r="AQ39" s="53">
        <v>0</v>
      </c>
      <c r="AR39" s="53"/>
      <c r="AS39" s="45">
        <f t="shared" si="19"/>
        <v>121913</v>
      </c>
      <c r="AT39" s="45"/>
      <c r="AU39" s="53">
        <v>0</v>
      </c>
      <c r="AV39" s="53"/>
      <c r="AW39" s="53">
        <v>0</v>
      </c>
      <c r="AX39" s="53"/>
      <c r="AY39" s="53">
        <f t="shared" si="20"/>
        <v>694349</v>
      </c>
      <c r="AZ39" s="53"/>
      <c r="BA39" s="35" t="s">
        <v>54</v>
      </c>
      <c r="BC39" s="35" t="s">
        <v>55</v>
      </c>
      <c r="BD39" s="53"/>
      <c r="BE39" s="53">
        <v>0</v>
      </c>
      <c r="BF39" s="53"/>
      <c r="BG39" s="53">
        <v>0</v>
      </c>
      <c r="BH39" s="53"/>
      <c r="BI39" s="53">
        <f>247751+122400</f>
        <v>370151</v>
      </c>
      <c r="BJ39" s="53"/>
      <c r="BK39" s="53">
        <f>19951+75685</f>
        <v>95636</v>
      </c>
      <c r="BL39" s="53"/>
      <c r="BM39" s="53">
        <f t="shared" si="21"/>
        <v>465787</v>
      </c>
      <c r="BN39" s="54" t="s">
        <v>347</v>
      </c>
      <c r="BR39" s="65"/>
      <c r="BS39" s="53"/>
      <c r="BT39" s="53"/>
      <c r="BU39" s="53"/>
      <c r="BV39" s="53"/>
      <c r="BW39" s="53"/>
      <c r="BX39" s="45"/>
      <c r="BY39" s="45"/>
      <c r="BZ39" s="53"/>
      <c r="CA39" s="53"/>
      <c r="CB39" s="53"/>
      <c r="CC39" s="53"/>
      <c r="CD39" s="53"/>
      <c r="CE39" s="53"/>
      <c r="CF39" s="35"/>
      <c r="CH39" s="35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4"/>
    </row>
    <row r="40" spans="1:97" s="55" customFormat="1" ht="12.75" customHeight="1" x14ac:dyDescent="0.2">
      <c r="A40" s="35" t="s">
        <v>56</v>
      </c>
      <c r="B40" s="65"/>
      <c r="C40" s="35" t="s">
        <v>57</v>
      </c>
      <c r="D40" s="44"/>
      <c r="E40" s="53">
        <f t="shared" si="7"/>
        <v>701129</v>
      </c>
      <c r="F40" s="53"/>
      <c r="G40" s="53">
        <v>4957743</v>
      </c>
      <c r="H40" s="53"/>
      <c r="I40" s="53">
        <v>5658872</v>
      </c>
      <c r="J40" s="53"/>
      <c r="K40" s="53">
        <f t="shared" si="8"/>
        <v>685135</v>
      </c>
      <c r="L40" s="53"/>
      <c r="M40" s="53">
        <v>2906909</v>
      </c>
      <c r="N40" s="53"/>
      <c r="O40" s="53">
        <v>3592044</v>
      </c>
      <c r="P40" s="53"/>
      <c r="Q40" s="53">
        <v>1557895</v>
      </c>
      <c r="R40" s="53"/>
      <c r="S40" s="53">
        <v>0</v>
      </c>
      <c r="T40" s="53"/>
      <c r="U40" s="53">
        <v>508933</v>
      </c>
      <c r="V40" s="53"/>
      <c r="W40" s="53">
        <f t="shared" si="18"/>
        <v>2066828</v>
      </c>
      <c r="X40" s="53"/>
      <c r="Y40" s="35" t="s">
        <v>56</v>
      </c>
      <c r="AA40" s="35" t="s">
        <v>57</v>
      </c>
      <c r="AB40" s="35"/>
      <c r="AC40" s="53">
        <v>1945717</v>
      </c>
      <c r="AD40" s="53"/>
      <c r="AE40" s="53">
        <f>1455846-412644</f>
        <v>1043202</v>
      </c>
      <c r="AF40" s="53"/>
      <c r="AG40" s="53">
        <v>412644</v>
      </c>
      <c r="AH40" s="53"/>
      <c r="AI40" s="45">
        <f t="shared" si="9"/>
        <v>489871</v>
      </c>
      <c r="AJ40" s="45"/>
      <c r="AK40" s="53">
        <v>-247632</v>
      </c>
      <c r="AL40" s="45"/>
      <c r="AM40" s="53">
        <v>0</v>
      </c>
      <c r="AN40" s="53"/>
      <c r="AO40" s="53">
        <v>3000</v>
      </c>
      <c r="AP40" s="53"/>
      <c r="AQ40" s="53">
        <v>40625</v>
      </c>
      <c r="AR40" s="53"/>
      <c r="AS40" s="45">
        <f t="shared" si="19"/>
        <v>279864</v>
      </c>
      <c r="AT40" s="45"/>
      <c r="AU40" s="53">
        <v>0</v>
      </c>
      <c r="AV40" s="53"/>
      <c r="AW40" s="53">
        <v>0</v>
      </c>
      <c r="AX40" s="53"/>
      <c r="AY40" s="53">
        <f t="shared" si="20"/>
        <v>15994</v>
      </c>
      <c r="AZ40" s="53"/>
      <c r="BA40" s="35" t="s">
        <v>56</v>
      </c>
      <c r="BC40" s="35" t="s">
        <v>57</v>
      </c>
      <c r="BD40" s="53"/>
      <c r="BE40" s="53">
        <v>228528</v>
      </c>
      <c r="BF40" s="53"/>
      <c r="BG40" s="53">
        <v>0</v>
      </c>
      <c r="BH40" s="53"/>
      <c r="BI40" s="53">
        <f>2872394+298926</f>
        <v>3171320</v>
      </c>
      <c r="BJ40" s="53"/>
      <c r="BK40" s="53">
        <f>34515+16976</f>
        <v>51491</v>
      </c>
      <c r="BL40" s="53"/>
      <c r="BM40" s="53">
        <f t="shared" si="21"/>
        <v>3451339</v>
      </c>
      <c r="BN40" s="54" t="s">
        <v>347</v>
      </c>
      <c r="BO40" s="55" t="s">
        <v>404</v>
      </c>
      <c r="BR40" s="65"/>
      <c r="BS40" s="53"/>
      <c r="BT40" s="53"/>
      <c r="BU40" s="53"/>
      <c r="BV40" s="53"/>
      <c r="BW40" s="53"/>
      <c r="BX40" s="45"/>
      <c r="BY40" s="45"/>
      <c r="BZ40" s="53"/>
      <c r="CA40" s="53"/>
      <c r="CB40" s="53"/>
      <c r="CC40" s="53"/>
      <c r="CD40" s="53"/>
      <c r="CE40" s="53"/>
      <c r="CF40" s="35"/>
      <c r="CH40" s="35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4"/>
    </row>
    <row r="41" spans="1:97" s="55" customFormat="1" ht="12.75" customHeight="1" x14ac:dyDescent="0.2">
      <c r="A41" s="35" t="s">
        <v>58</v>
      </c>
      <c r="B41" s="65"/>
      <c r="C41" s="35" t="s">
        <v>59</v>
      </c>
      <c r="D41" s="44"/>
      <c r="E41" s="53">
        <f t="shared" si="7"/>
        <v>3784825</v>
      </c>
      <c r="F41" s="53"/>
      <c r="G41" s="53">
        <v>10652510</v>
      </c>
      <c r="H41" s="53"/>
      <c r="I41" s="53">
        <v>14437335</v>
      </c>
      <c r="J41" s="53"/>
      <c r="K41" s="53">
        <f t="shared" si="8"/>
        <v>287579</v>
      </c>
      <c r="L41" s="53"/>
      <c r="M41" s="53">
        <v>282787</v>
      </c>
      <c r="N41" s="53"/>
      <c r="O41" s="53">
        <v>570366</v>
      </c>
      <c r="P41" s="53"/>
      <c r="Q41" s="53">
        <v>10272951</v>
      </c>
      <c r="R41" s="53"/>
      <c r="S41" s="53">
        <v>0</v>
      </c>
      <c r="T41" s="53"/>
      <c r="U41" s="53">
        <v>3594018</v>
      </c>
      <c r="V41" s="53"/>
      <c r="W41" s="53">
        <f t="shared" si="18"/>
        <v>13866969</v>
      </c>
      <c r="X41" s="53"/>
      <c r="Y41" s="35" t="s">
        <v>58</v>
      </c>
      <c r="AA41" s="35" t="s">
        <v>59</v>
      </c>
      <c r="AB41" s="35"/>
      <c r="AC41" s="53">
        <v>2990863</v>
      </c>
      <c r="AD41" s="53"/>
      <c r="AE41" s="53">
        <f>2266868-380790</f>
        <v>1886078</v>
      </c>
      <c r="AF41" s="53"/>
      <c r="AG41" s="53">
        <v>380790</v>
      </c>
      <c r="AH41" s="53"/>
      <c r="AI41" s="45">
        <f t="shared" si="9"/>
        <v>723995</v>
      </c>
      <c r="AJ41" s="45"/>
      <c r="AK41" s="53">
        <v>285595</v>
      </c>
      <c r="AL41" s="45"/>
      <c r="AM41" s="53">
        <v>0</v>
      </c>
      <c r="AN41" s="53"/>
      <c r="AO41" s="53">
        <v>0</v>
      </c>
      <c r="AP41" s="53"/>
      <c r="AQ41" s="53">
        <v>0</v>
      </c>
      <c r="AR41" s="53"/>
      <c r="AS41" s="45">
        <f t="shared" si="19"/>
        <v>1009590</v>
      </c>
      <c r="AT41" s="45"/>
      <c r="AU41" s="53">
        <v>0</v>
      </c>
      <c r="AV41" s="53"/>
      <c r="AW41" s="53">
        <v>0</v>
      </c>
      <c r="AX41" s="53"/>
      <c r="AY41" s="53">
        <f>+E41-K41</f>
        <v>3497246</v>
      </c>
      <c r="AZ41" s="53"/>
      <c r="BA41" s="35" t="s">
        <v>58</v>
      </c>
      <c r="BC41" s="35" t="s">
        <v>59</v>
      </c>
      <c r="BD41" s="53"/>
      <c r="BE41" s="53">
        <v>0</v>
      </c>
      <c r="BF41" s="53"/>
      <c r="BG41" s="53">
        <v>0</v>
      </c>
      <c r="BH41" s="53"/>
      <c r="BI41" s="53">
        <v>368671</v>
      </c>
      <c r="BJ41" s="53"/>
      <c r="BK41" s="53">
        <v>60126</v>
      </c>
      <c r="BL41" s="53"/>
      <c r="BM41" s="53">
        <f t="shared" si="21"/>
        <v>428797</v>
      </c>
      <c r="BN41" s="54" t="s">
        <v>347</v>
      </c>
      <c r="BR41" s="65"/>
      <c r="BS41" s="53"/>
      <c r="BT41" s="53"/>
      <c r="BU41" s="53"/>
      <c r="BV41" s="53"/>
      <c r="BW41" s="53"/>
      <c r="BX41" s="45"/>
      <c r="BY41" s="45"/>
      <c r="BZ41" s="53"/>
      <c r="CA41" s="53"/>
      <c r="CB41" s="53"/>
      <c r="CC41" s="53"/>
      <c r="CD41" s="53"/>
      <c r="CE41" s="53"/>
      <c r="CF41" s="35"/>
      <c r="CH41" s="35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4"/>
    </row>
    <row r="42" spans="1:97" s="55" customFormat="1" ht="12.75" customHeight="1" x14ac:dyDescent="0.2">
      <c r="A42" s="44" t="s">
        <v>476</v>
      </c>
      <c r="B42" s="65"/>
      <c r="C42" s="35" t="s">
        <v>15</v>
      </c>
      <c r="D42" s="44"/>
      <c r="E42" s="53">
        <f t="shared" si="7"/>
        <v>724910</v>
      </c>
      <c r="F42" s="53"/>
      <c r="G42" s="53">
        <v>4202040</v>
      </c>
      <c r="H42" s="53"/>
      <c r="I42" s="53">
        <v>4926950</v>
      </c>
      <c r="J42" s="53"/>
      <c r="K42" s="53">
        <f t="shared" si="8"/>
        <v>65686</v>
      </c>
      <c r="L42" s="53"/>
      <c r="M42" s="53">
        <v>526527</v>
      </c>
      <c r="N42" s="53"/>
      <c r="O42" s="53">
        <v>592213</v>
      </c>
      <c r="P42" s="53"/>
      <c r="Q42" s="53">
        <v>3661741</v>
      </c>
      <c r="R42" s="53"/>
      <c r="S42" s="53">
        <v>0</v>
      </c>
      <c r="T42" s="53"/>
      <c r="U42" s="53">
        <v>672996</v>
      </c>
      <c r="V42" s="53"/>
      <c r="W42" s="53">
        <f t="shared" ref="W42:W51" si="22">SUM(Q42:U42)</f>
        <v>4334737</v>
      </c>
      <c r="X42" s="53"/>
      <c r="Y42" s="44" t="s">
        <v>476</v>
      </c>
      <c r="AA42" s="35" t="s">
        <v>15</v>
      </c>
      <c r="AB42" s="35"/>
      <c r="AC42" s="53">
        <v>736379</v>
      </c>
      <c r="AD42" s="53"/>
      <c r="AE42" s="53">
        <f>771406-145277</f>
        <v>626129</v>
      </c>
      <c r="AF42" s="53"/>
      <c r="AG42" s="53">
        <v>145277</v>
      </c>
      <c r="AH42" s="53"/>
      <c r="AI42" s="45">
        <f t="shared" si="9"/>
        <v>-35027</v>
      </c>
      <c r="AJ42" s="45"/>
      <c r="AK42" s="53">
        <v>-85194</v>
      </c>
      <c r="AL42" s="45"/>
      <c r="AM42" s="53">
        <v>0</v>
      </c>
      <c r="AN42" s="53"/>
      <c r="AO42" s="53">
        <v>0</v>
      </c>
      <c r="AP42" s="53"/>
      <c r="AQ42" s="53">
        <v>32654</v>
      </c>
      <c r="AR42" s="53"/>
      <c r="AS42" s="45">
        <f t="shared" si="19"/>
        <v>-87567</v>
      </c>
      <c r="AT42" s="45"/>
      <c r="AU42" s="53">
        <v>0</v>
      </c>
      <c r="AV42" s="53"/>
      <c r="AW42" s="53">
        <v>0</v>
      </c>
      <c r="AX42" s="53"/>
      <c r="AY42" s="53">
        <f t="shared" si="20"/>
        <v>659224</v>
      </c>
      <c r="AZ42" s="53"/>
      <c r="BA42" s="44" t="s">
        <v>476</v>
      </c>
      <c r="BC42" s="35" t="s">
        <v>15</v>
      </c>
      <c r="BD42" s="53"/>
      <c r="BE42" s="53">
        <v>0</v>
      </c>
      <c r="BF42" s="53"/>
      <c r="BG42" s="53">
        <v>0</v>
      </c>
      <c r="BH42" s="53"/>
      <c r="BI42" s="53">
        <f>496756+43543</f>
        <v>540299</v>
      </c>
      <c r="BJ42" s="53"/>
      <c r="BK42" s="53">
        <v>29771</v>
      </c>
      <c r="BL42" s="53"/>
      <c r="BM42" s="53">
        <f t="shared" si="21"/>
        <v>570070</v>
      </c>
      <c r="BN42" s="54" t="s">
        <v>347</v>
      </c>
      <c r="BR42" s="65"/>
      <c r="BS42" s="53"/>
      <c r="BT42" s="53"/>
      <c r="BU42" s="53"/>
      <c r="BV42" s="53"/>
      <c r="BW42" s="45"/>
      <c r="BX42" s="45"/>
      <c r="BY42" s="53"/>
      <c r="BZ42" s="53"/>
      <c r="CA42" s="53"/>
      <c r="CB42" s="53"/>
      <c r="CC42" s="53"/>
      <c r="CD42" s="53"/>
      <c r="CE42" s="53"/>
      <c r="CF42" s="35"/>
      <c r="CH42" s="35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4"/>
    </row>
    <row r="43" spans="1:97" s="55" customFormat="1" ht="12.75" customHeight="1" x14ac:dyDescent="0.2">
      <c r="A43" s="44" t="s">
        <v>504</v>
      </c>
      <c r="B43" s="47"/>
      <c r="C43" s="44" t="s">
        <v>43</v>
      </c>
      <c r="D43" s="44"/>
      <c r="E43" s="53">
        <f t="shared" ref="E43" si="23">I43-G43</f>
        <v>4485687</v>
      </c>
      <c r="F43" s="53"/>
      <c r="G43" s="53">
        <v>7034107</v>
      </c>
      <c r="H43" s="53"/>
      <c r="I43" s="53">
        <v>11519794</v>
      </c>
      <c r="J43" s="53"/>
      <c r="K43" s="53">
        <f t="shared" ref="K43" si="24">O43-M43</f>
        <v>396889</v>
      </c>
      <c r="L43" s="53"/>
      <c r="M43" s="53">
        <v>5183095</v>
      </c>
      <c r="N43" s="53"/>
      <c r="O43" s="53">
        <v>5579984</v>
      </c>
      <c r="P43" s="53"/>
      <c r="Q43" s="53">
        <v>1653991</v>
      </c>
      <c r="R43" s="53"/>
      <c r="S43" s="53">
        <v>0</v>
      </c>
      <c r="T43" s="53"/>
      <c r="U43" s="53">
        <v>4285819</v>
      </c>
      <c r="V43" s="53"/>
      <c r="W43" s="53">
        <f>SUM(Q43:U43)</f>
        <v>5939810</v>
      </c>
      <c r="X43" s="53"/>
      <c r="Y43" s="44" t="s">
        <v>504</v>
      </c>
      <c r="Z43" s="47"/>
      <c r="AA43" s="44" t="s">
        <v>43</v>
      </c>
      <c r="AB43" s="35"/>
      <c r="AC43" s="53">
        <v>1641377</v>
      </c>
      <c r="AD43" s="53"/>
      <c r="AE43" s="53">
        <f>974834-173899</f>
        <v>800935</v>
      </c>
      <c r="AF43" s="53"/>
      <c r="AG43" s="53">
        <v>173899</v>
      </c>
      <c r="AH43" s="53"/>
      <c r="AI43" s="45">
        <f t="shared" si="9"/>
        <v>666543</v>
      </c>
      <c r="AJ43" s="45"/>
      <c r="AK43" s="53">
        <v>-191573</v>
      </c>
      <c r="AL43" s="45"/>
      <c r="AM43" s="53">
        <v>1355</v>
      </c>
      <c r="AN43" s="53"/>
      <c r="AO43" s="53">
        <v>0</v>
      </c>
      <c r="AP43" s="53"/>
      <c r="AQ43" s="53">
        <v>0</v>
      </c>
      <c r="AR43" s="53"/>
      <c r="AS43" s="45">
        <f t="shared" ref="AS43" si="25">+AI43+AK43+AM43-AO43+AQ43</f>
        <v>476325</v>
      </c>
      <c r="AT43" s="45"/>
      <c r="AU43" s="53">
        <v>0</v>
      </c>
      <c r="AV43" s="53"/>
      <c r="AW43" s="53">
        <v>0</v>
      </c>
      <c r="AX43" s="53"/>
      <c r="AY43" s="53">
        <f>+E43-K43</f>
        <v>4088798</v>
      </c>
      <c r="AZ43" s="53"/>
      <c r="BA43" s="44" t="s">
        <v>504</v>
      </c>
      <c r="BB43" s="47"/>
      <c r="BC43" s="44" t="s">
        <v>43</v>
      </c>
      <c r="BD43" s="53"/>
      <c r="BE43" s="53">
        <v>0</v>
      </c>
      <c r="BF43" s="53"/>
      <c r="BG43" s="53">
        <f>250000+3845000</f>
        <v>4095000</v>
      </c>
      <c r="BH43" s="53"/>
      <c r="BI43" s="53">
        <f>46649+9932+1090292+138243</f>
        <v>1285116</v>
      </c>
      <c r="BJ43" s="53"/>
      <c r="BK43" s="53">
        <f>22845+109560</f>
        <v>132405</v>
      </c>
      <c r="BL43" s="53"/>
      <c r="BM43" s="53">
        <f t="shared" ref="BM43:BM44" si="26">SUM(BE43:BK43)</f>
        <v>5512521</v>
      </c>
      <c r="BN43" s="54"/>
      <c r="BR43" s="65"/>
      <c r="BS43" s="53"/>
      <c r="BT43" s="53"/>
      <c r="BU43" s="53"/>
      <c r="BV43" s="53"/>
      <c r="BW43" s="45"/>
      <c r="BX43" s="45"/>
      <c r="BY43" s="53"/>
      <c r="BZ43" s="53"/>
      <c r="CA43" s="53"/>
      <c r="CB43" s="53"/>
      <c r="CC43" s="53"/>
      <c r="CD43" s="53"/>
      <c r="CE43" s="53"/>
      <c r="CF43" s="35"/>
      <c r="CH43" s="35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4"/>
    </row>
    <row r="44" spans="1:97" s="55" customFormat="1" ht="12.75" customHeight="1" x14ac:dyDescent="0.2">
      <c r="A44" s="35" t="s">
        <v>60</v>
      </c>
      <c r="C44" s="35" t="s">
        <v>61</v>
      </c>
      <c r="D44" s="44"/>
      <c r="E44" s="53">
        <f t="shared" si="7"/>
        <v>2020483</v>
      </c>
      <c r="F44" s="53"/>
      <c r="G44" s="53">
        <v>3947373</v>
      </c>
      <c r="H44" s="53"/>
      <c r="I44" s="53">
        <v>5967856</v>
      </c>
      <c r="J44" s="53"/>
      <c r="K44" s="53">
        <f t="shared" si="8"/>
        <v>131316</v>
      </c>
      <c r="L44" s="53"/>
      <c r="M44" s="53">
        <v>407797</v>
      </c>
      <c r="N44" s="53"/>
      <c r="O44" s="53">
        <v>539113</v>
      </c>
      <c r="P44" s="53"/>
      <c r="Q44" s="53">
        <v>3498410</v>
      </c>
      <c r="R44" s="53"/>
      <c r="S44" s="53">
        <v>0</v>
      </c>
      <c r="T44" s="53"/>
      <c r="U44" s="53">
        <v>1930333</v>
      </c>
      <c r="V44" s="53"/>
      <c r="W44" s="53">
        <f>SUM(Q44:U44)</f>
        <v>5428743</v>
      </c>
      <c r="X44" s="53"/>
      <c r="Y44" s="35" t="s">
        <v>60</v>
      </c>
      <c r="AA44" s="35" t="s">
        <v>61</v>
      </c>
      <c r="AB44" s="35"/>
      <c r="AC44" s="53">
        <v>1490803</v>
      </c>
      <c r="AD44" s="53"/>
      <c r="AE44" s="53">
        <f>1289147-130315</f>
        <v>1158832</v>
      </c>
      <c r="AF44" s="53"/>
      <c r="AG44" s="53">
        <v>130315</v>
      </c>
      <c r="AH44" s="53"/>
      <c r="AI44" s="45">
        <f t="shared" si="9"/>
        <v>201656</v>
      </c>
      <c r="AJ44" s="45"/>
      <c r="AK44" s="53">
        <v>0</v>
      </c>
      <c r="AL44" s="45"/>
      <c r="AM44" s="53">
        <v>0</v>
      </c>
      <c r="AN44" s="53"/>
      <c r="AO44" s="53">
        <v>0</v>
      </c>
      <c r="AP44" s="53"/>
      <c r="AQ44" s="53">
        <v>127324</v>
      </c>
      <c r="AR44" s="53"/>
      <c r="AS44" s="45">
        <f t="shared" si="19"/>
        <v>328980</v>
      </c>
      <c r="AT44" s="45"/>
      <c r="AU44" s="53">
        <v>0</v>
      </c>
      <c r="AV44" s="53"/>
      <c r="AW44" s="53">
        <v>0</v>
      </c>
      <c r="AX44" s="53"/>
      <c r="AY44" s="53">
        <f>+E44-K44</f>
        <v>1889167</v>
      </c>
      <c r="AZ44" s="53"/>
      <c r="BA44" s="35" t="s">
        <v>60</v>
      </c>
      <c r="BC44" s="35" t="s">
        <v>61</v>
      </c>
      <c r="BD44" s="53"/>
      <c r="BE44" s="53">
        <v>0</v>
      </c>
      <c r="BF44" s="53"/>
      <c r="BG44" s="53">
        <v>0</v>
      </c>
      <c r="BH44" s="53"/>
      <c r="BI44" s="53">
        <f>407797+41166</f>
        <v>448963</v>
      </c>
      <c r="BJ44" s="53"/>
      <c r="BK44" s="53">
        <v>7126</v>
      </c>
      <c r="BL44" s="53"/>
      <c r="BM44" s="53">
        <f t="shared" si="26"/>
        <v>456089</v>
      </c>
      <c r="BN44" s="54" t="s">
        <v>347</v>
      </c>
      <c r="BR44" s="65"/>
      <c r="BS44" s="53"/>
      <c r="BT44" s="53"/>
      <c r="BU44" s="53"/>
      <c r="BV44" s="53"/>
      <c r="BW44" s="53"/>
      <c r="BX44" s="45"/>
      <c r="BY44" s="45"/>
      <c r="BZ44" s="53"/>
      <c r="CA44" s="53"/>
      <c r="CB44" s="53"/>
      <c r="CC44" s="53"/>
      <c r="CD44" s="53"/>
      <c r="CE44" s="53"/>
      <c r="CF44" s="35"/>
      <c r="CH44" s="35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4"/>
    </row>
    <row r="45" spans="1:97" s="55" customFormat="1" ht="12.75" hidden="1" customHeight="1" x14ac:dyDescent="0.2">
      <c r="A45" s="44" t="s">
        <v>62</v>
      </c>
      <c r="B45" s="65"/>
      <c r="C45" s="35" t="s">
        <v>15</v>
      </c>
      <c r="D45" s="44"/>
      <c r="E45" s="53">
        <f t="shared" si="7"/>
        <v>17619737</v>
      </c>
      <c r="F45" s="53"/>
      <c r="G45" s="53">
        <v>41879993</v>
      </c>
      <c r="H45" s="53"/>
      <c r="I45" s="53">
        <v>59499730</v>
      </c>
      <c r="J45" s="53"/>
      <c r="K45" s="53">
        <f t="shared" si="8"/>
        <v>2182364</v>
      </c>
      <c r="L45" s="53"/>
      <c r="M45" s="53">
        <v>8737643</v>
      </c>
      <c r="N45" s="53"/>
      <c r="O45" s="53">
        <v>10920007</v>
      </c>
      <c r="P45" s="53"/>
      <c r="Q45" s="53">
        <v>32108472</v>
      </c>
      <c r="R45" s="53"/>
      <c r="S45" s="53">
        <v>0</v>
      </c>
      <c r="T45" s="53"/>
      <c r="U45" s="53">
        <v>16471251</v>
      </c>
      <c r="V45" s="53"/>
      <c r="W45" s="53">
        <f t="shared" si="22"/>
        <v>48579723</v>
      </c>
      <c r="X45" s="53"/>
      <c r="Y45" s="44" t="s">
        <v>62</v>
      </c>
      <c r="AA45" s="35" t="s">
        <v>15</v>
      </c>
      <c r="AB45" s="35"/>
      <c r="AC45" s="53">
        <v>13371229</v>
      </c>
      <c r="AD45" s="53"/>
      <c r="AE45" s="53">
        <f>12943732-2629868</f>
        <v>10313864</v>
      </c>
      <c r="AF45" s="53"/>
      <c r="AG45" s="53">
        <v>2629868</v>
      </c>
      <c r="AH45" s="53"/>
      <c r="AI45" s="45">
        <f t="shared" si="9"/>
        <v>427497</v>
      </c>
      <c r="AJ45" s="45"/>
      <c r="AK45" s="53">
        <v>-296252</v>
      </c>
      <c r="AL45" s="45"/>
      <c r="AM45" s="53">
        <v>0</v>
      </c>
      <c r="AN45" s="53"/>
      <c r="AO45" s="53">
        <v>0</v>
      </c>
      <c r="AP45" s="53"/>
      <c r="AQ45" s="53">
        <v>0</v>
      </c>
      <c r="AR45" s="53"/>
      <c r="AS45" s="45">
        <f t="shared" si="19"/>
        <v>131245</v>
      </c>
      <c r="AT45" s="45"/>
      <c r="AU45" s="53">
        <v>0</v>
      </c>
      <c r="AV45" s="53"/>
      <c r="AW45" s="53">
        <v>0</v>
      </c>
      <c r="AX45" s="53"/>
      <c r="AY45" s="53">
        <f t="shared" si="20"/>
        <v>15437373</v>
      </c>
      <c r="AZ45" s="53"/>
      <c r="BA45" s="44" t="s">
        <v>62</v>
      </c>
      <c r="BC45" s="35" t="s">
        <v>15</v>
      </c>
      <c r="BD45" s="53"/>
      <c r="BE45" s="53">
        <f>8737643+1033878</f>
        <v>9771521</v>
      </c>
      <c r="BF45" s="53"/>
      <c r="BG45" s="53">
        <v>0</v>
      </c>
      <c r="BH45" s="53"/>
      <c r="BI45" s="53">
        <v>0</v>
      </c>
      <c r="BJ45" s="53"/>
      <c r="BK45" s="53">
        <v>0</v>
      </c>
      <c r="BL45" s="53"/>
      <c r="BM45" s="53">
        <f t="shared" si="21"/>
        <v>9771521</v>
      </c>
      <c r="BN45" s="54" t="s">
        <v>347</v>
      </c>
      <c r="BR45" s="65"/>
      <c r="BS45" s="121" t="s">
        <v>503</v>
      </c>
      <c r="BT45" s="53"/>
      <c r="BU45" s="53"/>
      <c r="BV45" s="53"/>
      <c r="BW45" s="45"/>
      <c r="BX45" s="45"/>
      <c r="BY45" s="53"/>
      <c r="BZ45" s="53"/>
      <c r="CA45" s="53"/>
      <c r="CB45" s="53"/>
      <c r="CC45" s="53"/>
      <c r="CD45" s="53"/>
      <c r="CE45" s="53"/>
      <c r="CF45" s="35"/>
      <c r="CH45" s="35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4"/>
    </row>
    <row r="46" spans="1:97" s="140" customFormat="1" ht="12.75" hidden="1" customHeight="1" x14ac:dyDescent="0.2">
      <c r="A46" s="126" t="s">
        <v>485</v>
      </c>
      <c r="B46" s="125"/>
      <c r="C46" s="126" t="s">
        <v>111</v>
      </c>
      <c r="D46" s="121"/>
      <c r="E46" s="137">
        <f t="shared" si="7"/>
        <v>0</v>
      </c>
      <c r="F46" s="137"/>
      <c r="G46" s="137"/>
      <c r="H46" s="137"/>
      <c r="I46" s="137"/>
      <c r="J46" s="137"/>
      <c r="K46" s="137">
        <f t="shared" si="8"/>
        <v>0</v>
      </c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>
        <f>SUM(Q46:U46)</f>
        <v>0</v>
      </c>
      <c r="X46" s="137"/>
      <c r="Y46" s="126" t="s">
        <v>485</v>
      </c>
      <c r="AA46" s="126" t="s">
        <v>111</v>
      </c>
      <c r="AB46" s="126"/>
      <c r="AC46" s="137"/>
      <c r="AD46" s="137"/>
      <c r="AE46" s="137"/>
      <c r="AF46" s="137"/>
      <c r="AG46" s="137"/>
      <c r="AH46" s="137"/>
      <c r="AI46" s="127">
        <f t="shared" si="9"/>
        <v>0</v>
      </c>
      <c r="AJ46" s="127"/>
      <c r="AK46" s="137"/>
      <c r="AL46" s="127"/>
      <c r="AM46" s="137"/>
      <c r="AN46" s="137"/>
      <c r="AO46" s="137"/>
      <c r="AP46" s="137"/>
      <c r="AQ46" s="137"/>
      <c r="AR46" s="137"/>
      <c r="AS46" s="127">
        <f t="shared" si="19"/>
        <v>0</v>
      </c>
      <c r="AT46" s="127"/>
      <c r="AU46" s="137">
        <v>0</v>
      </c>
      <c r="AV46" s="137"/>
      <c r="AW46" s="137">
        <v>0</v>
      </c>
      <c r="AX46" s="137"/>
      <c r="AY46" s="137">
        <f>+E46-K46</f>
        <v>0</v>
      </c>
      <c r="AZ46" s="121"/>
      <c r="BA46" s="126" t="s">
        <v>485</v>
      </c>
      <c r="BB46" s="125"/>
      <c r="BC46" s="126" t="s">
        <v>111</v>
      </c>
      <c r="BD46" s="137"/>
      <c r="BE46" s="137"/>
      <c r="BF46" s="137"/>
      <c r="BG46" s="137"/>
      <c r="BH46" s="137"/>
      <c r="BI46" s="137"/>
      <c r="BJ46" s="137"/>
      <c r="BK46" s="137"/>
      <c r="BL46" s="137"/>
      <c r="BM46" s="137">
        <f t="shared" si="21"/>
        <v>0</v>
      </c>
      <c r="BN46" s="139" t="s">
        <v>347</v>
      </c>
      <c r="BO46" s="140" t="s">
        <v>405</v>
      </c>
      <c r="BR46" s="125"/>
      <c r="BS46" s="121" t="s">
        <v>505</v>
      </c>
      <c r="BT46" s="137"/>
      <c r="BU46" s="137"/>
      <c r="BV46" s="137"/>
      <c r="BW46" s="127"/>
      <c r="BX46" s="127"/>
      <c r="BY46" s="137"/>
      <c r="BZ46" s="137"/>
      <c r="CA46" s="137"/>
      <c r="CB46" s="137"/>
      <c r="CC46" s="137"/>
      <c r="CD46" s="137"/>
      <c r="CE46" s="137"/>
      <c r="CF46" s="126"/>
      <c r="CH46" s="126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9"/>
    </row>
    <row r="47" spans="1:97" s="55" customFormat="1" ht="12.75" customHeight="1" x14ac:dyDescent="0.2">
      <c r="A47" s="35" t="s">
        <v>63</v>
      </c>
      <c r="B47" s="65"/>
      <c r="C47" s="35" t="s">
        <v>64</v>
      </c>
      <c r="D47" s="44"/>
      <c r="E47" s="53">
        <f t="shared" si="7"/>
        <v>2942491</v>
      </c>
      <c r="F47" s="53"/>
      <c r="G47" s="53">
        <v>4286500</v>
      </c>
      <c r="H47" s="53"/>
      <c r="I47" s="53">
        <v>7228991</v>
      </c>
      <c r="J47" s="53"/>
      <c r="K47" s="53">
        <f t="shared" si="8"/>
        <v>510155</v>
      </c>
      <c r="L47" s="53"/>
      <c r="M47" s="53">
        <v>3544738</v>
      </c>
      <c r="N47" s="53"/>
      <c r="O47" s="53">
        <v>4054893</v>
      </c>
      <c r="P47" s="53"/>
      <c r="Q47" s="53">
        <v>1654340</v>
      </c>
      <c r="R47" s="53"/>
      <c r="S47" s="53">
        <f>11533+318647+378809</f>
        <v>708989</v>
      </c>
      <c r="T47" s="53"/>
      <c r="U47" s="53">
        <v>810769</v>
      </c>
      <c r="V47" s="53"/>
      <c r="W47" s="53">
        <f t="shared" si="22"/>
        <v>3174098</v>
      </c>
      <c r="X47" s="53"/>
      <c r="Y47" s="35" t="s">
        <v>63</v>
      </c>
      <c r="AA47" s="35" t="s">
        <v>64</v>
      </c>
      <c r="AB47" s="35"/>
      <c r="AC47" s="53">
        <v>2210335</v>
      </c>
      <c r="AD47" s="53"/>
      <c r="AE47" s="53">
        <f>1594906-309628</f>
        <v>1285278</v>
      </c>
      <c r="AF47" s="53"/>
      <c r="AG47" s="53">
        <v>309628</v>
      </c>
      <c r="AH47" s="53"/>
      <c r="AI47" s="45">
        <f t="shared" si="9"/>
        <v>615429</v>
      </c>
      <c r="AJ47" s="45"/>
      <c r="AK47" s="53">
        <v>-513211</v>
      </c>
      <c r="AL47" s="45"/>
      <c r="AM47" s="53">
        <v>0</v>
      </c>
      <c r="AN47" s="53"/>
      <c r="AO47" s="53">
        <v>0</v>
      </c>
      <c r="AP47" s="53"/>
      <c r="AQ47" s="53">
        <v>0</v>
      </c>
      <c r="AR47" s="53"/>
      <c r="AS47" s="45">
        <f t="shared" si="19"/>
        <v>102218</v>
      </c>
      <c r="AT47" s="45"/>
      <c r="AU47" s="53">
        <v>0</v>
      </c>
      <c r="AV47" s="53"/>
      <c r="AW47" s="53">
        <v>0</v>
      </c>
      <c r="AX47" s="53"/>
      <c r="AY47" s="53">
        <f t="shared" si="20"/>
        <v>2432336</v>
      </c>
      <c r="AZ47" s="53"/>
      <c r="BA47" s="35" t="s">
        <v>63</v>
      </c>
      <c r="BC47" s="35" t="s">
        <v>64</v>
      </c>
      <c r="BD47" s="53"/>
      <c r="BE47" s="53">
        <f>717160+105000</f>
        <v>822160</v>
      </c>
      <c r="BF47" s="53"/>
      <c r="BG47" s="53">
        <f>335000+2805000</f>
        <v>3140000</v>
      </c>
      <c r="BH47" s="53"/>
      <c r="BI47" s="53">
        <v>0</v>
      </c>
      <c r="BJ47" s="53"/>
      <c r="BK47" s="53">
        <f>22578+13434</f>
        <v>36012</v>
      </c>
      <c r="BL47" s="53"/>
      <c r="BM47" s="53">
        <f t="shared" si="21"/>
        <v>3998172</v>
      </c>
      <c r="BN47" s="54" t="s">
        <v>347</v>
      </c>
      <c r="BO47" s="55" t="s">
        <v>405</v>
      </c>
      <c r="BR47" s="65"/>
      <c r="BS47" s="53"/>
      <c r="BT47" s="53"/>
      <c r="BU47" s="53"/>
      <c r="BV47" s="53"/>
      <c r="BW47" s="45"/>
      <c r="BX47" s="45"/>
      <c r="BY47" s="53"/>
      <c r="BZ47" s="53"/>
      <c r="CA47" s="53"/>
      <c r="CB47" s="53"/>
      <c r="CC47" s="53"/>
      <c r="CD47" s="53"/>
      <c r="CE47" s="53"/>
      <c r="CF47" s="35"/>
      <c r="CH47" s="35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4"/>
    </row>
    <row r="48" spans="1:97" s="55" customFormat="1" ht="12.75" hidden="1" customHeight="1" x14ac:dyDescent="0.2">
      <c r="A48" s="35" t="s">
        <v>65</v>
      </c>
      <c r="B48" s="65"/>
      <c r="C48" s="35" t="s">
        <v>66</v>
      </c>
      <c r="D48" s="44"/>
      <c r="E48" s="53">
        <f t="shared" si="7"/>
        <v>0</v>
      </c>
      <c r="F48" s="53"/>
      <c r="G48" s="53"/>
      <c r="H48" s="53"/>
      <c r="I48" s="53"/>
      <c r="J48" s="53"/>
      <c r="K48" s="53">
        <f t="shared" si="8"/>
        <v>0</v>
      </c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>
        <f t="shared" si="22"/>
        <v>0</v>
      </c>
      <c r="X48" s="53"/>
      <c r="Y48" s="35" t="s">
        <v>65</v>
      </c>
      <c r="AA48" s="35" t="s">
        <v>66</v>
      </c>
      <c r="AB48" s="35"/>
      <c r="AC48" s="53"/>
      <c r="AD48" s="53"/>
      <c r="AE48" s="53"/>
      <c r="AF48" s="53"/>
      <c r="AG48" s="53"/>
      <c r="AH48" s="53"/>
      <c r="AI48" s="45">
        <f t="shared" si="9"/>
        <v>0</v>
      </c>
      <c r="AJ48" s="45"/>
      <c r="AK48" s="53"/>
      <c r="AL48" s="45"/>
      <c r="AM48" s="53"/>
      <c r="AN48" s="53"/>
      <c r="AO48" s="53"/>
      <c r="AP48" s="53"/>
      <c r="AQ48" s="53"/>
      <c r="AR48" s="53"/>
      <c r="AS48" s="45">
        <f t="shared" si="19"/>
        <v>0</v>
      </c>
      <c r="AT48" s="45"/>
      <c r="AU48" s="53">
        <v>0</v>
      </c>
      <c r="AV48" s="53"/>
      <c r="AW48" s="53">
        <v>0</v>
      </c>
      <c r="AX48" s="53"/>
      <c r="AY48" s="53">
        <f t="shared" si="20"/>
        <v>0</v>
      </c>
      <c r="AZ48" s="53"/>
      <c r="BA48" s="35" t="s">
        <v>65</v>
      </c>
      <c r="BC48" s="35" t="s">
        <v>66</v>
      </c>
      <c r="BD48" s="53"/>
      <c r="BE48" s="53"/>
      <c r="BF48" s="53"/>
      <c r="BG48" s="53"/>
      <c r="BH48" s="53"/>
      <c r="BI48" s="53"/>
      <c r="BJ48" s="53"/>
      <c r="BK48" s="53"/>
      <c r="BL48" s="53"/>
      <c r="BM48" s="53">
        <f>SUM(BE48:BL48)</f>
        <v>0</v>
      </c>
      <c r="BN48" s="54" t="s">
        <v>347</v>
      </c>
      <c r="BR48" s="65"/>
      <c r="BS48" s="53"/>
      <c r="BT48" s="53"/>
      <c r="BU48" s="53"/>
      <c r="BV48" s="53"/>
      <c r="BW48" s="45"/>
      <c r="BX48" s="45"/>
      <c r="BY48" s="53"/>
      <c r="BZ48" s="53"/>
      <c r="CA48" s="53"/>
      <c r="CB48" s="53"/>
      <c r="CC48" s="53"/>
      <c r="CD48" s="53"/>
      <c r="CE48" s="53"/>
      <c r="CF48" s="35"/>
      <c r="CH48" s="35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4"/>
    </row>
    <row r="49" spans="1:98" s="55" customFormat="1" ht="12.75" customHeight="1" x14ac:dyDescent="0.2">
      <c r="A49" s="35" t="s">
        <v>67</v>
      </c>
      <c r="B49" s="65"/>
      <c r="C49" s="35" t="s">
        <v>375</v>
      </c>
      <c r="D49" s="44"/>
      <c r="E49" s="53">
        <f t="shared" si="7"/>
        <v>898871</v>
      </c>
      <c r="F49" s="53"/>
      <c r="G49" s="53">
        <v>20037017</v>
      </c>
      <c r="H49" s="53"/>
      <c r="I49" s="53">
        <v>20935888</v>
      </c>
      <c r="J49" s="53"/>
      <c r="K49" s="53">
        <f t="shared" si="8"/>
        <v>848298</v>
      </c>
      <c r="L49" s="53"/>
      <c r="M49" s="53">
        <v>8784728</v>
      </c>
      <c r="N49" s="53"/>
      <c r="O49" s="53">
        <v>9633026</v>
      </c>
      <c r="P49" s="53"/>
      <c r="Q49" s="53">
        <v>10495735</v>
      </c>
      <c r="R49" s="53"/>
      <c r="S49" s="53">
        <v>0</v>
      </c>
      <c r="T49" s="53"/>
      <c r="U49" s="53">
        <v>807127</v>
      </c>
      <c r="V49" s="53"/>
      <c r="W49" s="53">
        <f t="shared" si="22"/>
        <v>11302862</v>
      </c>
      <c r="X49" s="53"/>
      <c r="Y49" s="35" t="s">
        <v>67</v>
      </c>
      <c r="AA49" s="35" t="s">
        <v>375</v>
      </c>
      <c r="AB49" s="35"/>
      <c r="AC49" s="53">
        <v>1474266</v>
      </c>
      <c r="AD49" s="53"/>
      <c r="AE49" s="53">
        <f>1754139-688192</f>
        <v>1065947</v>
      </c>
      <c r="AF49" s="53"/>
      <c r="AG49" s="53">
        <v>688192</v>
      </c>
      <c r="AH49" s="53"/>
      <c r="AI49" s="45">
        <f t="shared" si="9"/>
        <v>-279873</v>
      </c>
      <c r="AJ49" s="45"/>
      <c r="AK49" s="53">
        <v>-527715</v>
      </c>
      <c r="AL49" s="45"/>
      <c r="AM49" s="53">
        <v>590000</v>
      </c>
      <c r="AN49" s="53"/>
      <c r="AO49" s="53">
        <v>0</v>
      </c>
      <c r="AP49" s="53"/>
      <c r="AQ49" s="53">
        <v>0</v>
      </c>
      <c r="AR49" s="53"/>
      <c r="AS49" s="45">
        <f t="shared" si="19"/>
        <v>-217588</v>
      </c>
      <c r="AT49" s="45"/>
      <c r="AU49" s="53">
        <v>0</v>
      </c>
      <c r="AV49" s="53"/>
      <c r="AW49" s="53">
        <v>0</v>
      </c>
      <c r="AX49" s="53"/>
      <c r="AY49" s="53">
        <f t="shared" si="20"/>
        <v>50573</v>
      </c>
      <c r="AZ49" s="53"/>
      <c r="BA49" s="35" t="s">
        <v>67</v>
      </c>
      <c r="BC49" s="35" t="s">
        <v>375</v>
      </c>
      <c r="BD49" s="53"/>
      <c r="BE49" s="53">
        <v>0</v>
      </c>
      <c r="BF49" s="53"/>
      <c r="BG49" s="53">
        <v>0</v>
      </c>
      <c r="BH49" s="53"/>
      <c r="BI49" s="53">
        <f>8759862+781420</f>
        <v>9541282</v>
      </c>
      <c r="BJ49" s="53"/>
      <c r="BK49" s="53">
        <f>24379+24866</f>
        <v>49245</v>
      </c>
      <c r="BL49" s="53"/>
      <c r="BM49" s="53">
        <f t="shared" ref="BM49:BM54" si="27">SUM(BE49:BK49)</f>
        <v>9590527</v>
      </c>
      <c r="BN49" s="54" t="s">
        <v>347</v>
      </c>
      <c r="BR49" s="65"/>
      <c r="BS49" s="53"/>
      <c r="BT49" s="53"/>
      <c r="BU49" s="53"/>
      <c r="BV49" s="53"/>
      <c r="BW49" s="45"/>
      <c r="BX49" s="45"/>
      <c r="BY49" s="53"/>
      <c r="BZ49" s="53"/>
      <c r="CA49" s="53"/>
      <c r="CB49" s="53"/>
      <c r="CC49" s="53"/>
      <c r="CD49" s="53"/>
      <c r="CE49" s="53"/>
      <c r="CF49" s="35"/>
      <c r="CH49" s="35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4"/>
    </row>
    <row r="50" spans="1:98" s="55" customFormat="1" ht="12.75" hidden="1" customHeight="1" x14ac:dyDescent="0.2">
      <c r="A50" s="35" t="s">
        <v>68</v>
      </c>
      <c r="B50" s="65"/>
      <c r="C50" s="35" t="s">
        <v>45</v>
      </c>
      <c r="D50" s="44"/>
      <c r="E50" s="53">
        <f t="shared" si="7"/>
        <v>0</v>
      </c>
      <c r="F50" s="53"/>
      <c r="G50" s="53"/>
      <c r="H50" s="53"/>
      <c r="I50" s="53"/>
      <c r="J50" s="53"/>
      <c r="K50" s="53">
        <f t="shared" si="8"/>
        <v>0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>
        <f t="shared" si="22"/>
        <v>0</v>
      </c>
      <c r="X50" s="53"/>
      <c r="Y50" s="35" t="s">
        <v>68</v>
      </c>
      <c r="AA50" s="35" t="s">
        <v>45</v>
      </c>
      <c r="AB50" s="35"/>
      <c r="AC50" s="53"/>
      <c r="AD50" s="53"/>
      <c r="AE50" s="53"/>
      <c r="AF50" s="53"/>
      <c r="AG50" s="53"/>
      <c r="AH50" s="53"/>
      <c r="AI50" s="45">
        <f t="shared" si="9"/>
        <v>0</v>
      </c>
      <c r="AJ50" s="45"/>
      <c r="AK50" s="53"/>
      <c r="AL50" s="45"/>
      <c r="AM50" s="53"/>
      <c r="AN50" s="53"/>
      <c r="AO50" s="53"/>
      <c r="AP50" s="53"/>
      <c r="AQ50" s="53"/>
      <c r="AR50" s="53"/>
      <c r="AS50" s="45">
        <f t="shared" si="19"/>
        <v>0</v>
      </c>
      <c r="AT50" s="45"/>
      <c r="AU50" s="53">
        <v>0</v>
      </c>
      <c r="AV50" s="53"/>
      <c r="AW50" s="53">
        <v>0</v>
      </c>
      <c r="AX50" s="53"/>
      <c r="AY50" s="53">
        <f t="shared" si="20"/>
        <v>0</v>
      </c>
      <c r="AZ50" s="53"/>
      <c r="BA50" s="35" t="s">
        <v>68</v>
      </c>
      <c r="BC50" s="35" t="s">
        <v>45</v>
      </c>
      <c r="BD50" s="53"/>
      <c r="BE50" s="53"/>
      <c r="BF50" s="53"/>
      <c r="BG50" s="53"/>
      <c r="BH50" s="53"/>
      <c r="BI50" s="53"/>
      <c r="BJ50" s="53"/>
      <c r="BK50" s="53"/>
      <c r="BL50" s="53"/>
      <c r="BM50" s="53">
        <f t="shared" si="27"/>
        <v>0</v>
      </c>
      <c r="BN50" s="54" t="s">
        <v>347</v>
      </c>
      <c r="BR50" s="65"/>
      <c r="BS50" s="53"/>
      <c r="BT50" s="53"/>
      <c r="BU50" s="53"/>
      <c r="BV50" s="53"/>
      <c r="BW50" s="53"/>
      <c r="BX50" s="45"/>
      <c r="BY50" s="45"/>
      <c r="BZ50" s="53"/>
      <c r="CA50" s="53"/>
      <c r="CB50" s="53"/>
      <c r="CC50" s="53"/>
      <c r="CD50" s="53"/>
      <c r="CE50" s="53"/>
      <c r="CF50" s="35"/>
      <c r="CH50" s="35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4"/>
    </row>
    <row r="51" spans="1:98" s="55" customFormat="1" ht="12.75" customHeight="1" x14ac:dyDescent="0.2">
      <c r="A51" s="35" t="s">
        <v>69</v>
      </c>
      <c r="B51" s="65"/>
      <c r="C51" s="35" t="s">
        <v>70</v>
      </c>
      <c r="D51" s="44"/>
      <c r="E51" s="53">
        <f t="shared" si="7"/>
        <v>4510457</v>
      </c>
      <c r="F51" s="53"/>
      <c r="G51" s="53">
        <v>17067357</v>
      </c>
      <c r="H51" s="53"/>
      <c r="I51" s="53">
        <v>21577814</v>
      </c>
      <c r="J51" s="53"/>
      <c r="K51" s="53">
        <f t="shared" si="8"/>
        <v>1210859</v>
      </c>
      <c r="L51" s="53"/>
      <c r="M51" s="53">
        <v>1562986</v>
      </c>
      <c r="N51" s="53"/>
      <c r="O51" s="53">
        <v>2773845</v>
      </c>
      <c r="P51" s="53"/>
      <c r="Q51" s="53">
        <v>14233890</v>
      </c>
      <c r="R51" s="53"/>
      <c r="S51" s="53">
        <v>618467</v>
      </c>
      <c r="T51" s="53"/>
      <c r="U51" s="53">
        <v>3951612</v>
      </c>
      <c r="V51" s="53"/>
      <c r="W51" s="53">
        <f t="shared" si="22"/>
        <v>18803969</v>
      </c>
      <c r="X51" s="53"/>
      <c r="Y51" s="35" t="s">
        <v>69</v>
      </c>
      <c r="AA51" s="35" t="s">
        <v>70</v>
      </c>
      <c r="AB51" s="35"/>
      <c r="AC51" s="53">
        <v>3222873</v>
      </c>
      <c r="AD51" s="53"/>
      <c r="AE51" s="53">
        <f>3267644-676668</f>
        <v>2590976</v>
      </c>
      <c r="AF51" s="53"/>
      <c r="AG51" s="53">
        <v>676668</v>
      </c>
      <c r="AH51" s="53"/>
      <c r="AI51" s="45">
        <f t="shared" si="9"/>
        <v>-44771</v>
      </c>
      <c r="AJ51" s="45"/>
      <c r="AK51" s="53">
        <v>-60918</v>
      </c>
      <c r="AL51" s="45"/>
      <c r="AM51" s="53">
        <v>30000</v>
      </c>
      <c r="AN51" s="53"/>
      <c r="AO51" s="53">
        <v>7891</v>
      </c>
      <c r="AP51" s="53"/>
      <c r="AQ51" s="53">
        <v>0</v>
      </c>
      <c r="AR51" s="53"/>
      <c r="AS51" s="45">
        <f t="shared" si="19"/>
        <v>-83580</v>
      </c>
      <c r="AT51" s="45"/>
      <c r="AU51" s="53">
        <v>0</v>
      </c>
      <c r="AV51" s="53"/>
      <c r="AW51" s="53">
        <v>0</v>
      </c>
      <c r="AX51" s="53"/>
      <c r="AY51" s="53">
        <f t="shared" si="20"/>
        <v>3299598</v>
      </c>
      <c r="AZ51" s="53"/>
      <c r="BA51" s="35" t="s">
        <v>69</v>
      </c>
      <c r="BC51" s="35" t="s">
        <v>70</v>
      </c>
      <c r="BD51" s="53"/>
      <c r="BE51" s="53">
        <f>1320000+95000</f>
        <v>1415000</v>
      </c>
      <c r="BF51" s="53"/>
      <c r="BG51" s="53">
        <v>0</v>
      </c>
      <c r="BH51" s="53"/>
      <c r="BI51" s="53">
        <v>0</v>
      </c>
      <c r="BJ51" s="53"/>
      <c r="BK51" s="53">
        <f>242986+173186</f>
        <v>416172</v>
      </c>
      <c r="BL51" s="53"/>
      <c r="BM51" s="53">
        <f t="shared" si="27"/>
        <v>1831172</v>
      </c>
      <c r="BN51" s="54" t="s">
        <v>347</v>
      </c>
      <c r="BR51" s="65"/>
      <c r="BS51" s="53"/>
      <c r="BT51" s="53"/>
      <c r="BU51" s="53"/>
      <c r="BV51" s="53"/>
      <c r="BW51" s="53"/>
      <c r="BX51" s="45"/>
      <c r="BY51" s="45"/>
      <c r="BZ51" s="53"/>
      <c r="CA51" s="53"/>
      <c r="CB51" s="53"/>
      <c r="CC51" s="53"/>
      <c r="CD51" s="53"/>
      <c r="CE51" s="53"/>
      <c r="CF51" s="35"/>
      <c r="CH51" s="35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4"/>
    </row>
    <row r="52" spans="1:98" s="55" customFormat="1" ht="11.25" hidden="1" customHeight="1" x14ac:dyDescent="0.2">
      <c r="A52" s="35" t="s">
        <v>71</v>
      </c>
      <c r="B52" s="65"/>
      <c r="C52" s="35" t="s">
        <v>45</v>
      </c>
      <c r="D52" s="44"/>
      <c r="E52" s="53">
        <f t="shared" si="7"/>
        <v>0</v>
      </c>
      <c r="F52" s="53"/>
      <c r="G52" s="53"/>
      <c r="H52" s="53"/>
      <c r="I52" s="53"/>
      <c r="J52" s="53"/>
      <c r="K52" s="53">
        <f t="shared" si="8"/>
        <v>0</v>
      </c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>
        <v>0</v>
      </c>
      <c r="X52" s="53"/>
      <c r="Y52" s="35" t="s">
        <v>71</v>
      </c>
      <c r="AA52" s="35" t="s">
        <v>45</v>
      </c>
      <c r="AB52" s="35"/>
      <c r="AC52" s="53"/>
      <c r="AD52" s="53"/>
      <c r="AE52" s="53"/>
      <c r="AF52" s="53"/>
      <c r="AG52" s="53"/>
      <c r="AH52" s="53"/>
      <c r="AI52" s="45">
        <f t="shared" si="9"/>
        <v>0</v>
      </c>
      <c r="AJ52" s="45"/>
      <c r="AK52" s="53"/>
      <c r="AL52" s="45"/>
      <c r="AM52" s="53"/>
      <c r="AN52" s="53"/>
      <c r="AO52" s="53"/>
      <c r="AP52" s="53"/>
      <c r="AQ52" s="53"/>
      <c r="AR52" s="53"/>
      <c r="AS52" s="45">
        <f t="shared" si="19"/>
        <v>0</v>
      </c>
      <c r="AT52" s="45"/>
      <c r="AU52" s="53">
        <v>0</v>
      </c>
      <c r="AV52" s="53"/>
      <c r="AW52" s="53">
        <v>0</v>
      </c>
      <c r="AX52" s="53"/>
      <c r="AY52" s="53">
        <f t="shared" si="20"/>
        <v>0</v>
      </c>
      <c r="AZ52" s="53"/>
      <c r="BA52" s="35" t="s">
        <v>71</v>
      </c>
      <c r="BC52" s="35" t="s">
        <v>45</v>
      </c>
      <c r="BD52" s="53"/>
      <c r="BE52" s="53"/>
      <c r="BF52" s="53"/>
      <c r="BG52" s="53"/>
      <c r="BH52" s="53"/>
      <c r="BI52" s="53"/>
      <c r="BJ52" s="53"/>
      <c r="BK52" s="53"/>
      <c r="BL52" s="53"/>
      <c r="BM52" s="53">
        <f t="shared" si="27"/>
        <v>0</v>
      </c>
      <c r="BN52" s="54" t="s">
        <v>347</v>
      </c>
      <c r="BO52" s="55" t="s">
        <v>403</v>
      </c>
      <c r="BR52" s="65"/>
      <c r="BS52" s="53"/>
      <c r="BT52" s="53"/>
      <c r="BU52" s="53"/>
      <c r="BV52" s="53"/>
      <c r="BW52" s="53"/>
      <c r="BX52" s="45"/>
      <c r="BY52" s="45"/>
      <c r="BZ52" s="53"/>
      <c r="CA52" s="53"/>
      <c r="CB52" s="53"/>
      <c r="CC52" s="53"/>
      <c r="CD52" s="53"/>
      <c r="CE52" s="53"/>
      <c r="CF52" s="35"/>
      <c r="CH52" s="35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4"/>
    </row>
    <row r="53" spans="1:98" s="55" customFormat="1" ht="12.75" customHeight="1" x14ac:dyDescent="0.2">
      <c r="A53" s="44" t="s">
        <v>463</v>
      </c>
      <c r="C53" s="44" t="s">
        <v>464</v>
      </c>
      <c r="D53" s="44"/>
      <c r="E53" s="53">
        <f t="shared" si="7"/>
        <v>3035653</v>
      </c>
      <c r="F53" s="53"/>
      <c r="G53" s="53">
        <v>11902720</v>
      </c>
      <c r="H53" s="53"/>
      <c r="I53" s="53">
        <v>14938373</v>
      </c>
      <c r="J53" s="53"/>
      <c r="K53" s="53">
        <f t="shared" si="8"/>
        <v>198607</v>
      </c>
      <c r="L53" s="53"/>
      <c r="M53" s="53">
        <v>1512349</v>
      </c>
      <c r="N53" s="53"/>
      <c r="O53" s="53">
        <v>1710956</v>
      </c>
      <c r="P53" s="53"/>
      <c r="Q53" s="53">
        <v>10377720</v>
      </c>
      <c r="R53" s="53"/>
      <c r="S53" s="53">
        <v>0</v>
      </c>
      <c r="T53" s="53"/>
      <c r="U53" s="53">
        <v>2849697</v>
      </c>
      <c r="V53" s="53"/>
      <c r="W53" s="53">
        <f>SUM(Q53:U53)</f>
        <v>13227417</v>
      </c>
      <c r="X53" s="53"/>
      <c r="Y53" s="44" t="s">
        <v>463</v>
      </c>
      <c r="AA53" s="44" t="s">
        <v>464</v>
      </c>
      <c r="AB53" s="44"/>
      <c r="AC53" s="53">
        <v>1760087</v>
      </c>
      <c r="AD53" s="53"/>
      <c r="AE53" s="53">
        <f>2015461-401437</f>
        <v>1614024</v>
      </c>
      <c r="AF53" s="53"/>
      <c r="AG53" s="53">
        <v>401437</v>
      </c>
      <c r="AH53" s="53"/>
      <c r="AI53" s="45">
        <f t="shared" si="9"/>
        <v>-255374</v>
      </c>
      <c r="AJ53" s="45"/>
      <c r="AK53" s="53">
        <v>-66961</v>
      </c>
      <c r="AL53" s="45"/>
      <c r="AM53" s="53">
        <v>0</v>
      </c>
      <c r="AN53" s="53"/>
      <c r="AO53" s="53">
        <v>0</v>
      </c>
      <c r="AP53" s="53"/>
      <c r="AQ53" s="53">
        <v>0</v>
      </c>
      <c r="AR53" s="53"/>
      <c r="AS53" s="45">
        <f t="shared" si="19"/>
        <v>-322335</v>
      </c>
      <c r="AT53" s="45"/>
      <c r="AU53" s="53">
        <v>0</v>
      </c>
      <c r="AV53" s="53"/>
      <c r="AW53" s="53">
        <v>0</v>
      </c>
      <c r="AX53" s="53"/>
      <c r="AY53" s="53">
        <f t="shared" si="20"/>
        <v>2837046</v>
      </c>
      <c r="AZ53" s="53"/>
      <c r="BA53" s="44" t="s">
        <v>463</v>
      </c>
      <c r="BC53" s="44" t="s">
        <v>464</v>
      </c>
      <c r="BD53" s="53"/>
      <c r="BE53" s="53">
        <f>1465000+60000</f>
        <v>1525000</v>
      </c>
      <c r="BF53" s="53"/>
      <c r="BG53" s="53">
        <v>0</v>
      </c>
      <c r="BH53" s="53"/>
      <c r="BI53" s="53">
        <v>0</v>
      </c>
      <c r="BJ53" s="53"/>
      <c r="BK53" s="53">
        <f>31477+47349</f>
        <v>78826</v>
      </c>
      <c r="BL53" s="53"/>
      <c r="BM53" s="53">
        <f t="shared" si="27"/>
        <v>1603826</v>
      </c>
      <c r="BN53" s="54" t="s">
        <v>347</v>
      </c>
      <c r="BR53" s="65"/>
      <c r="BS53" s="53"/>
      <c r="BT53" s="53"/>
      <c r="BU53" s="53"/>
      <c r="BV53" s="53"/>
      <c r="BW53" s="53"/>
      <c r="BX53" s="45"/>
      <c r="BY53" s="45"/>
      <c r="BZ53" s="53"/>
      <c r="CA53" s="53"/>
      <c r="CB53" s="53"/>
      <c r="CC53" s="53"/>
      <c r="CD53" s="53"/>
      <c r="CE53" s="53"/>
      <c r="CF53" s="35"/>
      <c r="CH53" s="35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4"/>
    </row>
    <row r="54" spans="1:98" s="55" customFormat="1" ht="12.75" customHeight="1" x14ac:dyDescent="0.2">
      <c r="A54" s="35" t="s">
        <v>72</v>
      </c>
      <c r="B54" s="65"/>
      <c r="C54" s="35" t="s">
        <v>66</v>
      </c>
      <c r="D54" s="44"/>
      <c r="E54" s="53">
        <f t="shared" si="7"/>
        <v>89665</v>
      </c>
      <c r="F54" s="53"/>
      <c r="G54" s="53">
        <v>3468295</v>
      </c>
      <c r="H54" s="53"/>
      <c r="I54" s="53">
        <v>3557960</v>
      </c>
      <c r="J54" s="53"/>
      <c r="K54" s="53">
        <f t="shared" si="8"/>
        <v>75496</v>
      </c>
      <c r="L54" s="53"/>
      <c r="M54" s="53">
        <v>3085611</v>
      </c>
      <c r="N54" s="53"/>
      <c r="O54" s="53">
        <v>3161107</v>
      </c>
      <c r="P54" s="53"/>
      <c r="Q54" s="53">
        <v>307188</v>
      </c>
      <c r="R54" s="53"/>
      <c r="S54" s="53">
        <v>0</v>
      </c>
      <c r="T54" s="53"/>
      <c r="U54" s="53">
        <v>89665</v>
      </c>
      <c r="V54" s="53"/>
      <c r="W54" s="53">
        <f>SUM(Q54:U54)</f>
        <v>396853</v>
      </c>
      <c r="X54" s="53"/>
      <c r="Y54" s="35" t="s">
        <v>72</v>
      </c>
      <c r="AA54" s="35" t="s">
        <v>66</v>
      </c>
      <c r="AB54" s="35"/>
      <c r="AC54" s="53">
        <v>2425</v>
      </c>
      <c r="AD54" s="53"/>
      <c r="AE54" s="53">
        <v>0</v>
      </c>
      <c r="AF54" s="53"/>
      <c r="AG54" s="53">
        <v>90211</v>
      </c>
      <c r="AH54" s="53"/>
      <c r="AI54" s="45">
        <f t="shared" si="9"/>
        <v>-87786</v>
      </c>
      <c r="AJ54" s="45"/>
      <c r="AK54" s="53">
        <v>-128628</v>
      </c>
      <c r="AL54" s="45"/>
      <c r="AM54" s="53">
        <v>201193</v>
      </c>
      <c r="AN54" s="53"/>
      <c r="AO54" s="53">
        <v>0</v>
      </c>
      <c r="AP54" s="53"/>
      <c r="AQ54" s="53">
        <v>0</v>
      </c>
      <c r="AR54" s="53"/>
      <c r="AS54" s="45">
        <f t="shared" si="19"/>
        <v>-15221</v>
      </c>
      <c r="AT54" s="45"/>
      <c r="AU54" s="53">
        <v>0</v>
      </c>
      <c r="AV54" s="53"/>
      <c r="AW54" s="53">
        <v>0</v>
      </c>
      <c r="AX54" s="53"/>
      <c r="AY54" s="53">
        <f t="shared" si="20"/>
        <v>14169</v>
      </c>
      <c r="AZ54" s="53"/>
      <c r="BA54" s="35" t="s">
        <v>72</v>
      </c>
      <c r="BC54" s="35" t="s">
        <v>66</v>
      </c>
      <c r="BD54" s="53"/>
      <c r="BE54" s="53">
        <v>0</v>
      </c>
      <c r="BF54" s="53"/>
      <c r="BG54" s="53">
        <v>0</v>
      </c>
      <c r="BH54" s="53"/>
      <c r="BI54" s="53">
        <f>3085611+75496</f>
        <v>3161107</v>
      </c>
      <c r="BJ54" s="53"/>
      <c r="BK54" s="53">
        <v>0</v>
      </c>
      <c r="BL54" s="53"/>
      <c r="BM54" s="53">
        <f t="shared" si="27"/>
        <v>3161107</v>
      </c>
      <c r="BN54" s="54" t="s">
        <v>347</v>
      </c>
      <c r="BO54" s="35"/>
      <c r="BR54" s="65"/>
      <c r="BS54" s="53"/>
      <c r="BT54" s="53"/>
      <c r="BU54" s="53"/>
      <c r="BV54" s="53"/>
      <c r="BW54" s="45"/>
      <c r="BX54" s="45"/>
      <c r="BY54" s="53"/>
      <c r="BZ54" s="53"/>
      <c r="CA54" s="53"/>
      <c r="CB54" s="53"/>
      <c r="CC54" s="53"/>
      <c r="CD54" s="53"/>
      <c r="CE54" s="53"/>
      <c r="CF54" s="35"/>
      <c r="CH54" s="35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4"/>
      <c r="CT54" s="35"/>
    </row>
    <row r="55" spans="1:98" s="55" customFormat="1" ht="12.75" hidden="1" customHeight="1" x14ac:dyDescent="0.2">
      <c r="A55" s="35" t="s">
        <v>342</v>
      </c>
      <c r="C55" s="35" t="s">
        <v>27</v>
      </c>
      <c r="D55" s="44"/>
      <c r="E55" s="53">
        <f t="shared" si="7"/>
        <v>0</v>
      </c>
      <c r="F55" s="53"/>
      <c r="G55" s="53"/>
      <c r="H55" s="53"/>
      <c r="I55" s="53"/>
      <c r="J55" s="53"/>
      <c r="K55" s="53">
        <f t="shared" si="8"/>
        <v>0</v>
      </c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>
        <f t="shared" ref="W55:W57" si="28">SUM(Q55:U55)</f>
        <v>0</v>
      </c>
      <c r="X55" s="53"/>
      <c r="Y55" s="35" t="s">
        <v>342</v>
      </c>
      <c r="AA55" s="35" t="s">
        <v>27</v>
      </c>
      <c r="AB55" s="35"/>
      <c r="AC55" s="53"/>
      <c r="AD55" s="53"/>
      <c r="AE55" s="53"/>
      <c r="AF55" s="53"/>
      <c r="AG55" s="53"/>
      <c r="AH55" s="53"/>
      <c r="AI55" s="45">
        <f t="shared" si="9"/>
        <v>0</v>
      </c>
      <c r="AJ55" s="45"/>
      <c r="AK55" s="53"/>
      <c r="AL55" s="45"/>
      <c r="AM55" s="53"/>
      <c r="AN55" s="53"/>
      <c r="AO55" s="53"/>
      <c r="AP55" s="53"/>
      <c r="AQ55" s="53"/>
      <c r="AR55" s="53"/>
      <c r="AS55" s="45">
        <f t="shared" si="4"/>
        <v>0</v>
      </c>
      <c r="AT55" s="45"/>
      <c r="AU55" s="53">
        <v>0</v>
      </c>
      <c r="AV55" s="53"/>
      <c r="AW55" s="53">
        <v>0</v>
      </c>
      <c r="AX55" s="53"/>
      <c r="AY55" s="53">
        <f t="shared" si="5"/>
        <v>0</v>
      </c>
      <c r="AZ55" s="53"/>
      <c r="BA55" s="35" t="s">
        <v>342</v>
      </c>
      <c r="BC55" s="35" t="s">
        <v>27</v>
      </c>
      <c r="BD55" s="53"/>
      <c r="BE55" s="53"/>
      <c r="BF55" s="53"/>
      <c r="BG55" s="53"/>
      <c r="BH55" s="53"/>
      <c r="BI55" s="53"/>
      <c r="BJ55" s="53"/>
      <c r="BK55" s="53"/>
      <c r="BL55" s="53"/>
      <c r="BM55" s="53">
        <f t="shared" ref="BM55:BM73" si="29">SUM(BE55:BK55)</f>
        <v>0</v>
      </c>
      <c r="BN55" s="54" t="s">
        <v>347</v>
      </c>
      <c r="BR55" s="65"/>
      <c r="BS55" s="53"/>
      <c r="BT55" s="53"/>
      <c r="BU55" s="53"/>
      <c r="BV55" s="53"/>
      <c r="BW55" s="53"/>
      <c r="BX55" s="45"/>
      <c r="BY55" s="45"/>
      <c r="BZ55" s="53"/>
      <c r="CA55" s="53"/>
      <c r="CB55" s="53"/>
      <c r="CC55" s="53"/>
      <c r="CD55" s="53"/>
      <c r="CE55" s="53"/>
      <c r="CF55" s="35"/>
      <c r="CH55" s="35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4"/>
    </row>
    <row r="56" spans="1:98" s="55" customFormat="1" ht="12.75" customHeight="1" x14ac:dyDescent="0.2">
      <c r="A56" s="35" t="s">
        <v>74</v>
      </c>
      <c r="B56" s="65"/>
      <c r="C56" s="35" t="s">
        <v>27</v>
      </c>
      <c r="D56" s="44"/>
      <c r="E56" s="53">
        <f t="shared" si="7"/>
        <v>758576</v>
      </c>
      <c r="F56" s="53"/>
      <c r="G56" s="53">
        <v>8045073</v>
      </c>
      <c r="H56" s="53"/>
      <c r="I56" s="53">
        <v>8803649</v>
      </c>
      <c r="J56" s="53"/>
      <c r="K56" s="53">
        <f t="shared" si="8"/>
        <v>136148</v>
      </c>
      <c r="L56" s="53"/>
      <c r="M56" s="53">
        <v>771483</v>
      </c>
      <c r="N56" s="53"/>
      <c r="O56" s="53">
        <v>907631</v>
      </c>
      <c r="P56" s="53"/>
      <c r="Q56" s="53">
        <v>7320363</v>
      </c>
      <c r="R56" s="53"/>
      <c r="S56" s="53">
        <v>0</v>
      </c>
      <c r="T56" s="53"/>
      <c r="U56" s="53">
        <v>575655</v>
      </c>
      <c r="V56" s="53"/>
      <c r="W56" s="53">
        <f t="shared" si="28"/>
        <v>7896018</v>
      </c>
      <c r="X56" s="53"/>
      <c r="Y56" s="35" t="s">
        <v>74</v>
      </c>
      <c r="AA56" s="35" t="s">
        <v>27</v>
      </c>
      <c r="AB56" s="35"/>
      <c r="AC56" s="53">
        <v>1607296</v>
      </c>
      <c r="AD56" s="53"/>
      <c r="AE56" s="53">
        <f>2186048-264843</f>
        <v>1921205</v>
      </c>
      <c r="AF56" s="53"/>
      <c r="AG56" s="53">
        <v>264843</v>
      </c>
      <c r="AH56" s="53"/>
      <c r="AI56" s="45">
        <f t="shared" si="9"/>
        <v>-578752</v>
      </c>
      <c r="AJ56" s="45"/>
      <c r="AK56" s="53">
        <v>-31330</v>
      </c>
      <c r="AL56" s="45"/>
      <c r="AM56" s="53">
        <v>0</v>
      </c>
      <c r="AN56" s="53"/>
      <c r="AO56" s="53">
        <v>3485</v>
      </c>
      <c r="AP56" s="53"/>
      <c r="AQ56" s="53">
        <v>0</v>
      </c>
      <c r="AR56" s="53"/>
      <c r="AS56" s="45">
        <f t="shared" si="4"/>
        <v>-613567</v>
      </c>
      <c r="AT56" s="45"/>
      <c r="AU56" s="53">
        <v>0</v>
      </c>
      <c r="AV56" s="53"/>
      <c r="AW56" s="53">
        <v>0</v>
      </c>
      <c r="AX56" s="53"/>
      <c r="AY56" s="53">
        <f t="shared" si="5"/>
        <v>622428</v>
      </c>
      <c r="AZ56" s="53"/>
      <c r="BA56" s="35" t="s">
        <v>74</v>
      </c>
      <c r="BC56" s="35" t="s">
        <v>27</v>
      </c>
      <c r="BD56" s="53"/>
      <c r="BE56" s="53">
        <v>0</v>
      </c>
      <c r="BF56" s="53"/>
      <c r="BG56" s="53">
        <v>0</v>
      </c>
      <c r="BH56" s="53"/>
      <c r="BI56" s="53">
        <f>31484+369653+323573</f>
        <v>724710</v>
      </c>
      <c r="BJ56" s="53"/>
      <c r="BK56" s="53">
        <f>56405+78257</f>
        <v>134662</v>
      </c>
      <c r="BL56" s="53"/>
      <c r="BM56" s="53">
        <f t="shared" si="29"/>
        <v>859372</v>
      </c>
      <c r="BN56" s="54" t="s">
        <v>347</v>
      </c>
      <c r="BR56" s="65"/>
      <c r="BS56" s="53"/>
      <c r="BT56" s="53"/>
      <c r="BU56" s="53"/>
      <c r="BV56" s="53"/>
      <c r="BW56" s="53"/>
      <c r="BX56" s="45"/>
      <c r="BY56" s="45"/>
      <c r="BZ56" s="53"/>
      <c r="CA56" s="53"/>
      <c r="CB56" s="53"/>
      <c r="CC56" s="53"/>
      <c r="CD56" s="53"/>
      <c r="CE56" s="53"/>
      <c r="CF56" s="35"/>
      <c r="CH56" s="35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4"/>
    </row>
    <row r="57" spans="1:98" s="55" customFormat="1" ht="12.75" customHeight="1" x14ac:dyDescent="0.2">
      <c r="A57" s="35" t="s">
        <v>75</v>
      </c>
      <c r="B57" s="65"/>
      <c r="C57" s="35" t="s">
        <v>76</v>
      </c>
      <c r="D57" s="44"/>
      <c r="E57" s="53">
        <f t="shared" si="7"/>
        <v>1080885</v>
      </c>
      <c r="F57" s="53"/>
      <c r="G57" s="53">
        <v>7177529</v>
      </c>
      <c r="H57" s="53"/>
      <c r="I57" s="53">
        <v>8258414</v>
      </c>
      <c r="J57" s="53"/>
      <c r="K57" s="53">
        <f t="shared" si="8"/>
        <v>143151</v>
      </c>
      <c r="L57" s="53"/>
      <c r="M57" s="53">
        <v>759400</v>
      </c>
      <c r="N57" s="53"/>
      <c r="O57" s="53">
        <v>902551</v>
      </c>
      <c r="P57" s="53"/>
      <c r="Q57" s="53">
        <v>6408131</v>
      </c>
      <c r="R57" s="53"/>
      <c r="S57" s="53">
        <v>0</v>
      </c>
      <c r="T57" s="53"/>
      <c r="U57" s="53">
        <v>947732</v>
      </c>
      <c r="V57" s="53"/>
      <c r="W57" s="53">
        <f t="shared" si="28"/>
        <v>7355863</v>
      </c>
      <c r="X57" s="53"/>
      <c r="Y57" s="35" t="s">
        <v>75</v>
      </c>
      <c r="AA57" s="35" t="s">
        <v>76</v>
      </c>
      <c r="AB57" s="35"/>
      <c r="AC57" s="53">
        <v>1824348</v>
      </c>
      <c r="AD57" s="53"/>
      <c r="AE57" s="53">
        <f>2022101-304664</f>
        <v>1717437</v>
      </c>
      <c r="AF57" s="53"/>
      <c r="AG57" s="53">
        <v>304664</v>
      </c>
      <c r="AH57" s="53"/>
      <c r="AI57" s="45">
        <f t="shared" si="9"/>
        <v>-197753</v>
      </c>
      <c r="AJ57" s="45"/>
      <c r="AK57" s="53">
        <v>249899</v>
      </c>
      <c r="AL57" s="45"/>
      <c r="AM57" s="53">
        <v>0</v>
      </c>
      <c r="AN57" s="53"/>
      <c r="AO57" s="53">
        <v>24000</v>
      </c>
      <c r="AP57" s="53"/>
      <c r="AQ57" s="53">
        <v>0</v>
      </c>
      <c r="AR57" s="53"/>
      <c r="AS57" s="45">
        <f t="shared" si="4"/>
        <v>28146</v>
      </c>
      <c r="AT57" s="45"/>
      <c r="AU57" s="53">
        <v>0</v>
      </c>
      <c r="AV57" s="53"/>
      <c r="AW57" s="53">
        <v>0</v>
      </c>
      <c r="AX57" s="53"/>
      <c r="AY57" s="53">
        <f t="shared" si="5"/>
        <v>937734</v>
      </c>
      <c r="AZ57" s="53"/>
      <c r="BA57" s="35" t="s">
        <v>75</v>
      </c>
      <c r="BC57" s="35" t="s">
        <v>76</v>
      </c>
      <c r="BD57" s="53"/>
      <c r="BE57" s="53">
        <v>0</v>
      </c>
      <c r="BF57" s="53"/>
      <c r="BG57" s="53">
        <v>0</v>
      </c>
      <c r="BH57" s="53"/>
      <c r="BI57" s="53">
        <f>718867+50531</f>
        <v>769398</v>
      </c>
      <c r="BJ57" s="53"/>
      <c r="BK57" s="53">
        <f>40533+12824</f>
        <v>53357</v>
      </c>
      <c r="BL57" s="53"/>
      <c r="BM57" s="53">
        <f t="shared" si="29"/>
        <v>822755</v>
      </c>
      <c r="BN57" s="54" t="s">
        <v>347</v>
      </c>
      <c r="BR57" s="65"/>
      <c r="BS57" s="53"/>
      <c r="BT57" s="53"/>
      <c r="BU57" s="53"/>
      <c r="BV57" s="53"/>
      <c r="BW57" s="53"/>
      <c r="BX57" s="45"/>
      <c r="BY57" s="45"/>
      <c r="BZ57" s="53"/>
      <c r="CA57" s="53"/>
      <c r="CB57" s="53"/>
      <c r="CC57" s="53"/>
      <c r="CD57" s="53"/>
      <c r="CE57" s="53"/>
      <c r="CF57" s="35"/>
      <c r="CH57" s="35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4"/>
    </row>
    <row r="58" spans="1:98" s="55" customFormat="1" ht="12.75" hidden="1" customHeight="1" x14ac:dyDescent="0.2">
      <c r="A58" s="35" t="s">
        <v>77</v>
      </c>
      <c r="B58" s="65"/>
      <c r="C58" s="35" t="s">
        <v>43</v>
      </c>
      <c r="D58" s="44"/>
      <c r="E58" s="53">
        <f t="shared" si="7"/>
        <v>326690000</v>
      </c>
      <c r="F58" s="53"/>
      <c r="G58" s="53">
        <v>2031577000</v>
      </c>
      <c r="H58" s="53"/>
      <c r="I58" s="53">
        <v>2358267000</v>
      </c>
      <c r="J58" s="53"/>
      <c r="K58" s="53">
        <f t="shared" si="8"/>
        <v>108727000</v>
      </c>
      <c r="L58" s="53"/>
      <c r="M58" s="53">
        <v>1507257000</v>
      </c>
      <c r="N58" s="53"/>
      <c r="O58" s="53">
        <v>1615984000</v>
      </c>
      <c r="P58" s="53"/>
      <c r="Q58" s="53">
        <v>544865000</v>
      </c>
      <c r="R58" s="53"/>
      <c r="S58" s="53">
        <v>1535000</v>
      </c>
      <c r="T58" s="53"/>
      <c r="U58" s="53">
        <v>195883000</v>
      </c>
      <c r="V58" s="53"/>
      <c r="W58" s="53">
        <f t="shared" ref="W58:W63" si="30">SUM(Q58:U58)</f>
        <v>742283000</v>
      </c>
      <c r="X58" s="53"/>
      <c r="Y58" s="35" t="s">
        <v>77</v>
      </c>
      <c r="AA58" s="35" t="s">
        <v>43</v>
      </c>
      <c r="AB58" s="35"/>
      <c r="AC58" s="53">
        <v>222987000</v>
      </c>
      <c r="AD58" s="53"/>
      <c r="AE58" s="53">
        <f>153064000-53492000</f>
        <v>99572000</v>
      </c>
      <c r="AF58" s="53"/>
      <c r="AG58" s="53">
        <v>53492000</v>
      </c>
      <c r="AH58" s="53"/>
      <c r="AI58" s="45">
        <f t="shared" si="9"/>
        <v>69923000</v>
      </c>
      <c r="AJ58" s="45"/>
      <c r="AK58" s="53">
        <v>-51699000</v>
      </c>
      <c r="AL58" s="45"/>
      <c r="AM58" s="53">
        <v>0</v>
      </c>
      <c r="AN58" s="53"/>
      <c r="AO58" s="53">
        <v>18000</v>
      </c>
      <c r="AP58" s="53"/>
      <c r="AQ58" s="53">
        <v>0</v>
      </c>
      <c r="AR58" s="53"/>
      <c r="AS58" s="45">
        <f t="shared" si="4"/>
        <v>18206000</v>
      </c>
      <c r="AT58" s="45"/>
      <c r="AU58" s="53">
        <v>0</v>
      </c>
      <c r="AV58" s="53"/>
      <c r="AW58" s="53">
        <v>0</v>
      </c>
      <c r="AX58" s="53"/>
      <c r="AY58" s="53">
        <f t="shared" si="5"/>
        <v>217963000</v>
      </c>
      <c r="AZ58" s="53"/>
      <c r="BA58" s="35" t="s">
        <v>77</v>
      </c>
      <c r="BC58" s="35" t="s">
        <v>43</v>
      </c>
      <c r="BD58" s="53"/>
      <c r="BE58" s="53">
        <f>1507257+68206</f>
        <v>1575463</v>
      </c>
      <c r="BF58" s="53"/>
      <c r="BG58" s="53">
        <v>0</v>
      </c>
      <c r="BH58" s="53"/>
      <c r="BI58" s="53">
        <v>0</v>
      </c>
      <c r="BJ58" s="53"/>
      <c r="BK58" s="53">
        <v>0</v>
      </c>
      <c r="BL58" s="53"/>
      <c r="BM58" s="53">
        <f t="shared" si="29"/>
        <v>1575463</v>
      </c>
      <c r="BN58" s="54" t="s">
        <v>347</v>
      </c>
      <c r="BR58" s="65"/>
      <c r="BS58" s="53"/>
      <c r="BT58" s="53"/>
      <c r="BU58" s="53"/>
      <c r="BV58" s="53"/>
      <c r="BW58" s="53"/>
      <c r="BX58" s="45"/>
      <c r="BY58" s="45"/>
      <c r="BZ58" s="53"/>
      <c r="CA58" s="53"/>
      <c r="CB58" s="53"/>
      <c r="CC58" s="53"/>
      <c r="CD58" s="53"/>
      <c r="CE58" s="53"/>
      <c r="CF58" s="35"/>
      <c r="CH58" s="35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4"/>
    </row>
    <row r="59" spans="1:98" s="55" customFormat="1" ht="12.75" customHeight="1" x14ac:dyDescent="0.2">
      <c r="A59" s="35" t="s">
        <v>94</v>
      </c>
      <c r="B59" s="51"/>
      <c r="C59" s="35" t="s">
        <v>94</v>
      </c>
      <c r="D59" s="44"/>
      <c r="E59" s="53">
        <f t="shared" si="7"/>
        <v>6187544</v>
      </c>
      <c r="F59" s="53"/>
      <c r="G59" s="53">
        <v>15541919</v>
      </c>
      <c r="H59" s="53"/>
      <c r="I59" s="53">
        <v>21729463</v>
      </c>
      <c r="J59" s="53"/>
      <c r="K59" s="53">
        <f t="shared" si="8"/>
        <v>519367</v>
      </c>
      <c r="L59" s="53"/>
      <c r="M59" s="53">
        <v>11695099</v>
      </c>
      <c r="N59" s="53"/>
      <c r="O59" s="53">
        <v>12214466</v>
      </c>
      <c r="P59" s="53"/>
      <c r="Q59" s="53">
        <v>3508008</v>
      </c>
      <c r="R59" s="53"/>
      <c r="S59" s="53">
        <v>0</v>
      </c>
      <c r="T59" s="53"/>
      <c r="U59" s="53">
        <v>6006989</v>
      </c>
      <c r="V59" s="53"/>
      <c r="W59" s="53">
        <f>SUM(Q59:U59)</f>
        <v>9514997</v>
      </c>
      <c r="X59" s="53"/>
      <c r="Y59" s="35" t="str">
        <f>+A59</f>
        <v>Columbiana</v>
      </c>
      <c r="AA59" s="35" t="s">
        <v>94</v>
      </c>
      <c r="AB59" s="35"/>
      <c r="AC59" s="53">
        <v>1241342</v>
      </c>
      <c r="AD59" s="53"/>
      <c r="AE59" s="53">
        <f>1242011-555341</f>
        <v>686670</v>
      </c>
      <c r="AF59" s="53"/>
      <c r="AG59" s="53">
        <v>555341</v>
      </c>
      <c r="AH59" s="53"/>
      <c r="AI59" s="45">
        <f t="shared" si="9"/>
        <v>-669</v>
      </c>
      <c r="AJ59" s="45"/>
      <c r="AK59" s="53">
        <v>-479562</v>
      </c>
      <c r="AL59" s="45"/>
      <c r="AM59" s="53">
        <v>0</v>
      </c>
      <c r="AN59" s="53"/>
      <c r="AO59" s="53">
        <v>0</v>
      </c>
      <c r="AP59" s="53"/>
      <c r="AQ59" s="53">
        <v>0</v>
      </c>
      <c r="AR59" s="53"/>
      <c r="AS59" s="45">
        <f t="shared" si="4"/>
        <v>-480231</v>
      </c>
      <c r="AT59" s="45"/>
      <c r="AU59" s="53">
        <v>0</v>
      </c>
      <c r="AV59" s="53"/>
      <c r="AW59" s="53">
        <v>0</v>
      </c>
      <c r="AX59" s="53"/>
      <c r="AY59" s="53">
        <f>+E59-K59</f>
        <v>5668177</v>
      </c>
      <c r="AZ59" s="53"/>
      <c r="BA59" s="35" t="str">
        <f>+Y59</f>
        <v>Columbiana</v>
      </c>
      <c r="BC59" s="35" t="s">
        <v>94</v>
      </c>
      <c r="BD59" s="53"/>
      <c r="BE59" s="53">
        <v>0</v>
      </c>
      <c r="BF59" s="53"/>
      <c r="BG59" s="53">
        <f>6647400+93600</f>
        <v>6741000</v>
      </c>
      <c r="BH59" s="53"/>
      <c r="BI59" s="53">
        <f>43489+999422</f>
        <v>1042911</v>
      </c>
      <c r="BJ59" s="53"/>
      <c r="BK59" s="53">
        <f>4025000+23277+13606+225000</f>
        <v>4286883</v>
      </c>
      <c r="BL59" s="53"/>
      <c r="BM59" s="53">
        <f t="shared" si="29"/>
        <v>12070794</v>
      </c>
      <c r="BN59" s="54" t="s">
        <v>347</v>
      </c>
      <c r="BO59" s="35"/>
      <c r="BR59" s="51"/>
      <c r="BS59" s="53"/>
      <c r="BT59" s="53"/>
      <c r="BU59" s="53"/>
      <c r="BV59" s="53"/>
      <c r="BW59" s="45"/>
      <c r="BX59" s="45"/>
      <c r="BY59" s="53"/>
      <c r="BZ59" s="53"/>
      <c r="CA59" s="53"/>
      <c r="CB59" s="53"/>
      <c r="CC59" s="53"/>
      <c r="CD59" s="53"/>
      <c r="CE59" s="53"/>
      <c r="CF59" s="35"/>
      <c r="CH59" s="35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4"/>
      <c r="CT59" s="35"/>
    </row>
    <row r="60" spans="1:98" s="55" customFormat="1" ht="12.75" customHeight="1" x14ac:dyDescent="0.2">
      <c r="A60" s="35" t="s">
        <v>78</v>
      </c>
      <c r="B60" s="51"/>
      <c r="C60" s="35" t="s">
        <v>19</v>
      </c>
      <c r="D60" s="44"/>
      <c r="E60" s="53">
        <f t="shared" si="7"/>
        <v>661684</v>
      </c>
      <c r="F60" s="53"/>
      <c r="G60" s="53">
        <v>10126064</v>
      </c>
      <c r="H60" s="53"/>
      <c r="I60" s="53">
        <v>10787748</v>
      </c>
      <c r="J60" s="53"/>
      <c r="K60" s="53">
        <f t="shared" si="8"/>
        <v>599449</v>
      </c>
      <c r="L60" s="53"/>
      <c r="M60" s="53">
        <v>3371832</v>
      </c>
      <c r="N60" s="53"/>
      <c r="O60" s="53">
        <v>3971281</v>
      </c>
      <c r="P60" s="53"/>
      <c r="Q60" s="53">
        <v>6455268</v>
      </c>
      <c r="R60" s="53"/>
      <c r="S60" s="53">
        <v>0</v>
      </c>
      <c r="T60" s="53"/>
      <c r="U60" s="53">
        <v>361199</v>
      </c>
      <c r="V60" s="53"/>
      <c r="W60" s="53">
        <f t="shared" si="30"/>
        <v>6816467</v>
      </c>
      <c r="X60" s="53"/>
      <c r="Y60" s="35" t="s">
        <v>78</v>
      </c>
      <c r="AA60" s="35" t="s">
        <v>19</v>
      </c>
      <c r="AB60" s="35"/>
      <c r="AC60" s="53">
        <v>2354668</v>
      </c>
      <c r="AD60" s="53"/>
      <c r="AE60" s="53">
        <f>1748538-358213</f>
        <v>1390325</v>
      </c>
      <c r="AF60" s="53"/>
      <c r="AG60" s="53">
        <v>358213</v>
      </c>
      <c r="AH60" s="53"/>
      <c r="AI60" s="45">
        <f t="shared" si="9"/>
        <v>606130</v>
      </c>
      <c r="AJ60" s="45"/>
      <c r="AK60" s="53">
        <v>-134762</v>
      </c>
      <c r="AL60" s="45"/>
      <c r="AM60" s="53">
        <v>0</v>
      </c>
      <c r="AN60" s="53"/>
      <c r="AO60" s="53">
        <v>0</v>
      </c>
      <c r="AP60" s="53"/>
      <c r="AQ60" s="53">
        <v>0</v>
      </c>
      <c r="AR60" s="53"/>
      <c r="AS60" s="45">
        <f t="shared" si="4"/>
        <v>471368</v>
      </c>
      <c r="AT60" s="45"/>
      <c r="AU60" s="53">
        <v>0</v>
      </c>
      <c r="AV60" s="53"/>
      <c r="AW60" s="53">
        <v>0</v>
      </c>
      <c r="AX60" s="53"/>
      <c r="AY60" s="53">
        <f t="shared" si="5"/>
        <v>62235</v>
      </c>
      <c r="AZ60" s="53"/>
      <c r="BA60" s="35" t="s">
        <v>78</v>
      </c>
      <c r="BC60" s="35" t="s">
        <v>19</v>
      </c>
      <c r="BD60" s="53"/>
      <c r="BE60" s="53">
        <v>0</v>
      </c>
      <c r="BF60" s="53"/>
      <c r="BG60" s="53">
        <v>0</v>
      </c>
      <c r="BH60" s="53"/>
      <c r="BI60" s="53">
        <f>3301+281750+15333+58108+2863605+107334</f>
        <v>3329431</v>
      </c>
      <c r="BJ60" s="53"/>
      <c r="BK60" s="53">
        <f>130000+200000+23071+142785</f>
        <v>495856</v>
      </c>
      <c r="BL60" s="53"/>
      <c r="BM60" s="53">
        <f t="shared" si="29"/>
        <v>3825287</v>
      </c>
      <c r="BN60" s="54" t="s">
        <v>347</v>
      </c>
      <c r="BR60" s="51"/>
      <c r="BS60" s="53"/>
      <c r="BT60" s="53"/>
      <c r="BU60" s="53"/>
      <c r="BV60" s="53"/>
      <c r="BW60" s="53"/>
      <c r="BX60" s="45"/>
      <c r="BY60" s="45"/>
      <c r="BZ60" s="53"/>
      <c r="CA60" s="53"/>
      <c r="CB60" s="53"/>
      <c r="CC60" s="53"/>
      <c r="CD60" s="53"/>
      <c r="CE60" s="53"/>
      <c r="CF60" s="35"/>
      <c r="CH60" s="35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4"/>
    </row>
    <row r="61" spans="1:98" s="55" customFormat="1" ht="12.75" customHeight="1" x14ac:dyDescent="0.2">
      <c r="A61" s="35" t="s">
        <v>79</v>
      </c>
      <c r="C61" s="35" t="s">
        <v>80</v>
      </c>
      <c r="D61" s="44"/>
      <c r="E61" s="53">
        <f t="shared" si="7"/>
        <v>305677</v>
      </c>
      <c r="F61" s="53"/>
      <c r="G61" s="53">
        <v>5078998</v>
      </c>
      <c r="H61" s="53"/>
      <c r="I61" s="53">
        <v>5384675</v>
      </c>
      <c r="J61" s="53"/>
      <c r="K61" s="53">
        <f t="shared" si="8"/>
        <v>55505</v>
      </c>
      <c r="L61" s="53"/>
      <c r="M61" s="53">
        <v>98814</v>
      </c>
      <c r="N61" s="53"/>
      <c r="O61" s="53">
        <v>154319</v>
      </c>
      <c r="P61" s="53"/>
      <c r="Q61" s="53">
        <v>4973328</v>
      </c>
      <c r="R61" s="53"/>
      <c r="S61" s="53">
        <v>0</v>
      </c>
      <c r="T61" s="53"/>
      <c r="U61" s="53">
        <v>257028</v>
      </c>
      <c r="V61" s="53"/>
      <c r="W61" s="53">
        <f t="shared" si="30"/>
        <v>5230356</v>
      </c>
      <c r="X61" s="53"/>
      <c r="Y61" s="35" t="s">
        <v>79</v>
      </c>
      <c r="AA61" s="35" t="s">
        <v>80</v>
      </c>
      <c r="AB61" s="35"/>
      <c r="AC61" s="53">
        <v>726426</v>
      </c>
      <c r="AD61" s="53"/>
      <c r="AE61" s="53">
        <f>1179866-194377</f>
        <v>985489</v>
      </c>
      <c r="AF61" s="53"/>
      <c r="AG61" s="53">
        <v>194377</v>
      </c>
      <c r="AH61" s="53"/>
      <c r="AI61" s="45">
        <f t="shared" si="9"/>
        <v>-453440</v>
      </c>
      <c r="AJ61" s="45"/>
      <c r="AK61" s="53">
        <v>6326</v>
      </c>
      <c r="AL61" s="45"/>
      <c r="AM61" s="53">
        <v>0</v>
      </c>
      <c r="AN61" s="53"/>
      <c r="AO61" s="53">
        <v>0</v>
      </c>
      <c r="AP61" s="53"/>
      <c r="AQ61" s="53">
        <v>0</v>
      </c>
      <c r="AR61" s="53"/>
      <c r="AS61" s="45">
        <f t="shared" si="4"/>
        <v>-447114</v>
      </c>
      <c r="AT61" s="45"/>
      <c r="AU61" s="53">
        <v>0</v>
      </c>
      <c r="AV61" s="53"/>
      <c r="AW61" s="53">
        <v>0</v>
      </c>
      <c r="AX61" s="53"/>
      <c r="AY61" s="53">
        <f t="shared" si="5"/>
        <v>250172</v>
      </c>
      <c r="AZ61" s="53"/>
      <c r="BA61" s="35" t="s">
        <v>79</v>
      </c>
      <c r="BC61" s="35" t="s">
        <v>80</v>
      </c>
      <c r="BD61" s="53"/>
      <c r="BE61" s="53">
        <v>0</v>
      </c>
      <c r="BF61" s="53"/>
      <c r="BG61" s="53">
        <v>0</v>
      </c>
      <c r="BH61" s="53"/>
      <c r="BI61" s="53">
        <f>33893+71777</f>
        <v>105670</v>
      </c>
      <c r="BJ61" s="53"/>
      <c r="BK61" s="53">
        <f>4920+27037</f>
        <v>31957</v>
      </c>
      <c r="BL61" s="53"/>
      <c r="BM61" s="53">
        <f t="shared" si="29"/>
        <v>137627</v>
      </c>
      <c r="BN61" s="54" t="s">
        <v>347</v>
      </c>
      <c r="BR61" s="51"/>
      <c r="BS61" s="53"/>
      <c r="BT61" s="53"/>
      <c r="BU61" s="53"/>
      <c r="BV61" s="53"/>
      <c r="BW61" s="53"/>
      <c r="BX61" s="45"/>
      <c r="BY61" s="45"/>
      <c r="BZ61" s="53"/>
      <c r="CA61" s="53"/>
      <c r="CB61" s="53"/>
      <c r="CC61" s="53"/>
      <c r="CD61" s="53"/>
      <c r="CE61" s="53"/>
      <c r="CF61" s="35"/>
      <c r="CH61" s="35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4"/>
    </row>
    <row r="62" spans="1:98" s="55" customFormat="1" ht="12.75" customHeight="1" x14ac:dyDescent="0.2">
      <c r="A62" s="35" t="s">
        <v>81</v>
      </c>
      <c r="B62" s="51"/>
      <c r="C62" s="35" t="s">
        <v>81</v>
      </c>
      <c r="D62" s="44"/>
      <c r="E62" s="53">
        <f t="shared" si="7"/>
        <v>1459470</v>
      </c>
      <c r="F62" s="53"/>
      <c r="G62" s="53">
        <v>8682084</v>
      </c>
      <c r="H62" s="53"/>
      <c r="I62" s="53">
        <v>10141554</v>
      </c>
      <c r="J62" s="53"/>
      <c r="K62" s="53">
        <f t="shared" si="8"/>
        <v>326672</v>
      </c>
      <c r="L62" s="53"/>
      <c r="M62" s="53">
        <v>7583377</v>
      </c>
      <c r="N62" s="53"/>
      <c r="O62" s="53">
        <v>7910049</v>
      </c>
      <c r="P62" s="53"/>
      <c r="Q62" s="53">
        <v>954614</v>
      </c>
      <c r="R62" s="53"/>
      <c r="S62" s="53">
        <v>0</v>
      </c>
      <c r="T62" s="53"/>
      <c r="U62" s="53">
        <v>1276891</v>
      </c>
      <c r="V62" s="53"/>
      <c r="W62" s="53">
        <f t="shared" si="30"/>
        <v>2231505</v>
      </c>
      <c r="X62" s="53"/>
      <c r="Y62" s="35" t="s">
        <v>81</v>
      </c>
      <c r="AA62" s="35" t="s">
        <v>81</v>
      </c>
      <c r="AB62" s="35"/>
      <c r="AC62" s="53">
        <v>1903075</v>
      </c>
      <c r="AD62" s="53"/>
      <c r="AE62" s="53">
        <f>1517699-352453</f>
        <v>1165246</v>
      </c>
      <c r="AF62" s="53"/>
      <c r="AG62" s="53">
        <v>352453</v>
      </c>
      <c r="AH62" s="53"/>
      <c r="AI62" s="45">
        <f t="shared" si="9"/>
        <v>385376</v>
      </c>
      <c r="AJ62" s="45"/>
      <c r="AK62" s="53">
        <v>-265887</v>
      </c>
      <c r="AL62" s="45"/>
      <c r="AM62" s="53">
        <v>0</v>
      </c>
      <c r="AN62" s="53"/>
      <c r="AO62" s="53">
        <v>0</v>
      </c>
      <c r="AP62" s="53"/>
      <c r="AQ62" s="53">
        <v>0</v>
      </c>
      <c r="AR62" s="53"/>
      <c r="AS62" s="45">
        <f t="shared" si="4"/>
        <v>119489</v>
      </c>
      <c r="AT62" s="45"/>
      <c r="AU62" s="53">
        <v>0</v>
      </c>
      <c r="AV62" s="53"/>
      <c r="AW62" s="53">
        <v>0</v>
      </c>
      <c r="AX62" s="53"/>
      <c r="AY62" s="53">
        <f t="shared" si="5"/>
        <v>1132798</v>
      </c>
      <c r="AZ62" s="53"/>
      <c r="BA62" s="35" t="s">
        <v>81</v>
      </c>
      <c r="BC62" s="35" t="s">
        <v>81</v>
      </c>
      <c r="BD62" s="53"/>
      <c r="BE62" s="53">
        <v>0</v>
      </c>
      <c r="BF62" s="53"/>
      <c r="BG62" s="53">
        <v>241802</v>
      </c>
      <c r="BH62" s="53"/>
      <c r="BI62" s="53">
        <v>7492885</v>
      </c>
      <c r="BJ62" s="53"/>
      <c r="BK62" s="53">
        <f>90492+7130</f>
        <v>97622</v>
      </c>
      <c r="BL62" s="53"/>
      <c r="BM62" s="53">
        <f t="shared" si="29"/>
        <v>7832309</v>
      </c>
      <c r="BN62" s="54" t="s">
        <v>347</v>
      </c>
      <c r="BR62" s="51"/>
      <c r="BS62" s="53"/>
      <c r="BT62" s="53"/>
      <c r="BU62" s="53"/>
      <c r="BV62" s="53"/>
      <c r="BW62" s="53"/>
      <c r="BX62" s="45"/>
      <c r="BY62" s="45"/>
      <c r="BZ62" s="53"/>
      <c r="CA62" s="53"/>
      <c r="CB62" s="53"/>
      <c r="CC62" s="53"/>
      <c r="CD62" s="53"/>
      <c r="CE62" s="53"/>
      <c r="CF62" s="44"/>
      <c r="CH62" s="44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4"/>
    </row>
    <row r="63" spans="1:98" s="140" customFormat="1" ht="12.75" hidden="1" customHeight="1" x14ac:dyDescent="0.2">
      <c r="A63" s="122" t="s">
        <v>465</v>
      </c>
      <c r="B63" s="122"/>
      <c r="C63" s="122" t="s">
        <v>57</v>
      </c>
      <c r="D63" s="121"/>
      <c r="E63" s="137">
        <f t="shared" si="7"/>
        <v>0</v>
      </c>
      <c r="F63" s="137"/>
      <c r="G63" s="137"/>
      <c r="H63" s="137"/>
      <c r="I63" s="137"/>
      <c r="J63" s="137"/>
      <c r="K63" s="137">
        <f t="shared" si="8"/>
        <v>0</v>
      </c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>
        <f t="shared" si="30"/>
        <v>0</v>
      </c>
      <c r="X63" s="137"/>
      <c r="Y63" s="122" t="s">
        <v>465</v>
      </c>
      <c r="Z63" s="122"/>
      <c r="AA63" s="122" t="s">
        <v>57</v>
      </c>
      <c r="AB63" s="126"/>
      <c r="AC63" s="137"/>
      <c r="AD63" s="137"/>
      <c r="AE63" s="137"/>
      <c r="AF63" s="137"/>
      <c r="AG63" s="137"/>
      <c r="AH63" s="137"/>
      <c r="AI63" s="127">
        <f t="shared" si="9"/>
        <v>0</v>
      </c>
      <c r="AJ63" s="127"/>
      <c r="AK63" s="137"/>
      <c r="AL63" s="127"/>
      <c r="AM63" s="137"/>
      <c r="AN63" s="137"/>
      <c r="AO63" s="137"/>
      <c r="AP63" s="137"/>
      <c r="AQ63" s="137"/>
      <c r="AR63" s="137"/>
      <c r="AS63" s="127">
        <f t="shared" si="4"/>
        <v>0</v>
      </c>
      <c r="AT63" s="127"/>
      <c r="AU63" s="137">
        <v>0</v>
      </c>
      <c r="AV63" s="137"/>
      <c r="AW63" s="137">
        <v>0</v>
      </c>
      <c r="AX63" s="137"/>
      <c r="AY63" s="137">
        <f t="shared" si="5"/>
        <v>0</v>
      </c>
      <c r="AZ63" s="137"/>
      <c r="BA63" s="122" t="s">
        <v>465</v>
      </c>
      <c r="BB63" s="122"/>
      <c r="BC63" s="122" t="s">
        <v>57</v>
      </c>
      <c r="BD63" s="137"/>
      <c r="BE63" s="137"/>
      <c r="BF63" s="137"/>
      <c r="BG63" s="137"/>
      <c r="BH63" s="137"/>
      <c r="BI63" s="137"/>
      <c r="BJ63" s="137"/>
      <c r="BK63" s="137"/>
      <c r="BL63" s="137"/>
      <c r="BM63" s="137">
        <f t="shared" si="29"/>
        <v>0</v>
      </c>
      <c r="BN63" s="139" t="s">
        <v>347</v>
      </c>
      <c r="BR63" s="124"/>
      <c r="BS63" s="137"/>
      <c r="BT63" s="137"/>
      <c r="BU63" s="137"/>
      <c r="BV63" s="137"/>
      <c r="BW63" s="137"/>
      <c r="BX63" s="127"/>
      <c r="BY63" s="127"/>
      <c r="BZ63" s="137"/>
      <c r="CA63" s="137"/>
      <c r="CB63" s="137"/>
      <c r="CC63" s="137"/>
      <c r="CD63" s="137"/>
      <c r="CE63" s="137"/>
      <c r="CF63" s="126"/>
      <c r="CH63" s="126"/>
      <c r="CI63" s="137"/>
      <c r="CJ63" s="137"/>
      <c r="CK63" s="137"/>
      <c r="CL63" s="137"/>
      <c r="CM63" s="137"/>
      <c r="CN63" s="137"/>
      <c r="CO63" s="137"/>
      <c r="CP63" s="137"/>
      <c r="CQ63" s="137"/>
      <c r="CR63" s="137"/>
      <c r="CS63" s="139"/>
    </row>
    <row r="64" spans="1:98" s="55" customFormat="1" ht="12.75" customHeight="1" x14ac:dyDescent="0.2">
      <c r="A64" s="35" t="s">
        <v>82</v>
      </c>
      <c r="B64" s="51"/>
      <c r="C64" s="35" t="s">
        <v>13</v>
      </c>
      <c r="D64" s="44"/>
      <c r="E64" s="53">
        <f t="shared" si="7"/>
        <v>4676203</v>
      </c>
      <c r="F64" s="53"/>
      <c r="G64" s="53">
        <v>21257388</v>
      </c>
      <c r="H64" s="53"/>
      <c r="I64" s="53">
        <v>25933591</v>
      </c>
      <c r="J64" s="53"/>
      <c r="K64" s="53">
        <f t="shared" si="8"/>
        <v>2575962</v>
      </c>
      <c r="L64" s="53"/>
      <c r="M64" s="53">
        <v>5978574</v>
      </c>
      <c r="N64" s="53"/>
      <c r="O64" s="53">
        <v>8554536</v>
      </c>
      <c r="P64" s="53"/>
      <c r="Q64" s="53">
        <v>14930456</v>
      </c>
      <c r="R64" s="53"/>
      <c r="S64" s="53">
        <v>0</v>
      </c>
      <c r="T64" s="53"/>
      <c r="U64" s="53">
        <v>2448599</v>
      </c>
      <c r="V64" s="53"/>
      <c r="W64" s="53">
        <f t="shared" ref="W64:W65" si="31">SUM(Q64:U64)</f>
        <v>17379055</v>
      </c>
      <c r="X64" s="53"/>
      <c r="Y64" s="35" t="s">
        <v>82</v>
      </c>
      <c r="AA64" s="35" t="s">
        <v>13</v>
      </c>
      <c r="AB64" s="35"/>
      <c r="AC64" s="53">
        <v>6231058</v>
      </c>
      <c r="AD64" s="53"/>
      <c r="AE64" s="53">
        <f>6215572-847268</f>
        <v>5368304</v>
      </c>
      <c r="AF64" s="53"/>
      <c r="AG64" s="53">
        <v>847268</v>
      </c>
      <c r="AH64" s="53"/>
      <c r="AI64" s="45">
        <f t="shared" si="9"/>
        <v>15486</v>
      </c>
      <c r="AJ64" s="45"/>
      <c r="AK64" s="53">
        <v>-262378</v>
      </c>
      <c r="AL64" s="45"/>
      <c r="AM64" s="53">
        <v>0</v>
      </c>
      <c r="AN64" s="53"/>
      <c r="AO64" s="53">
        <v>0</v>
      </c>
      <c r="AP64" s="53"/>
      <c r="AQ64" s="53">
        <v>0</v>
      </c>
      <c r="AR64" s="53"/>
      <c r="AS64" s="45">
        <f t="shared" si="4"/>
        <v>-246892</v>
      </c>
      <c r="AT64" s="45"/>
      <c r="AU64" s="53">
        <v>0</v>
      </c>
      <c r="AV64" s="53"/>
      <c r="AW64" s="53">
        <v>0</v>
      </c>
      <c r="AX64" s="53"/>
      <c r="AY64" s="53">
        <f t="shared" si="5"/>
        <v>2100241</v>
      </c>
      <c r="AZ64" s="53"/>
      <c r="BA64" s="35" t="s">
        <v>82</v>
      </c>
      <c r="BC64" s="35" t="s">
        <v>13</v>
      </c>
      <c r="BD64" s="53"/>
      <c r="BE64" s="53">
        <f>1636000+271000+98385</f>
        <v>2005385</v>
      </c>
      <c r="BF64" s="53"/>
      <c r="BG64" s="53">
        <v>0</v>
      </c>
      <c r="BH64" s="53"/>
      <c r="BI64" s="53">
        <v>0</v>
      </c>
      <c r="BJ64" s="53"/>
      <c r="BK64" s="53">
        <f>207549+3866640+464001+54522</f>
        <v>4592712</v>
      </c>
      <c r="BL64" s="53"/>
      <c r="BM64" s="53">
        <f t="shared" si="29"/>
        <v>6598097</v>
      </c>
      <c r="BN64" s="54" t="s">
        <v>347</v>
      </c>
      <c r="BR64" s="51"/>
      <c r="BS64" s="53"/>
      <c r="BT64" s="53"/>
      <c r="BU64" s="53"/>
      <c r="BV64" s="53"/>
      <c r="BW64" s="53"/>
      <c r="BX64" s="45"/>
      <c r="BY64" s="45"/>
      <c r="BZ64" s="53"/>
      <c r="CA64" s="53"/>
      <c r="CB64" s="53"/>
      <c r="CC64" s="53"/>
      <c r="CD64" s="53"/>
      <c r="CE64" s="53"/>
      <c r="CF64" s="35"/>
      <c r="CH64" s="35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4"/>
    </row>
    <row r="65" spans="1:105" s="55" customFormat="1" ht="12.75" customHeight="1" x14ac:dyDescent="0.2">
      <c r="A65" s="35" t="s">
        <v>83</v>
      </c>
      <c r="B65" s="51"/>
      <c r="C65" s="35" t="s">
        <v>66</v>
      </c>
      <c r="D65" s="44"/>
      <c r="E65" s="53">
        <f t="shared" si="7"/>
        <v>36652789</v>
      </c>
      <c r="F65" s="53"/>
      <c r="G65" s="53">
        <v>88796948</v>
      </c>
      <c r="H65" s="53"/>
      <c r="I65" s="53">
        <v>125449737</v>
      </c>
      <c r="J65" s="53"/>
      <c r="K65" s="53">
        <f t="shared" si="8"/>
        <v>6459927</v>
      </c>
      <c r="L65" s="53"/>
      <c r="M65" s="53">
        <v>9779528</v>
      </c>
      <c r="N65" s="53"/>
      <c r="O65" s="53">
        <v>16239455</v>
      </c>
      <c r="P65" s="53"/>
      <c r="Q65" s="53">
        <v>78458034</v>
      </c>
      <c r="R65" s="53"/>
      <c r="S65" s="53">
        <v>0</v>
      </c>
      <c r="T65" s="53"/>
      <c r="U65" s="53">
        <v>30752248</v>
      </c>
      <c r="V65" s="53"/>
      <c r="W65" s="53">
        <f t="shared" si="31"/>
        <v>109210282</v>
      </c>
      <c r="X65" s="53"/>
      <c r="Y65" s="35" t="s">
        <v>83</v>
      </c>
      <c r="AA65" s="35" t="s">
        <v>66</v>
      </c>
      <c r="AB65" s="35"/>
      <c r="AC65" s="53">
        <v>31970453</v>
      </c>
      <c r="AD65" s="53"/>
      <c r="AE65" s="53">
        <f>31867611-7747744</f>
        <v>24119867</v>
      </c>
      <c r="AF65" s="53"/>
      <c r="AG65" s="53">
        <v>7747744</v>
      </c>
      <c r="AH65" s="53"/>
      <c r="AI65" s="45">
        <f t="shared" si="9"/>
        <v>102842</v>
      </c>
      <c r="AJ65" s="45"/>
      <c r="AK65" s="53">
        <v>-394690</v>
      </c>
      <c r="AL65" s="45"/>
      <c r="AM65" s="53">
        <v>0</v>
      </c>
      <c r="AN65" s="53"/>
      <c r="AO65" s="53">
        <v>0</v>
      </c>
      <c r="AP65" s="53"/>
      <c r="AQ65" s="53">
        <v>337911</v>
      </c>
      <c r="AR65" s="53"/>
      <c r="AS65" s="45">
        <f t="shared" si="4"/>
        <v>46063</v>
      </c>
      <c r="AT65" s="45"/>
      <c r="AU65" s="53">
        <v>0</v>
      </c>
      <c r="AV65" s="53"/>
      <c r="AW65" s="53">
        <v>0</v>
      </c>
      <c r="AX65" s="53"/>
      <c r="AY65" s="53">
        <f t="shared" si="5"/>
        <v>30192862</v>
      </c>
      <c r="AZ65" s="53"/>
      <c r="BA65" s="35" t="s">
        <v>83</v>
      </c>
      <c r="BC65" s="35" t="s">
        <v>66</v>
      </c>
      <c r="BD65" s="53"/>
      <c r="BE65" s="53">
        <v>0</v>
      </c>
      <c r="BF65" s="53"/>
      <c r="BG65" s="53">
        <v>0</v>
      </c>
      <c r="BH65" s="53"/>
      <c r="BI65" s="53">
        <f>9175000+400000+713914+50000</f>
        <v>10338914</v>
      </c>
      <c r="BJ65" s="53"/>
      <c r="BK65" s="53">
        <f>204528+492157</f>
        <v>696685</v>
      </c>
      <c r="BL65" s="53"/>
      <c r="BM65" s="53">
        <f t="shared" si="29"/>
        <v>11035599</v>
      </c>
      <c r="BN65" s="54" t="s">
        <v>347</v>
      </c>
      <c r="BR65" s="51"/>
      <c r="BS65" s="53"/>
      <c r="BT65" s="53"/>
      <c r="BU65" s="53"/>
      <c r="BV65" s="53"/>
      <c r="BW65" s="45"/>
      <c r="BX65" s="45"/>
      <c r="BY65" s="53"/>
      <c r="BZ65" s="53"/>
      <c r="CA65" s="53"/>
      <c r="CB65" s="53"/>
      <c r="CC65" s="53"/>
      <c r="CD65" s="53"/>
      <c r="CE65" s="53"/>
      <c r="CF65" s="35"/>
      <c r="CH65" s="35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4"/>
    </row>
    <row r="66" spans="1:105" s="140" customFormat="1" ht="12.75" hidden="1" customHeight="1" x14ac:dyDescent="0.2">
      <c r="A66" s="126" t="s">
        <v>84</v>
      </c>
      <c r="B66" s="124"/>
      <c r="C66" s="126" t="s">
        <v>45</v>
      </c>
      <c r="D66" s="121"/>
      <c r="E66" s="53">
        <f t="shared" si="7"/>
        <v>0</v>
      </c>
      <c r="F66" s="53"/>
      <c r="G66" s="53"/>
      <c r="H66" s="53"/>
      <c r="I66" s="53"/>
      <c r="J66" s="53"/>
      <c r="K66" s="53">
        <f t="shared" si="8"/>
        <v>0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137"/>
      <c r="W66" s="137">
        <f t="shared" ref="W66:W72" si="32">SUM(Q66:U66)</f>
        <v>0</v>
      </c>
      <c r="X66" s="137"/>
      <c r="Y66" s="126" t="s">
        <v>84</v>
      </c>
      <c r="AA66" s="126" t="s">
        <v>45</v>
      </c>
      <c r="AB66" s="126"/>
      <c r="AC66" s="53"/>
      <c r="AD66" s="53"/>
      <c r="AE66" s="53"/>
      <c r="AF66" s="53"/>
      <c r="AG66" s="53"/>
      <c r="AH66" s="53"/>
      <c r="AI66" s="45">
        <f t="shared" si="9"/>
        <v>0</v>
      </c>
      <c r="AJ66" s="45"/>
      <c r="AK66" s="53"/>
      <c r="AL66" s="45"/>
      <c r="AM66" s="53"/>
      <c r="AN66" s="53"/>
      <c r="AO66" s="53"/>
      <c r="AP66" s="53"/>
      <c r="AQ66" s="53"/>
      <c r="AR66" s="137"/>
      <c r="AS66" s="45">
        <f t="shared" si="4"/>
        <v>0</v>
      </c>
      <c r="AT66" s="127"/>
      <c r="AU66" s="137">
        <v>0</v>
      </c>
      <c r="AV66" s="137"/>
      <c r="AW66" s="137">
        <v>0</v>
      </c>
      <c r="AX66" s="137"/>
      <c r="AY66" s="137">
        <f t="shared" si="5"/>
        <v>0</v>
      </c>
      <c r="AZ66" s="137"/>
      <c r="BA66" s="126" t="s">
        <v>84</v>
      </c>
      <c r="BC66" s="126" t="s">
        <v>45</v>
      </c>
      <c r="BD66" s="137"/>
      <c r="BE66" s="53"/>
      <c r="BF66" s="53"/>
      <c r="BG66" s="53"/>
      <c r="BH66" s="53"/>
      <c r="BI66" s="53"/>
      <c r="BJ66" s="53"/>
      <c r="BK66" s="53"/>
      <c r="BL66" s="137"/>
      <c r="BM66" s="137">
        <f t="shared" si="29"/>
        <v>0</v>
      </c>
      <c r="BN66" s="139" t="s">
        <v>347</v>
      </c>
      <c r="BR66" s="124"/>
      <c r="BS66" s="137"/>
      <c r="BT66" s="137"/>
      <c r="BU66" s="137"/>
      <c r="BV66" s="137"/>
      <c r="BW66" s="127"/>
      <c r="BX66" s="127"/>
      <c r="BY66" s="137"/>
      <c r="BZ66" s="137"/>
      <c r="CA66" s="137"/>
      <c r="CB66" s="137"/>
      <c r="CC66" s="137"/>
      <c r="CD66" s="137"/>
      <c r="CE66" s="137"/>
      <c r="CF66" s="126"/>
      <c r="CH66" s="126"/>
      <c r="CI66" s="137"/>
      <c r="CJ66" s="137"/>
      <c r="CK66" s="137"/>
      <c r="CL66" s="137"/>
      <c r="CM66" s="137"/>
      <c r="CN66" s="137"/>
      <c r="CO66" s="137"/>
      <c r="CP66" s="137"/>
      <c r="CQ66" s="137"/>
      <c r="CR66" s="137"/>
      <c r="CS66" s="139"/>
    </row>
    <row r="67" spans="1:105" s="55" customFormat="1" ht="12.75" customHeight="1" x14ac:dyDescent="0.2">
      <c r="A67" s="35" t="s">
        <v>85</v>
      </c>
      <c r="B67" s="51"/>
      <c r="C67" s="35" t="s">
        <v>85</v>
      </c>
      <c r="D67" s="44"/>
      <c r="E67" s="53">
        <f t="shared" si="7"/>
        <v>3887132</v>
      </c>
      <c r="F67" s="53"/>
      <c r="G67" s="53">
        <v>40596937</v>
      </c>
      <c r="H67" s="53"/>
      <c r="I67" s="53">
        <v>44484069</v>
      </c>
      <c r="J67" s="53"/>
      <c r="K67" s="53">
        <f t="shared" si="8"/>
        <v>6394792</v>
      </c>
      <c r="L67" s="53"/>
      <c r="M67" s="53">
        <v>24876388</v>
      </c>
      <c r="N67" s="53"/>
      <c r="O67" s="53">
        <v>31271180</v>
      </c>
      <c r="P67" s="53"/>
      <c r="Q67" s="53">
        <v>9635146</v>
      </c>
      <c r="R67" s="53"/>
      <c r="S67" s="53">
        <v>0</v>
      </c>
      <c r="T67" s="53"/>
      <c r="U67" s="53">
        <v>3577743</v>
      </c>
      <c r="V67" s="53"/>
      <c r="W67" s="53">
        <f t="shared" si="32"/>
        <v>13212889</v>
      </c>
      <c r="X67" s="53"/>
      <c r="Y67" s="35" t="s">
        <v>85</v>
      </c>
      <c r="AA67" s="35" t="s">
        <v>85</v>
      </c>
      <c r="AB67" s="35"/>
      <c r="AC67" s="53">
        <v>6354785</v>
      </c>
      <c r="AD67" s="53"/>
      <c r="AE67" s="53">
        <f>3559824-605556</f>
        <v>2954268</v>
      </c>
      <c r="AF67" s="53"/>
      <c r="AG67" s="53">
        <v>605556</v>
      </c>
      <c r="AH67" s="53"/>
      <c r="AI67" s="45">
        <f t="shared" si="9"/>
        <v>2794961</v>
      </c>
      <c r="AJ67" s="45"/>
      <c r="AK67" s="53">
        <v>-1239897</v>
      </c>
      <c r="AL67" s="45"/>
      <c r="AM67" s="53">
        <v>7230</v>
      </c>
      <c r="AN67" s="53"/>
      <c r="AO67" s="53">
        <v>0</v>
      </c>
      <c r="AP67" s="53"/>
      <c r="AQ67" s="53">
        <v>43179</v>
      </c>
      <c r="AR67" s="53"/>
      <c r="AS67" s="45">
        <f t="shared" si="4"/>
        <v>1605473</v>
      </c>
      <c r="AT67" s="45"/>
      <c r="AU67" s="53">
        <v>0</v>
      </c>
      <c r="AV67" s="53"/>
      <c r="AW67" s="53">
        <v>0</v>
      </c>
      <c r="AX67" s="53"/>
      <c r="AY67" s="53">
        <f t="shared" si="5"/>
        <v>-2507660</v>
      </c>
      <c r="AZ67" s="53"/>
      <c r="BA67" s="35" t="s">
        <v>85</v>
      </c>
      <c r="BC67" s="35" t="s">
        <v>85</v>
      </c>
      <c r="BD67" s="53"/>
      <c r="BE67" s="53">
        <v>0</v>
      </c>
      <c r="BF67" s="53"/>
      <c r="BG67" s="53">
        <v>0</v>
      </c>
      <c r="BH67" s="53"/>
      <c r="BI67" s="53">
        <f>10710+1205884+80322+24707423</f>
        <v>26004339</v>
      </c>
      <c r="BJ67" s="53"/>
      <c r="BK67" s="53">
        <f>7645+79307+33594+9336</f>
        <v>129882</v>
      </c>
      <c r="BL67" s="53"/>
      <c r="BM67" s="53">
        <f t="shared" si="29"/>
        <v>26134221</v>
      </c>
      <c r="BN67" s="54" t="s">
        <v>347</v>
      </c>
      <c r="BR67" s="51"/>
      <c r="BS67" s="53"/>
      <c r="BT67" s="53"/>
      <c r="BU67" s="53"/>
      <c r="BV67" s="53"/>
      <c r="BW67" s="45"/>
      <c r="BX67" s="45"/>
      <c r="BY67" s="53"/>
      <c r="BZ67" s="53"/>
      <c r="CA67" s="53"/>
      <c r="CB67" s="53"/>
      <c r="CC67" s="53"/>
      <c r="CD67" s="53"/>
      <c r="CE67" s="53"/>
      <c r="CF67" s="35"/>
      <c r="CH67" s="35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4"/>
    </row>
    <row r="68" spans="1:105" s="55" customFormat="1" ht="12.75" customHeight="1" x14ac:dyDescent="0.2">
      <c r="A68" s="35" t="s">
        <v>86</v>
      </c>
      <c r="B68" s="51"/>
      <c r="C68" s="35" t="s">
        <v>86</v>
      </c>
      <c r="D68" s="44"/>
      <c r="E68" s="53">
        <f t="shared" si="7"/>
        <v>6700490</v>
      </c>
      <c r="F68" s="53"/>
      <c r="G68" s="53">
        <v>64171379</v>
      </c>
      <c r="H68" s="53"/>
      <c r="I68" s="53">
        <v>70871869</v>
      </c>
      <c r="J68" s="53"/>
      <c r="K68" s="53">
        <f t="shared" si="8"/>
        <v>2556958</v>
      </c>
      <c r="L68" s="53"/>
      <c r="M68" s="53">
        <v>38697509</v>
      </c>
      <c r="N68" s="53"/>
      <c r="O68" s="53">
        <v>41254467</v>
      </c>
      <c r="P68" s="53"/>
      <c r="Q68" s="53">
        <v>23823754</v>
      </c>
      <c r="R68" s="53"/>
      <c r="S68" s="53">
        <v>0</v>
      </c>
      <c r="T68" s="53"/>
      <c r="U68" s="53">
        <v>5793648</v>
      </c>
      <c r="V68" s="53"/>
      <c r="W68" s="53">
        <f t="shared" si="32"/>
        <v>29617402</v>
      </c>
      <c r="X68" s="53"/>
      <c r="Y68" s="35" t="s">
        <v>86</v>
      </c>
      <c r="AA68" s="35" t="s">
        <v>86</v>
      </c>
      <c r="AB68" s="35"/>
      <c r="AC68" s="53">
        <v>7075095</v>
      </c>
      <c r="AD68" s="53"/>
      <c r="AE68" s="53">
        <f>5862044-2501580</f>
        <v>3360464</v>
      </c>
      <c r="AF68" s="53"/>
      <c r="AG68" s="53">
        <v>2501580</v>
      </c>
      <c r="AH68" s="53"/>
      <c r="AI68" s="45">
        <f t="shared" si="9"/>
        <v>1213051</v>
      </c>
      <c r="AJ68" s="45"/>
      <c r="AK68" s="53">
        <v>-1582571</v>
      </c>
      <c r="AL68" s="45"/>
      <c r="AM68" s="53">
        <v>230700</v>
      </c>
      <c r="AN68" s="53"/>
      <c r="AO68" s="53">
        <v>0</v>
      </c>
      <c r="AP68" s="53"/>
      <c r="AQ68" s="53">
        <v>30313</v>
      </c>
      <c r="AR68" s="53"/>
      <c r="AS68" s="45">
        <f t="shared" si="4"/>
        <v>-108507</v>
      </c>
      <c r="AT68" s="45"/>
      <c r="AU68" s="53">
        <v>0</v>
      </c>
      <c r="AV68" s="53"/>
      <c r="AW68" s="53">
        <v>0</v>
      </c>
      <c r="AX68" s="53"/>
      <c r="AY68" s="53">
        <f t="shared" si="5"/>
        <v>4143532</v>
      </c>
      <c r="AZ68" s="53"/>
      <c r="BA68" s="35" t="s">
        <v>86</v>
      </c>
      <c r="BC68" s="35" t="s">
        <v>86</v>
      </c>
      <c r="BD68" s="53"/>
      <c r="BE68" s="53">
        <f>3615044+595000</f>
        <v>4210044</v>
      </c>
      <c r="BF68" s="53"/>
      <c r="BG68" s="53">
        <v>0</v>
      </c>
      <c r="BH68" s="53"/>
      <c r="BI68" s="53">
        <f>20157547+1091327</f>
        <v>21248874</v>
      </c>
      <c r="BJ68" s="53"/>
      <c r="BK68" s="53">
        <f>14662011+195000+54489+261571+1336</f>
        <v>15174407</v>
      </c>
      <c r="BL68" s="53"/>
      <c r="BM68" s="53">
        <f t="shared" si="29"/>
        <v>40633325</v>
      </c>
      <c r="BN68" s="54" t="s">
        <v>347</v>
      </c>
      <c r="BR68" s="51"/>
      <c r="BS68" s="53"/>
      <c r="BT68" s="53"/>
      <c r="BU68" s="53"/>
      <c r="BV68" s="53"/>
      <c r="BW68" s="45"/>
      <c r="BX68" s="45"/>
      <c r="BY68" s="53"/>
      <c r="BZ68" s="53"/>
      <c r="CA68" s="53"/>
      <c r="CB68" s="53"/>
      <c r="CC68" s="53"/>
      <c r="CD68" s="53"/>
      <c r="CE68" s="53"/>
      <c r="CF68" s="35"/>
      <c r="CH68" s="35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4"/>
    </row>
    <row r="69" spans="1:105" s="55" customFormat="1" ht="12.75" customHeight="1" x14ac:dyDescent="0.2">
      <c r="A69" s="64" t="s">
        <v>87</v>
      </c>
      <c r="B69" s="90"/>
      <c r="C69" s="64" t="s">
        <v>88</v>
      </c>
      <c r="D69" s="46"/>
      <c r="E69" s="53">
        <f t="shared" si="7"/>
        <v>2331693</v>
      </c>
      <c r="F69" s="53"/>
      <c r="G69" s="53">
        <v>31670300</v>
      </c>
      <c r="H69" s="53"/>
      <c r="I69" s="53">
        <v>34001993</v>
      </c>
      <c r="J69" s="53"/>
      <c r="K69" s="53">
        <f t="shared" si="8"/>
        <v>2065284</v>
      </c>
      <c r="L69" s="53"/>
      <c r="M69" s="53">
        <v>25679117</v>
      </c>
      <c r="N69" s="53"/>
      <c r="O69" s="53">
        <v>27744401</v>
      </c>
      <c r="P69" s="53"/>
      <c r="Q69" s="53">
        <v>4160057</v>
      </c>
      <c r="R69" s="53"/>
      <c r="S69" s="53">
        <v>0</v>
      </c>
      <c r="T69" s="53"/>
      <c r="U69" s="53">
        <v>2097535</v>
      </c>
      <c r="V69" s="53"/>
      <c r="W69" s="53">
        <f t="shared" si="32"/>
        <v>6257592</v>
      </c>
      <c r="X69" s="79"/>
      <c r="Y69" s="64" t="s">
        <v>87</v>
      </c>
      <c r="Z69" s="90"/>
      <c r="AA69" s="64" t="s">
        <v>88</v>
      </c>
      <c r="AB69" s="64"/>
      <c r="AC69" s="53">
        <v>2525633</v>
      </c>
      <c r="AD69" s="53"/>
      <c r="AE69" s="53">
        <f>3726543-2021977</f>
        <v>1704566</v>
      </c>
      <c r="AF69" s="53"/>
      <c r="AG69" s="53">
        <v>2021977</v>
      </c>
      <c r="AH69" s="53"/>
      <c r="AI69" s="45">
        <f t="shared" si="9"/>
        <v>-1200910</v>
      </c>
      <c r="AJ69" s="45"/>
      <c r="AK69" s="53">
        <v>-116923</v>
      </c>
      <c r="AL69" s="45"/>
      <c r="AM69" s="53">
        <v>760000</v>
      </c>
      <c r="AN69" s="53"/>
      <c r="AO69" s="53">
        <v>0</v>
      </c>
      <c r="AP69" s="53"/>
      <c r="AQ69" s="53">
        <v>0</v>
      </c>
      <c r="AR69" s="53"/>
      <c r="AS69" s="45">
        <f t="shared" si="4"/>
        <v>-557833</v>
      </c>
      <c r="AT69" s="45"/>
      <c r="AU69" s="53">
        <v>0</v>
      </c>
      <c r="AV69" s="53"/>
      <c r="AW69" s="53">
        <v>0</v>
      </c>
      <c r="AX69" s="53"/>
      <c r="AY69" s="53">
        <f t="shared" si="5"/>
        <v>266409</v>
      </c>
      <c r="AZ69" s="79"/>
      <c r="BA69" s="64" t="s">
        <v>87</v>
      </c>
      <c r="BB69" s="90"/>
      <c r="BC69" s="64" t="s">
        <v>88</v>
      </c>
      <c r="BD69" s="79"/>
      <c r="BE69" s="53">
        <v>0</v>
      </c>
      <c r="BF69" s="53"/>
      <c r="BG69" s="53">
        <v>0</v>
      </c>
      <c r="BH69" s="53"/>
      <c r="BI69" s="53">
        <f>1923728+25586515</f>
        <v>27510243</v>
      </c>
      <c r="BJ69" s="53"/>
      <c r="BK69" s="53">
        <f>50324+92602</f>
        <v>142926</v>
      </c>
      <c r="BL69" s="53"/>
      <c r="BM69" s="53">
        <f t="shared" si="29"/>
        <v>27653169</v>
      </c>
      <c r="BN69" s="54" t="s">
        <v>347</v>
      </c>
      <c r="BO69" s="35"/>
      <c r="BP69" s="35"/>
      <c r="BR69" s="51"/>
      <c r="BS69" s="53"/>
      <c r="BT69" s="53"/>
      <c r="BU69" s="53"/>
      <c r="BV69" s="53"/>
      <c r="BW69" s="45"/>
      <c r="BX69" s="45"/>
      <c r="BY69" s="53"/>
      <c r="BZ69" s="53"/>
      <c r="CA69" s="53"/>
      <c r="CB69" s="53"/>
      <c r="CC69" s="53"/>
      <c r="CD69" s="53"/>
      <c r="CE69" s="53"/>
      <c r="CF69" s="35"/>
      <c r="CH69" s="35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4"/>
      <c r="CT69" s="35"/>
      <c r="CU69" s="35"/>
    </row>
    <row r="70" spans="1:105" s="55" customFormat="1" ht="12.75" customHeight="1" x14ac:dyDescent="0.2">
      <c r="A70" s="35" t="s">
        <v>394</v>
      </c>
      <c r="B70" s="51"/>
      <c r="C70" s="35" t="s">
        <v>89</v>
      </c>
      <c r="D70" s="44"/>
      <c r="E70" s="53">
        <f t="shared" si="7"/>
        <v>4299653</v>
      </c>
      <c r="F70" s="53"/>
      <c r="G70" s="53">
        <v>22318926</v>
      </c>
      <c r="H70" s="53"/>
      <c r="I70" s="53">
        <v>26618579</v>
      </c>
      <c r="J70" s="53"/>
      <c r="K70" s="53">
        <f t="shared" si="8"/>
        <v>157098</v>
      </c>
      <c r="L70" s="53"/>
      <c r="M70" s="53">
        <v>11961482</v>
      </c>
      <c r="N70" s="53"/>
      <c r="O70" s="53">
        <v>12118580</v>
      </c>
      <c r="P70" s="53"/>
      <c r="Q70" s="53">
        <v>10565656</v>
      </c>
      <c r="R70" s="53"/>
      <c r="S70" s="53">
        <v>0</v>
      </c>
      <c r="T70" s="53"/>
      <c r="U70" s="53">
        <v>3934343</v>
      </c>
      <c r="V70" s="53"/>
      <c r="W70" s="53">
        <f t="shared" si="32"/>
        <v>14499999</v>
      </c>
      <c r="X70" s="53"/>
      <c r="Y70" s="35" t="s">
        <v>394</v>
      </c>
      <c r="AA70" s="35" t="s">
        <v>89</v>
      </c>
      <c r="AB70" s="35"/>
      <c r="AC70" s="53">
        <v>3151695</v>
      </c>
      <c r="AD70" s="53"/>
      <c r="AE70" s="53">
        <f>3085447-1364798</f>
        <v>1720649</v>
      </c>
      <c r="AF70" s="53"/>
      <c r="AG70" s="53">
        <v>1364798</v>
      </c>
      <c r="AH70" s="53"/>
      <c r="AI70" s="45">
        <f t="shared" si="9"/>
        <v>66248</v>
      </c>
      <c r="AJ70" s="45"/>
      <c r="AK70" s="53">
        <v>-408919</v>
      </c>
      <c r="AL70" s="45"/>
      <c r="AM70" s="53">
        <v>0</v>
      </c>
      <c r="AN70" s="53"/>
      <c r="AO70" s="53">
        <v>0</v>
      </c>
      <c r="AP70" s="53"/>
      <c r="AQ70" s="53">
        <v>0</v>
      </c>
      <c r="AR70" s="53"/>
      <c r="AS70" s="45">
        <f t="shared" si="4"/>
        <v>-342671</v>
      </c>
      <c r="AT70" s="45"/>
      <c r="AU70" s="53">
        <v>0</v>
      </c>
      <c r="AV70" s="53"/>
      <c r="AW70" s="53">
        <v>0</v>
      </c>
      <c r="AX70" s="53"/>
      <c r="AY70" s="53">
        <f t="shared" si="5"/>
        <v>4142555</v>
      </c>
      <c r="AZ70" s="53"/>
      <c r="BA70" s="35" t="s">
        <v>395</v>
      </c>
      <c r="BC70" s="35" t="s">
        <v>89</v>
      </c>
      <c r="BD70" s="53"/>
      <c r="BE70" s="53">
        <v>0</v>
      </c>
      <c r="BF70" s="53"/>
      <c r="BG70" s="53">
        <v>0</v>
      </c>
      <c r="BH70" s="53"/>
      <c r="BI70" s="53">
        <v>11753270</v>
      </c>
      <c r="BJ70" s="53"/>
      <c r="BK70" s="53">
        <v>208212</v>
      </c>
      <c r="BL70" s="53"/>
      <c r="BM70" s="53">
        <f t="shared" si="29"/>
        <v>11961482</v>
      </c>
      <c r="BN70" s="54" t="s">
        <v>347</v>
      </c>
      <c r="BR70" s="51"/>
      <c r="BS70" s="53"/>
      <c r="BT70" s="53"/>
      <c r="BU70" s="53"/>
      <c r="BV70" s="53"/>
      <c r="BW70" s="53"/>
      <c r="BX70" s="45"/>
      <c r="BY70" s="45"/>
      <c r="BZ70" s="53"/>
      <c r="CA70" s="53"/>
      <c r="CB70" s="53"/>
      <c r="CC70" s="53"/>
      <c r="CD70" s="53"/>
      <c r="CE70" s="53"/>
      <c r="CF70" s="35"/>
      <c r="CH70" s="35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4"/>
    </row>
    <row r="71" spans="1:105" s="55" customFormat="1" ht="12.75" hidden="1" customHeight="1" x14ac:dyDescent="0.2">
      <c r="A71" s="35" t="s">
        <v>90</v>
      </c>
      <c r="B71" s="96"/>
      <c r="C71" s="35" t="s">
        <v>43</v>
      </c>
      <c r="D71" s="44"/>
      <c r="E71" s="53">
        <f t="shared" si="7"/>
        <v>9051590</v>
      </c>
      <c r="F71" s="53"/>
      <c r="G71" s="53">
        <v>41447020</v>
      </c>
      <c r="H71" s="53"/>
      <c r="I71" s="53">
        <v>50498610</v>
      </c>
      <c r="J71" s="53"/>
      <c r="K71" s="53">
        <f t="shared" si="8"/>
        <v>1854266</v>
      </c>
      <c r="L71" s="53"/>
      <c r="M71" s="53">
        <v>9064039</v>
      </c>
      <c r="N71" s="53"/>
      <c r="O71" s="53">
        <v>10918305</v>
      </c>
      <c r="P71" s="53"/>
      <c r="Q71" s="53">
        <v>31307603</v>
      </c>
      <c r="R71" s="53"/>
      <c r="S71" s="53">
        <v>0</v>
      </c>
      <c r="T71" s="53"/>
      <c r="U71" s="53">
        <v>8272702</v>
      </c>
      <c r="V71" s="53"/>
      <c r="W71" s="53">
        <f t="shared" si="32"/>
        <v>39580305</v>
      </c>
      <c r="X71" s="53"/>
      <c r="Y71" s="35" t="s">
        <v>90</v>
      </c>
      <c r="AA71" s="35" t="s">
        <v>43</v>
      </c>
      <c r="AB71" s="35"/>
      <c r="AC71" s="53">
        <v>2085217</v>
      </c>
      <c r="AD71" s="53"/>
      <c r="AE71" s="53">
        <f>3258088-1219875</f>
        <v>2038213</v>
      </c>
      <c r="AF71" s="53"/>
      <c r="AG71" s="53">
        <v>1219875</v>
      </c>
      <c r="AH71" s="53"/>
      <c r="AI71" s="45">
        <f t="shared" si="9"/>
        <v>-1172871</v>
      </c>
      <c r="AJ71" s="45"/>
      <c r="AK71" s="53">
        <v>-323610</v>
      </c>
      <c r="AL71" s="45"/>
      <c r="AM71" s="53">
        <v>0</v>
      </c>
      <c r="AN71" s="53"/>
      <c r="AO71" s="53">
        <v>0</v>
      </c>
      <c r="AP71" s="53"/>
      <c r="AQ71" s="53">
        <v>149427</v>
      </c>
      <c r="AR71" s="53"/>
      <c r="AS71" s="45">
        <f t="shared" si="4"/>
        <v>-1347054</v>
      </c>
      <c r="AT71" s="45"/>
      <c r="AU71" s="53">
        <v>0</v>
      </c>
      <c r="AV71" s="53"/>
      <c r="AW71" s="53">
        <v>0</v>
      </c>
      <c r="AX71" s="53"/>
      <c r="AY71" s="53">
        <f t="shared" si="5"/>
        <v>7197324</v>
      </c>
      <c r="AZ71" s="53"/>
      <c r="BA71" s="35" t="s">
        <v>90</v>
      </c>
      <c r="BC71" s="35" t="s">
        <v>43</v>
      </c>
      <c r="BD71" s="53"/>
      <c r="BE71" s="53">
        <f>1958237+1103816</f>
        <v>3062053</v>
      </c>
      <c r="BF71" s="53"/>
      <c r="BG71" s="53">
        <v>0</v>
      </c>
      <c r="BH71" s="53"/>
      <c r="BI71" s="53">
        <v>7077364</v>
      </c>
      <c r="BJ71" s="53"/>
      <c r="BK71" s="53">
        <f>28438+22129</f>
        <v>50567</v>
      </c>
      <c r="BL71" s="53"/>
      <c r="BM71" s="53">
        <f t="shared" si="29"/>
        <v>10189984</v>
      </c>
      <c r="BN71" s="54" t="s">
        <v>347</v>
      </c>
      <c r="BR71" s="96"/>
      <c r="BS71" s="53"/>
      <c r="BT71" s="53"/>
      <c r="BU71" s="53"/>
      <c r="BV71" s="53"/>
      <c r="BW71" s="53"/>
      <c r="BX71" s="45"/>
      <c r="BY71" s="45"/>
      <c r="BZ71" s="53"/>
      <c r="CA71" s="53"/>
      <c r="CB71" s="53"/>
      <c r="CC71" s="53"/>
      <c r="CD71" s="53"/>
      <c r="CE71" s="53"/>
      <c r="CF71" s="35"/>
      <c r="CH71" s="35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4"/>
    </row>
    <row r="72" spans="1:105" s="55" customFormat="1" ht="12.75" customHeight="1" x14ac:dyDescent="0.2">
      <c r="A72" s="47" t="s">
        <v>488</v>
      </c>
      <c r="B72" s="47"/>
      <c r="C72" s="47" t="s">
        <v>27</v>
      </c>
      <c r="D72" s="44"/>
      <c r="E72" s="53">
        <f t="shared" si="7"/>
        <v>0</v>
      </c>
      <c r="F72" s="53"/>
      <c r="G72" s="53">
        <v>350145</v>
      </c>
      <c r="H72" s="53"/>
      <c r="I72" s="53">
        <v>350145</v>
      </c>
      <c r="J72" s="53"/>
      <c r="K72" s="53">
        <f t="shared" si="8"/>
        <v>576819</v>
      </c>
      <c r="L72" s="53"/>
      <c r="M72" s="53">
        <v>2497</v>
      </c>
      <c r="N72" s="53"/>
      <c r="O72" s="53">
        <v>579316</v>
      </c>
      <c r="P72" s="53"/>
      <c r="Q72" s="53">
        <v>350145</v>
      </c>
      <c r="R72" s="53"/>
      <c r="S72" s="53">
        <v>0</v>
      </c>
      <c r="T72" s="53"/>
      <c r="U72" s="53">
        <v>-579316</v>
      </c>
      <c r="V72" s="53"/>
      <c r="W72" s="53">
        <f t="shared" si="32"/>
        <v>-229171</v>
      </c>
      <c r="X72" s="53"/>
      <c r="Y72" s="47" t="s">
        <v>488</v>
      </c>
      <c r="Z72" s="47"/>
      <c r="AA72" s="47" t="s">
        <v>27</v>
      </c>
      <c r="AB72" s="35"/>
      <c r="AC72" s="53">
        <v>287154</v>
      </c>
      <c r="AD72" s="53"/>
      <c r="AE72" s="53">
        <f>115818-6000</f>
        <v>109818</v>
      </c>
      <c r="AF72" s="53"/>
      <c r="AG72" s="53">
        <v>6000</v>
      </c>
      <c r="AH72" s="53"/>
      <c r="AI72" s="45">
        <f t="shared" si="9"/>
        <v>171336</v>
      </c>
      <c r="AJ72" s="45"/>
      <c r="AK72" s="53">
        <v>0</v>
      </c>
      <c r="AL72" s="45"/>
      <c r="AM72" s="53">
        <v>0</v>
      </c>
      <c r="AN72" s="53"/>
      <c r="AO72" s="53">
        <v>0</v>
      </c>
      <c r="AP72" s="53"/>
      <c r="AQ72" s="53">
        <v>0</v>
      </c>
      <c r="AR72" s="53"/>
      <c r="AS72" s="45">
        <f t="shared" si="4"/>
        <v>171336</v>
      </c>
      <c r="AT72" s="45"/>
      <c r="AU72" s="53">
        <v>0</v>
      </c>
      <c r="AV72" s="53"/>
      <c r="AW72" s="53">
        <v>0</v>
      </c>
      <c r="AX72" s="53"/>
      <c r="AY72" s="53">
        <f t="shared" si="5"/>
        <v>-576819</v>
      </c>
      <c r="AZ72" s="53"/>
      <c r="BA72" s="47" t="s">
        <v>488</v>
      </c>
      <c r="BB72" s="47"/>
      <c r="BC72" s="47" t="s">
        <v>27</v>
      </c>
      <c r="BD72" s="53"/>
      <c r="BE72" s="53">
        <v>0</v>
      </c>
      <c r="BF72" s="53"/>
      <c r="BG72" s="53">
        <v>0</v>
      </c>
      <c r="BH72" s="53"/>
      <c r="BI72" s="53">
        <v>0</v>
      </c>
      <c r="BJ72" s="53"/>
      <c r="BK72" s="53">
        <f>2497+432</f>
        <v>2929</v>
      </c>
      <c r="BL72" s="53"/>
      <c r="BM72" s="53">
        <f t="shared" si="29"/>
        <v>2929</v>
      </c>
      <c r="BN72" s="54" t="s">
        <v>347</v>
      </c>
      <c r="BO72" s="35"/>
      <c r="BR72" s="51"/>
      <c r="BS72" s="53"/>
      <c r="BT72" s="53"/>
      <c r="BU72" s="53"/>
      <c r="BV72" s="53"/>
      <c r="BW72" s="45"/>
      <c r="BX72" s="45"/>
      <c r="BY72" s="53"/>
      <c r="BZ72" s="53"/>
      <c r="CA72" s="53"/>
      <c r="CB72" s="53"/>
      <c r="CC72" s="53"/>
      <c r="CD72" s="53"/>
      <c r="CE72" s="53"/>
      <c r="CF72" s="35"/>
      <c r="CH72" s="35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4"/>
      <c r="CT72" s="35"/>
    </row>
    <row r="73" spans="1:105" s="55" customFormat="1" ht="12.75" customHeight="1" x14ac:dyDescent="0.2">
      <c r="A73" s="44" t="s">
        <v>93</v>
      </c>
      <c r="B73" s="47"/>
      <c r="C73" s="44" t="s">
        <v>94</v>
      </c>
      <c r="D73" s="44"/>
      <c r="E73" s="53">
        <f t="shared" si="7"/>
        <v>1005498</v>
      </c>
      <c r="F73" s="53"/>
      <c r="G73" s="53">
        <v>318872</v>
      </c>
      <c r="H73" s="53"/>
      <c r="I73" s="53">
        <v>1324370</v>
      </c>
      <c r="J73" s="53"/>
      <c r="K73" s="53">
        <f t="shared" si="8"/>
        <v>215535</v>
      </c>
      <c r="L73" s="53"/>
      <c r="M73" s="53">
        <v>177915</v>
      </c>
      <c r="N73" s="53"/>
      <c r="O73" s="53">
        <v>393450</v>
      </c>
      <c r="P73" s="53"/>
      <c r="Q73" s="53">
        <v>43368</v>
      </c>
      <c r="R73" s="53"/>
      <c r="S73" s="53">
        <v>0</v>
      </c>
      <c r="T73" s="53"/>
      <c r="U73" s="53">
        <v>887552</v>
      </c>
      <c r="V73" s="53"/>
      <c r="W73" s="53">
        <f>SUM(Q73:U73)</f>
        <v>930920</v>
      </c>
      <c r="X73" s="53"/>
      <c r="Y73" s="44" t="s">
        <v>93</v>
      </c>
      <c r="Z73" s="47"/>
      <c r="AA73" s="44" t="s">
        <v>94</v>
      </c>
      <c r="AB73" s="35"/>
      <c r="AC73" s="53">
        <v>1291550</v>
      </c>
      <c r="AD73" s="53"/>
      <c r="AE73" s="53">
        <f>1087504-146658</f>
        <v>940846</v>
      </c>
      <c r="AF73" s="53"/>
      <c r="AG73" s="53">
        <v>146658</v>
      </c>
      <c r="AH73" s="53"/>
      <c r="AI73" s="45">
        <f t="shared" si="9"/>
        <v>204046</v>
      </c>
      <c r="AJ73" s="45"/>
      <c r="AK73" s="53">
        <v>-12814</v>
      </c>
      <c r="AL73" s="45"/>
      <c r="AM73" s="53">
        <v>0</v>
      </c>
      <c r="AN73" s="53"/>
      <c r="AO73" s="53">
        <v>171617</v>
      </c>
      <c r="AP73" s="53"/>
      <c r="AQ73" s="53">
        <v>0</v>
      </c>
      <c r="AR73" s="53"/>
      <c r="AS73" s="45">
        <f t="shared" si="4"/>
        <v>19615</v>
      </c>
      <c r="AT73" s="45"/>
      <c r="AU73" s="53">
        <v>0</v>
      </c>
      <c r="AV73" s="53"/>
      <c r="AW73" s="53">
        <v>0</v>
      </c>
      <c r="AX73" s="53"/>
      <c r="AY73" s="53">
        <f>+E73-K73</f>
        <v>789963</v>
      </c>
      <c r="AZ73" s="53"/>
      <c r="BA73" s="44" t="s">
        <v>93</v>
      </c>
      <c r="BB73" s="47"/>
      <c r="BC73" s="44" t="s">
        <v>94</v>
      </c>
      <c r="BD73" s="53"/>
      <c r="BE73" s="53">
        <v>0</v>
      </c>
      <c r="BF73" s="53"/>
      <c r="BG73" s="53">
        <v>0</v>
      </c>
      <c r="BH73" s="53"/>
      <c r="BI73" s="53">
        <f>36408+120680+111498</f>
        <v>268586</v>
      </c>
      <c r="BJ73" s="53"/>
      <c r="BK73" s="53">
        <f>17202+20827</f>
        <v>38029</v>
      </c>
      <c r="BL73" s="53"/>
      <c r="BM73" s="53">
        <f t="shared" si="29"/>
        <v>306615</v>
      </c>
      <c r="BN73" s="54" t="s">
        <v>347</v>
      </c>
      <c r="BO73" s="35"/>
      <c r="BP73" s="35"/>
      <c r="BR73" s="51"/>
      <c r="BS73" s="53"/>
      <c r="BT73" s="53"/>
      <c r="BU73" s="53"/>
      <c r="BV73" s="53"/>
      <c r="BW73" s="45"/>
      <c r="BX73" s="45"/>
      <c r="BY73" s="53"/>
      <c r="BZ73" s="53"/>
      <c r="CA73" s="53"/>
      <c r="CB73" s="53"/>
      <c r="CC73" s="53"/>
      <c r="CD73" s="53"/>
      <c r="CE73" s="53"/>
      <c r="CF73" s="35"/>
      <c r="CH73" s="35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4"/>
      <c r="CT73" s="35"/>
      <c r="CU73" s="35"/>
    </row>
    <row r="74" spans="1:105" s="55" customFormat="1" ht="12.75" customHeight="1" x14ac:dyDescent="0.2">
      <c r="A74" s="35" t="s">
        <v>95</v>
      </c>
      <c r="B74" s="51"/>
      <c r="C74" s="35" t="s">
        <v>94</v>
      </c>
      <c r="D74" s="44"/>
      <c r="E74" s="53">
        <f t="shared" si="7"/>
        <v>287510</v>
      </c>
      <c r="F74" s="53"/>
      <c r="G74" s="53">
        <v>7393763</v>
      </c>
      <c r="H74" s="53"/>
      <c r="I74" s="53">
        <v>7681273</v>
      </c>
      <c r="J74" s="53"/>
      <c r="K74" s="53">
        <f t="shared" si="8"/>
        <v>448131</v>
      </c>
      <c r="L74" s="53"/>
      <c r="M74" s="53">
        <v>5902804</v>
      </c>
      <c r="N74" s="53"/>
      <c r="O74" s="53">
        <v>6350935</v>
      </c>
      <c r="P74" s="53"/>
      <c r="Q74" s="53">
        <v>1167818</v>
      </c>
      <c r="R74" s="53"/>
      <c r="S74" s="53">
        <v>0</v>
      </c>
      <c r="T74" s="53"/>
      <c r="U74" s="53">
        <v>162520</v>
      </c>
      <c r="V74" s="53"/>
      <c r="W74" s="53">
        <f t="shared" ref="W74:W80" si="33">SUM(Q74:U74)</f>
        <v>1330338</v>
      </c>
      <c r="X74" s="53"/>
      <c r="Y74" s="35" t="s">
        <v>95</v>
      </c>
      <c r="AA74" s="35" t="s">
        <v>94</v>
      </c>
      <c r="AB74" s="35"/>
      <c r="AC74" s="53">
        <v>1148297</v>
      </c>
      <c r="AD74" s="53"/>
      <c r="AE74" s="53">
        <f>727398-239352</f>
        <v>488046</v>
      </c>
      <c r="AF74" s="53"/>
      <c r="AG74" s="53">
        <v>239352</v>
      </c>
      <c r="AH74" s="53"/>
      <c r="AI74" s="45">
        <f t="shared" si="9"/>
        <v>420899</v>
      </c>
      <c r="AJ74" s="45"/>
      <c r="AK74" s="53">
        <v>-197899</v>
      </c>
      <c r="AL74" s="45"/>
      <c r="AM74" s="53">
        <v>16747</v>
      </c>
      <c r="AN74" s="53"/>
      <c r="AO74" s="53">
        <v>0</v>
      </c>
      <c r="AP74" s="53"/>
      <c r="AQ74" s="53">
        <v>0</v>
      </c>
      <c r="AR74" s="53"/>
      <c r="AS74" s="45">
        <f t="shared" si="4"/>
        <v>239747</v>
      </c>
      <c r="AT74" s="45"/>
      <c r="AU74" s="53">
        <v>0</v>
      </c>
      <c r="AV74" s="53"/>
      <c r="AW74" s="53">
        <v>0</v>
      </c>
      <c r="AX74" s="53"/>
      <c r="AY74" s="53">
        <f t="shared" ref="AY74:AY80" si="34">+E74-K74</f>
        <v>-160621</v>
      </c>
      <c r="AZ74" s="53"/>
      <c r="BA74" s="35" t="s">
        <v>95</v>
      </c>
      <c r="BC74" s="35" t="s">
        <v>94</v>
      </c>
      <c r="BD74" s="53"/>
      <c r="BE74" s="53">
        <f>2826375+176810</f>
        <v>3003185</v>
      </c>
      <c r="BF74" s="53"/>
      <c r="BG74" s="53">
        <v>0</v>
      </c>
      <c r="BH74" s="53"/>
      <c r="BI74" s="53">
        <f>177073+35194+2406474+604019+25000</f>
        <v>3247760</v>
      </c>
      <c r="BJ74" s="53"/>
      <c r="BK74" s="53">
        <f>8043+40936</f>
        <v>48979</v>
      </c>
      <c r="BL74" s="53"/>
      <c r="BM74" s="53">
        <f t="shared" ref="BM74:BM80" si="35">SUM(BE74:BK74)</f>
        <v>6299924</v>
      </c>
      <c r="BN74" s="54" t="s">
        <v>347</v>
      </c>
      <c r="BO74" s="35"/>
      <c r="BP74" s="35"/>
      <c r="BR74" s="51"/>
      <c r="BS74" s="53"/>
      <c r="BT74" s="53"/>
      <c r="BU74" s="53"/>
      <c r="BV74" s="53"/>
      <c r="BW74" s="45"/>
      <c r="BX74" s="45"/>
      <c r="BY74" s="53"/>
      <c r="BZ74" s="53"/>
      <c r="CA74" s="53"/>
      <c r="CB74" s="53"/>
      <c r="CC74" s="53"/>
      <c r="CD74" s="53"/>
      <c r="CE74" s="53"/>
      <c r="CF74" s="35"/>
      <c r="CH74" s="35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4"/>
      <c r="CT74" s="35"/>
      <c r="CU74" s="35"/>
    </row>
    <row r="75" spans="1:105" s="55" customFormat="1" ht="12.75" customHeight="1" x14ac:dyDescent="0.2">
      <c r="A75" s="35" t="s">
        <v>91</v>
      </c>
      <c r="B75" s="51"/>
      <c r="C75" s="35" t="s">
        <v>92</v>
      </c>
      <c r="D75" s="44"/>
      <c r="E75" s="53">
        <f t="shared" si="7"/>
        <v>1411276</v>
      </c>
      <c r="F75" s="53"/>
      <c r="G75" s="53">
        <v>5003457</v>
      </c>
      <c r="H75" s="53"/>
      <c r="I75" s="53">
        <v>6414733</v>
      </c>
      <c r="J75" s="53"/>
      <c r="K75" s="53">
        <f t="shared" si="8"/>
        <v>106884</v>
      </c>
      <c r="L75" s="53"/>
      <c r="M75" s="53">
        <v>259697</v>
      </c>
      <c r="N75" s="53"/>
      <c r="O75" s="53">
        <v>366581</v>
      </c>
      <c r="P75" s="53"/>
      <c r="Q75" s="53">
        <v>4505611</v>
      </c>
      <c r="R75" s="53"/>
      <c r="S75" s="53">
        <v>0</v>
      </c>
      <c r="T75" s="53"/>
      <c r="U75" s="53">
        <v>1542541</v>
      </c>
      <c r="V75" s="53"/>
      <c r="W75" s="53">
        <f t="shared" si="33"/>
        <v>6048152</v>
      </c>
      <c r="X75" s="53"/>
      <c r="Y75" s="35" t="s">
        <v>91</v>
      </c>
      <c r="AA75" s="35" t="s">
        <v>92</v>
      </c>
      <c r="AB75" s="35"/>
      <c r="AC75" s="53">
        <v>2543479</v>
      </c>
      <c r="AD75" s="53"/>
      <c r="AE75" s="53">
        <f>903645-125984</f>
        <v>777661</v>
      </c>
      <c r="AF75" s="53"/>
      <c r="AG75" s="53">
        <v>125984</v>
      </c>
      <c r="AH75" s="53"/>
      <c r="AI75" s="45">
        <f t="shared" si="9"/>
        <v>1639834</v>
      </c>
      <c r="AJ75" s="45"/>
      <c r="AK75" s="53">
        <v>-5299</v>
      </c>
      <c r="AL75" s="45"/>
      <c r="AM75" s="53">
        <v>0</v>
      </c>
      <c r="AN75" s="53"/>
      <c r="AO75" s="53">
        <v>0</v>
      </c>
      <c r="AP75" s="53"/>
      <c r="AQ75" s="53">
        <v>0</v>
      </c>
      <c r="AR75" s="53"/>
      <c r="AS75" s="45">
        <f t="shared" ref="AS75:AS92" si="36">+AI75+AK75+AM75-AO75+AQ75</f>
        <v>1634535</v>
      </c>
      <c r="AT75" s="45"/>
      <c r="AU75" s="53">
        <v>0</v>
      </c>
      <c r="AV75" s="53"/>
      <c r="AW75" s="53">
        <v>0</v>
      </c>
      <c r="AX75" s="53"/>
      <c r="AY75" s="53">
        <f t="shared" si="34"/>
        <v>1304392</v>
      </c>
      <c r="AZ75" s="53"/>
      <c r="BA75" s="35" t="s">
        <v>91</v>
      </c>
      <c r="BC75" s="35" t="s">
        <v>92</v>
      </c>
      <c r="BD75" s="53"/>
      <c r="BE75" s="53">
        <v>0</v>
      </c>
      <c r="BF75" s="53"/>
      <c r="BG75" s="53">
        <v>0</v>
      </c>
      <c r="BH75" s="53"/>
      <c r="BI75" s="53">
        <f>42500+2500</f>
        <v>45000</v>
      </c>
      <c r="BJ75" s="53"/>
      <c r="BK75" s="53">
        <f>14302+56918+37443+179754</f>
        <v>288417</v>
      </c>
      <c r="BL75" s="53"/>
      <c r="BM75" s="53">
        <f t="shared" si="35"/>
        <v>333417</v>
      </c>
      <c r="BN75" s="54" t="s">
        <v>347</v>
      </c>
      <c r="BO75" s="35"/>
      <c r="BP75" s="35"/>
      <c r="BQ75" s="35"/>
      <c r="BR75" s="51"/>
      <c r="BS75" s="53"/>
      <c r="BT75" s="53"/>
      <c r="BU75" s="53"/>
      <c r="BV75" s="53"/>
      <c r="BW75" s="45"/>
      <c r="BX75" s="45"/>
      <c r="BY75" s="53"/>
      <c r="BZ75" s="53"/>
      <c r="CA75" s="53"/>
      <c r="CB75" s="53"/>
      <c r="CC75" s="53"/>
      <c r="CD75" s="53"/>
      <c r="CE75" s="53"/>
      <c r="CF75" s="35"/>
      <c r="CH75" s="35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4"/>
      <c r="CT75" s="35"/>
      <c r="CU75" s="35"/>
      <c r="CV75" s="35"/>
      <c r="CW75" s="35"/>
      <c r="CX75" s="35"/>
      <c r="CY75" s="35"/>
      <c r="CZ75" s="35"/>
      <c r="DA75" s="35"/>
    </row>
    <row r="76" spans="1:105" s="55" customFormat="1" ht="12.75" customHeight="1" x14ac:dyDescent="0.2">
      <c r="A76" s="35" t="s">
        <v>96</v>
      </c>
      <c r="B76" s="51"/>
      <c r="C76" s="35" t="s">
        <v>97</v>
      </c>
      <c r="D76" s="44"/>
      <c r="E76" s="53">
        <f t="shared" si="7"/>
        <v>943042</v>
      </c>
      <c r="F76" s="53"/>
      <c r="G76" s="53">
        <v>3796057</v>
      </c>
      <c r="H76" s="53"/>
      <c r="I76" s="53">
        <v>4739099</v>
      </c>
      <c r="J76" s="53"/>
      <c r="K76" s="53">
        <f t="shared" si="8"/>
        <v>52780</v>
      </c>
      <c r="L76" s="53"/>
      <c r="M76" s="53">
        <v>47861</v>
      </c>
      <c r="N76" s="53"/>
      <c r="O76" s="53">
        <v>100641</v>
      </c>
      <c r="P76" s="53"/>
      <c r="Q76" s="53">
        <v>3796057</v>
      </c>
      <c r="R76" s="53"/>
      <c r="S76" s="53">
        <v>0</v>
      </c>
      <c r="T76" s="53"/>
      <c r="U76" s="53">
        <v>842401</v>
      </c>
      <c r="V76" s="53"/>
      <c r="W76" s="53">
        <f t="shared" si="33"/>
        <v>4638458</v>
      </c>
      <c r="X76" s="53"/>
      <c r="Y76" s="35" t="s">
        <v>96</v>
      </c>
      <c r="AA76" s="35" t="s">
        <v>97</v>
      </c>
      <c r="AB76" s="35"/>
      <c r="AC76" s="53">
        <v>1083242</v>
      </c>
      <c r="AD76" s="53"/>
      <c r="AE76" s="53">
        <f>1119038-267179</f>
        <v>851859</v>
      </c>
      <c r="AF76" s="53"/>
      <c r="AG76" s="53">
        <v>267179</v>
      </c>
      <c r="AH76" s="53"/>
      <c r="AI76" s="45">
        <f t="shared" si="9"/>
        <v>-35796</v>
      </c>
      <c r="AJ76" s="45"/>
      <c r="AK76" s="53">
        <v>65000</v>
      </c>
      <c r="AL76" s="45"/>
      <c r="AM76" s="53">
        <v>0</v>
      </c>
      <c r="AN76" s="53"/>
      <c r="AO76" s="53">
        <v>0</v>
      </c>
      <c r="AP76" s="53"/>
      <c r="AQ76" s="53">
        <v>0</v>
      </c>
      <c r="AR76" s="53"/>
      <c r="AS76" s="45">
        <f t="shared" si="36"/>
        <v>29204</v>
      </c>
      <c r="AT76" s="45"/>
      <c r="AU76" s="53">
        <v>0</v>
      </c>
      <c r="AV76" s="53"/>
      <c r="AW76" s="53">
        <v>0</v>
      </c>
      <c r="AX76" s="53"/>
      <c r="AY76" s="53">
        <f t="shared" si="34"/>
        <v>890262</v>
      </c>
      <c r="AZ76" s="53"/>
      <c r="BA76" s="35" t="s">
        <v>96</v>
      </c>
      <c r="BC76" s="35" t="s">
        <v>97</v>
      </c>
      <c r="BD76" s="53"/>
      <c r="BE76" s="53">
        <v>0</v>
      </c>
      <c r="BF76" s="53"/>
      <c r="BG76" s="53">
        <v>0</v>
      </c>
      <c r="BH76" s="53"/>
      <c r="BI76" s="53">
        <v>0</v>
      </c>
      <c r="BJ76" s="53"/>
      <c r="BK76" s="53">
        <f>47861+17920</f>
        <v>65781</v>
      </c>
      <c r="BL76" s="53"/>
      <c r="BM76" s="53">
        <f t="shared" si="35"/>
        <v>65781</v>
      </c>
      <c r="BN76" s="54" t="s">
        <v>347</v>
      </c>
      <c r="BR76" s="51"/>
      <c r="BS76" s="53"/>
      <c r="BT76" s="53"/>
      <c r="BU76" s="53"/>
      <c r="BV76" s="53"/>
      <c r="BW76" s="53"/>
      <c r="BX76" s="45"/>
      <c r="BY76" s="45"/>
      <c r="BZ76" s="53"/>
      <c r="CA76" s="53"/>
      <c r="CB76" s="53"/>
      <c r="CC76" s="53"/>
      <c r="CD76" s="53"/>
      <c r="CE76" s="53"/>
      <c r="CF76" s="35"/>
      <c r="CH76" s="35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4"/>
    </row>
    <row r="77" spans="1:105" s="55" customFormat="1" ht="12.75" customHeight="1" x14ac:dyDescent="0.2">
      <c r="A77" s="35" t="s">
        <v>98</v>
      </c>
      <c r="B77" s="51"/>
      <c r="C77" s="35" t="s">
        <v>17</v>
      </c>
      <c r="D77" s="44"/>
      <c r="E77" s="53">
        <f t="shared" ref="E77:E88" si="37">I77-G77</f>
        <v>1423982</v>
      </c>
      <c r="F77" s="53"/>
      <c r="G77" s="53">
        <v>40883830</v>
      </c>
      <c r="H77" s="53"/>
      <c r="I77" s="53">
        <v>42307812</v>
      </c>
      <c r="J77" s="53"/>
      <c r="K77" s="53">
        <f t="shared" ref="K77:K88" si="38">O77-M77</f>
        <v>3532278</v>
      </c>
      <c r="L77" s="53"/>
      <c r="M77" s="53">
        <v>14978707</v>
      </c>
      <c r="N77" s="53"/>
      <c r="O77" s="53">
        <v>18510985</v>
      </c>
      <c r="P77" s="53"/>
      <c r="Q77" s="53">
        <v>24565656</v>
      </c>
      <c r="R77" s="53"/>
      <c r="S77" s="53">
        <v>0</v>
      </c>
      <c r="T77" s="53"/>
      <c r="U77" s="53">
        <v>-768829</v>
      </c>
      <c r="V77" s="53"/>
      <c r="W77" s="53">
        <f t="shared" si="33"/>
        <v>23796827</v>
      </c>
      <c r="X77" s="53"/>
      <c r="Y77" s="35" t="s">
        <v>98</v>
      </c>
      <c r="AA77" s="35" t="s">
        <v>17</v>
      </c>
      <c r="AB77" s="35"/>
      <c r="AC77" s="53">
        <v>10830590</v>
      </c>
      <c r="AD77" s="53"/>
      <c r="AE77" s="53">
        <f>10615352-1675137</f>
        <v>8940215</v>
      </c>
      <c r="AF77" s="53"/>
      <c r="AG77" s="53">
        <v>1675137</v>
      </c>
      <c r="AH77" s="53"/>
      <c r="AI77" s="45">
        <f t="shared" ref="AI77:AI88" si="39">+AC77-AE77-AG77</f>
        <v>215238</v>
      </c>
      <c r="AJ77" s="45"/>
      <c r="AK77" s="53">
        <v>-724888</v>
      </c>
      <c r="AL77" s="45"/>
      <c r="AM77" s="53">
        <v>0</v>
      </c>
      <c r="AN77" s="53"/>
      <c r="AO77" s="53">
        <v>0</v>
      </c>
      <c r="AP77" s="53"/>
      <c r="AQ77" s="53">
        <v>0</v>
      </c>
      <c r="AR77" s="53"/>
      <c r="AS77" s="45">
        <f t="shared" si="36"/>
        <v>-509650</v>
      </c>
      <c r="AT77" s="45"/>
      <c r="AU77" s="53">
        <v>0</v>
      </c>
      <c r="AV77" s="53"/>
      <c r="AW77" s="53">
        <v>0</v>
      </c>
      <c r="AX77" s="53"/>
      <c r="AY77" s="53">
        <f t="shared" si="34"/>
        <v>-2108296</v>
      </c>
      <c r="AZ77" s="53"/>
      <c r="BA77" s="35" t="s">
        <v>98</v>
      </c>
      <c r="BC77" s="35" t="s">
        <v>17</v>
      </c>
      <c r="BD77" s="53"/>
      <c r="BE77" s="53">
        <f>2861134+151509</f>
        <v>3012643</v>
      </c>
      <c r="BF77" s="53"/>
      <c r="BG77" s="53">
        <v>0</v>
      </c>
      <c r="BH77" s="53"/>
      <c r="BI77" s="53">
        <f>11292589+1557394</f>
        <v>12849983</v>
      </c>
      <c r="BJ77" s="53"/>
      <c r="BK77" s="53">
        <f>608719+216265+161883</f>
        <v>986867</v>
      </c>
      <c r="BL77" s="53"/>
      <c r="BM77" s="53">
        <f t="shared" si="35"/>
        <v>16849493</v>
      </c>
      <c r="BN77" s="54" t="s">
        <v>347</v>
      </c>
      <c r="BR77" s="51"/>
      <c r="BS77" s="53"/>
      <c r="BT77" s="53"/>
      <c r="BU77" s="53"/>
      <c r="BV77" s="53"/>
      <c r="BW77" s="53"/>
      <c r="BX77" s="45"/>
      <c r="BY77" s="45"/>
      <c r="BZ77" s="53"/>
      <c r="CA77" s="53"/>
      <c r="CB77" s="53"/>
      <c r="CC77" s="53"/>
      <c r="CD77" s="53"/>
      <c r="CE77" s="53"/>
      <c r="CF77" s="35"/>
      <c r="CH77" s="35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4"/>
    </row>
    <row r="78" spans="1:105" s="55" customFormat="1" ht="12.75" customHeight="1" x14ac:dyDescent="0.2">
      <c r="A78" s="35" t="s">
        <v>99</v>
      </c>
      <c r="B78" s="51"/>
      <c r="C78" s="35" t="s">
        <v>66</v>
      </c>
      <c r="D78" s="44"/>
      <c r="E78" s="53">
        <f t="shared" si="37"/>
        <v>2229644</v>
      </c>
      <c r="F78" s="53"/>
      <c r="G78" s="53">
        <v>8958610</v>
      </c>
      <c r="H78" s="53"/>
      <c r="I78" s="53">
        <v>11188254</v>
      </c>
      <c r="J78" s="53"/>
      <c r="K78" s="53">
        <f t="shared" si="38"/>
        <v>74647</v>
      </c>
      <c r="L78" s="53"/>
      <c r="M78" s="53">
        <v>38101</v>
      </c>
      <c r="N78" s="53"/>
      <c r="O78" s="53">
        <v>112748</v>
      </c>
      <c r="P78" s="53"/>
      <c r="Q78" s="53">
        <v>8958610</v>
      </c>
      <c r="R78" s="53"/>
      <c r="S78" s="53">
        <v>0</v>
      </c>
      <c r="T78" s="53"/>
      <c r="U78" s="53">
        <v>2116896</v>
      </c>
      <c r="V78" s="53"/>
      <c r="W78" s="53">
        <f t="shared" si="33"/>
        <v>11075506</v>
      </c>
      <c r="X78" s="53"/>
      <c r="Y78" s="35" t="s">
        <v>99</v>
      </c>
      <c r="AA78" s="35" t="s">
        <v>66</v>
      </c>
      <c r="AB78" s="35"/>
      <c r="AC78" s="53">
        <v>1288682</v>
      </c>
      <c r="AD78" s="53"/>
      <c r="AE78" s="53">
        <f>1407340-444069</f>
        <v>963271</v>
      </c>
      <c r="AF78" s="53"/>
      <c r="AG78" s="53">
        <v>444069</v>
      </c>
      <c r="AH78" s="53"/>
      <c r="AI78" s="45">
        <f t="shared" si="39"/>
        <v>-118658</v>
      </c>
      <c r="AJ78" s="45"/>
      <c r="AK78" s="53">
        <v>30507</v>
      </c>
      <c r="AL78" s="45"/>
      <c r="AM78" s="53">
        <v>0</v>
      </c>
      <c r="AN78" s="53"/>
      <c r="AO78" s="53">
        <v>0</v>
      </c>
      <c r="AP78" s="53"/>
      <c r="AQ78" s="53">
        <v>0</v>
      </c>
      <c r="AR78" s="53"/>
      <c r="AS78" s="45">
        <f t="shared" si="36"/>
        <v>-88151</v>
      </c>
      <c r="AT78" s="45"/>
      <c r="AU78" s="53">
        <v>0</v>
      </c>
      <c r="AV78" s="53"/>
      <c r="AW78" s="53">
        <v>0</v>
      </c>
      <c r="AX78" s="53"/>
      <c r="AY78" s="53">
        <f t="shared" si="34"/>
        <v>2154997</v>
      </c>
      <c r="AZ78" s="53"/>
      <c r="BA78" s="35" t="s">
        <v>99</v>
      </c>
      <c r="BC78" s="35" t="s">
        <v>66</v>
      </c>
      <c r="BD78" s="53"/>
      <c r="BE78" s="53">
        <v>0</v>
      </c>
      <c r="BF78" s="53"/>
      <c r="BG78" s="53">
        <v>0</v>
      </c>
      <c r="BH78" s="53"/>
      <c r="BI78" s="53">
        <v>0</v>
      </c>
      <c r="BJ78" s="53"/>
      <c r="BK78" s="53">
        <f>38101+25129</f>
        <v>63230</v>
      </c>
      <c r="BL78" s="53"/>
      <c r="BM78" s="53">
        <f t="shared" si="35"/>
        <v>63230</v>
      </c>
      <c r="BN78" s="54" t="s">
        <v>347</v>
      </c>
      <c r="BR78" s="51"/>
      <c r="BS78" s="53"/>
      <c r="BT78" s="53"/>
      <c r="BU78" s="53"/>
      <c r="BV78" s="53"/>
      <c r="BW78" s="45"/>
      <c r="BX78" s="45"/>
      <c r="BY78" s="53"/>
      <c r="BZ78" s="53"/>
      <c r="CA78" s="53"/>
      <c r="CB78" s="53"/>
      <c r="CC78" s="53"/>
      <c r="CD78" s="53"/>
      <c r="CE78" s="53"/>
      <c r="CF78" s="35"/>
      <c r="CH78" s="44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4"/>
    </row>
    <row r="79" spans="1:105" s="55" customFormat="1" ht="12.75" customHeight="1" x14ac:dyDescent="0.2">
      <c r="A79" s="35" t="s">
        <v>100</v>
      </c>
      <c r="C79" s="35" t="s">
        <v>27</v>
      </c>
      <c r="D79" s="44"/>
      <c r="E79" s="53">
        <f t="shared" si="37"/>
        <v>7158692</v>
      </c>
      <c r="F79" s="53"/>
      <c r="G79" s="53">
        <v>29087751</v>
      </c>
      <c r="H79" s="53"/>
      <c r="I79" s="53">
        <v>36246443</v>
      </c>
      <c r="J79" s="53"/>
      <c r="K79" s="53">
        <f t="shared" si="38"/>
        <v>2557763</v>
      </c>
      <c r="L79" s="53"/>
      <c r="M79" s="53">
        <v>9707000</v>
      </c>
      <c r="N79" s="53"/>
      <c r="O79" s="53">
        <v>12264763</v>
      </c>
      <c r="P79" s="53"/>
      <c r="Q79" s="53">
        <v>18236633</v>
      </c>
      <c r="R79" s="53"/>
      <c r="S79" s="53">
        <v>0</v>
      </c>
      <c r="T79" s="53"/>
      <c r="U79" s="53">
        <v>5745047</v>
      </c>
      <c r="V79" s="53"/>
      <c r="W79" s="53">
        <f>SUM(Q79:U79)</f>
        <v>23981680</v>
      </c>
      <c r="X79" s="53"/>
      <c r="Y79" s="35" t="s">
        <v>100</v>
      </c>
      <c r="AA79" s="35" t="s">
        <v>27</v>
      </c>
      <c r="AB79" s="35"/>
      <c r="AC79" s="53">
        <v>11068896</v>
      </c>
      <c r="AD79" s="53"/>
      <c r="AE79" s="53">
        <f>9288120-994465</f>
        <v>8293655</v>
      </c>
      <c r="AF79" s="53"/>
      <c r="AG79" s="53">
        <v>994465</v>
      </c>
      <c r="AH79" s="53"/>
      <c r="AI79" s="45">
        <f t="shared" si="39"/>
        <v>1780776</v>
      </c>
      <c r="AJ79" s="45"/>
      <c r="AK79" s="53">
        <v>-293637</v>
      </c>
      <c r="AL79" s="45"/>
      <c r="AM79" s="53">
        <v>570000</v>
      </c>
      <c r="AN79" s="53"/>
      <c r="AO79" s="53">
        <v>0</v>
      </c>
      <c r="AP79" s="53"/>
      <c r="AQ79" s="53">
        <v>0</v>
      </c>
      <c r="AR79" s="53"/>
      <c r="AS79" s="45">
        <f t="shared" si="36"/>
        <v>2057139</v>
      </c>
      <c r="AT79" s="45"/>
      <c r="AU79" s="53">
        <v>0</v>
      </c>
      <c r="AV79" s="53"/>
      <c r="AW79" s="53">
        <v>0</v>
      </c>
      <c r="AX79" s="53"/>
      <c r="AY79" s="53">
        <f t="shared" si="34"/>
        <v>4600929</v>
      </c>
      <c r="AZ79" s="53"/>
      <c r="BA79" s="35" t="s">
        <v>100</v>
      </c>
      <c r="BC79" s="35" t="s">
        <v>27</v>
      </c>
      <c r="BD79" s="53"/>
      <c r="BE79" s="53">
        <f>2639261+204000</f>
        <v>2843261</v>
      </c>
      <c r="BF79" s="53"/>
      <c r="BG79" s="53">
        <v>0</v>
      </c>
      <c r="BH79" s="53"/>
      <c r="BI79" s="53">
        <f>4334927+2004168+347464+1180683</f>
        <v>7867242</v>
      </c>
      <c r="BJ79" s="53"/>
      <c r="BK79" s="53">
        <f>41334+37951+65268+624141+49156+39235</f>
        <v>857085</v>
      </c>
      <c r="BL79" s="53"/>
      <c r="BM79" s="53">
        <f t="shared" si="35"/>
        <v>11567588</v>
      </c>
      <c r="BN79" s="54" t="s">
        <v>347</v>
      </c>
      <c r="BO79" s="55" t="s">
        <v>405</v>
      </c>
      <c r="BR79" s="51"/>
      <c r="BS79" s="53"/>
      <c r="BT79" s="53"/>
      <c r="BU79" s="53"/>
      <c r="BV79" s="53"/>
      <c r="BW79" s="53"/>
      <c r="BX79" s="45"/>
      <c r="BY79" s="45"/>
      <c r="BZ79" s="53"/>
      <c r="CA79" s="53"/>
      <c r="CB79" s="53"/>
      <c r="CC79" s="53"/>
      <c r="CD79" s="53"/>
      <c r="CE79" s="53"/>
      <c r="CF79" s="35"/>
      <c r="CH79" s="35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4"/>
    </row>
    <row r="80" spans="1:105" s="55" customFormat="1" ht="12.75" customHeight="1" x14ac:dyDescent="0.2">
      <c r="A80" s="35" t="s">
        <v>101</v>
      </c>
      <c r="B80" s="51"/>
      <c r="C80" s="35" t="s">
        <v>30</v>
      </c>
      <c r="D80" s="44"/>
      <c r="E80" s="53">
        <f t="shared" si="37"/>
        <v>5479097</v>
      </c>
      <c r="F80" s="53"/>
      <c r="G80" s="53">
        <v>18433439</v>
      </c>
      <c r="H80" s="53"/>
      <c r="I80" s="53">
        <v>23912536</v>
      </c>
      <c r="J80" s="53"/>
      <c r="K80" s="53">
        <f t="shared" si="38"/>
        <v>880981</v>
      </c>
      <c r="L80" s="53"/>
      <c r="M80" s="53">
        <v>9139536</v>
      </c>
      <c r="N80" s="53"/>
      <c r="O80" s="53">
        <v>10020517</v>
      </c>
      <c r="P80" s="53"/>
      <c r="Q80" s="53">
        <v>8931976</v>
      </c>
      <c r="R80" s="53"/>
      <c r="S80" s="53">
        <v>0</v>
      </c>
      <c r="T80" s="53"/>
      <c r="U80" s="53">
        <v>4960043</v>
      </c>
      <c r="V80" s="53"/>
      <c r="W80" s="53">
        <f t="shared" si="33"/>
        <v>13892019</v>
      </c>
      <c r="X80" s="53"/>
      <c r="Y80" s="35" t="s">
        <v>101</v>
      </c>
      <c r="AA80" s="35" t="s">
        <v>30</v>
      </c>
      <c r="AB80" s="35"/>
      <c r="AC80" s="53">
        <v>5943585</v>
      </c>
      <c r="AD80" s="53"/>
      <c r="AE80" s="53">
        <f>4682813-1012739</f>
        <v>3670074</v>
      </c>
      <c r="AF80" s="53"/>
      <c r="AG80" s="53">
        <v>1012739</v>
      </c>
      <c r="AH80" s="53"/>
      <c r="AI80" s="45">
        <f t="shared" si="39"/>
        <v>1260772</v>
      </c>
      <c r="AJ80" s="45"/>
      <c r="AK80" s="53">
        <f>-650593+5550</f>
        <v>-645043</v>
      </c>
      <c r="AL80" s="45"/>
      <c r="AM80" s="53">
        <v>0</v>
      </c>
      <c r="AN80" s="53"/>
      <c r="AO80" s="53">
        <v>0</v>
      </c>
      <c r="AP80" s="53"/>
      <c r="AQ80" s="53">
        <v>41315</v>
      </c>
      <c r="AR80" s="53"/>
      <c r="AS80" s="45">
        <f t="shared" si="36"/>
        <v>657044</v>
      </c>
      <c r="AT80" s="45"/>
      <c r="AU80" s="53">
        <v>0</v>
      </c>
      <c r="AV80" s="53"/>
      <c r="AW80" s="53">
        <v>0</v>
      </c>
      <c r="AX80" s="53"/>
      <c r="AY80" s="53">
        <f t="shared" si="34"/>
        <v>4598116</v>
      </c>
      <c r="AZ80" s="53"/>
      <c r="BA80" s="35" t="s">
        <v>101</v>
      </c>
      <c r="BC80" s="35" t="s">
        <v>30</v>
      </c>
      <c r="BD80" s="53"/>
      <c r="BE80" s="53">
        <f>8684618+87350</f>
        <v>8771968</v>
      </c>
      <c r="BF80" s="53"/>
      <c r="BG80" s="53">
        <v>0</v>
      </c>
      <c r="BH80" s="53"/>
      <c r="BI80" s="53">
        <f>144178+349343</f>
        <v>493521</v>
      </c>
      <c r="BJ80" s="53"/>
      <c r="BK80" s="53">
        <f>31954+168786+110000+70072+52188+5000</f>
        <v>438000</v>
      </c>
      <c r="BL80" s="53"/>
      <c r="BM80" s="53">
        <f t="shared" si="35"/>
        <v>9703489</v>
      </c>
      <c r="BN80" s="54" t="s">
        <v>347</v>
      </c>
      <c r="BO80" s="35" t="s">
        <v>405</v>
      </c>
      <c r="BR80" s="51"/>
      <c r="BS80" s="53"/>
      <c r="BT80" s="53"/>
      <c r="BU80" s="53"/>
      <c r="BV80" s="53"/>
      <c r="BW80" s="45"/>
      <c r="BX80" s="45"/>
      <c r="BY80" s="53"/>
      <c r="BZ80" s="53"/>
      <c r="CA80" s="53"/>
      <c r="CB80" s="53"/>
      <c r="CC80" s="53"/>
      <c r="CD80" s="53"/>
      <c r="CE80" s="53"/>
      <c r="CF80" s="35"/>
      <c r="CH80" s="35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4"/>
      <c r="CT80" s="35"/>
    </row>
    <row r="81" spans="1:98" s="55" customFormat="1" ht="11.25" customHeight="1" x14ac:dyDescent="0.2">
      <c r="A81" s="35"/>
      <c r="B81" s="51"/>
      <c r="C81" s="35"/>
      <c r="D81" s="44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 t="s">
        <v>484</v>
      </c>
      <c r="X81" s="53"/>
      <c r="Y81" s="35"/>
      <c r="AA81" s="35"/>
      <c r="AB81" s="35"/>
      <c r="AC81" s="53"/>
      <c r="AD81" s="53"/>
      <c r="AE81" s="53"/>
      <c r="AF81" s="53"/>
      <c r="AG81" s="53"/>
      <c r="AH81" s="53"/>
      <c r="AI81" s="45"/>
      <c r="AJ81" s="45"/>
      <c r="AK81" s="53"/>
      <c r="AL81" s="45"/>
      <c r="AM81" s="53"/>
      <c r="AN81" s="53"/>
      <c r="AO81" s="53"/>
      <c r="AP81" s="53"/>
      <c r="AQ81" s="53"/>
      <c r="AR81" s="53"/>
      <c r="AS81" s="45"/>
      <c r="AT81" s="45"/>
      <c r="AU81" s="53"/>
      <c r="AV81" s="53"/>
      <c r="AW81" s="53"/>
      <c r="AX81" s="53"/>
      <c r="AY81" s="53" t="s">
        <v>484</v>
      </c>
      <c r="AZ81" s="53"/>
      <c r="BA81" s="35"/>
      <c r="BC81" s="35"/>
      <c r="BD81" s="53"/>
      <c r="BE81" s="53"/>
      <c r="BF81" s="53"/>
      <c r="BG81" s="53"/>
      <c r="BH81" s="53"/>
      <c r="BI81" s="53"/>
      <c r="BJ81" s="53"/>
      <c r="BK81" s="53"/>
      <c r="BL81" s="53"/>
      <c r="BM81" s="53" t="s">
        <v>484</v>
      </c>
      <c r="BN81" s="54"/>
      <c r="BR81" s="51"/>
      <c r="BS81" s="53"/>
      <c r="BT81" s="53"/>
      <c r="BU81" s="53"/>
      <c r="BV81" s="53"/>
      <c r="BW81" s="53"/>
      <c r="BX81" s="45"/>
      <c r="BY81" s="45"/>
      <c r="BZ81" s="53"/>
      <c r="CA81" s="53"/>
      <c r="CB81" s="53"/>
      <c r="CC81" s="53"/>
      <c r="CD81" s="53"/>
      <c r="CE81" s="53"/>
      <c r="CF81" s="35"/>
      <c r="CH81" s="35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4"/>
    </row>
    <row r="82" spans="1:98" s="90" customFormat="1" ht="12.75" customHeight="1" x14ac:dyDescent="0.2">
      <c r="A82" s="64" t="s">
        <v>102</v>
      </c>
      <c r="B82" s="66"/>
      <c r="C82" s="64" t="s">
        <v>103</v>
      </c>
      <c r="D82" s="46"/>
      <c r="E82" s="79">
        <f t="shared" si="37"/>
        <v>3674097</v>
      </c>
      <c r="F82" s="79"/>
      <c r="G82" s="79">
        <v>25767297</v>
      </c>
      <c r="H82" s="79"/>
      <c r="I82" s="79">
        <v>29441394</v>
      </c>
      <c r="J82" s="79"/>
      <c r="K82" s="79">
        <f t="shared" si="38"/>
        <v>2665975</v>
      </c>
      <c r="L82" s="79"/>
      <c r="M82" s="79">
        <v>4581894</v>
      </c>
      <c r="N82" s="79"/>
      <c r="O82" s="79">
        <v>7247869</v>
      </c>
      <c r="P82" s="79"/>
      <c r="Q82" s="79">
        <v>19112752</v>
      </c>
      <c r="R82" s="79"/>
      <c r="S82" s="79">
        <v>0</v>
      </c>
      <c r="T82" s="79"/>
      <c r="U82" s="79">
        <v>3080773</v>
      </c>
      <c r="V82" s="79"/>
      <c r="W82" s="79">
        <f t="shared" ref="W82:W147" si="40">SUM(Q82:U82)</f>
        <v>22193525</v>
      </c>
      <c r="X82" s="79"/>
      <c r="Y82" s="64" t="s">
        <v>102</v>
      </c>
      <c r="AA82" s="64" t="s">
        <v>103</v>
      </c>
      <c r="AB82" s="64"/>
      <c r="AC82" s="79">
        <v>5234791</v>
      </c>
      <c r="AD82" s="79"/>
      <c r="AE82" s="79">
        <f>4704417-1159716</f>
        <v>3544701</v>
      </c>
      <c r="AF82" s="79"/>
      <c r="AG82" s="79">
        <v>1159716</v>
      </c>
      <c r="AH82" s="79"/>
      <c r="AI82" s="94">
        <f t="shared" si="39"/>
        <v>530374</v>
      </c>
      <c r="AJ82" s="94"/>
      <c r="AK82" s="79">
        <v>-244395</v>
      </c>
      <c r="AL82" s="94"/>
      <c r="AM82" s="79">
        <v>0</v>
      </c>
      <c r="AN82" s="79"/>
      <c r="AO82" s="79">
        <v>0</v>
      </c>
      <c r="AP82" s="79"/>
      <c r="AQ82" s="79">
        <v>0</v>
      </c>
      <c r="AR82" s="79"/>
      <c r="AS82" s="94">
        <f t="shared" si="36"/>
        <v>285979</v>
      </c>
      <c r="AT82" s="94"/>
      <c r="AU82" s="79">
        <v>0</v>
      </c>
      <c r="AV82" s="79"/>
      <c r="AW82" s="79">
        <v>0</v>
      </c>
      <c r="AX82" s="79"/>
      <c r="AY82" s="79">
        <f t="shared" ref="AY82:AY147" si="41">+E82-K82</f>
        <v>1008122</v>
      </c>
      <c r="AZ82" s="79"/>
      <c r="BA82" s="64" t="s">
        <v>102</v>
      </c>
      <c r="BC82" s="64" t="s">
        <v>103</v>
      </c>
      <c r="BD82" s="79"/>
      <c r="BE82" s="79">
        <f>4357688+796857</f>
        <v>5154545</v>
      </c>
      <c r="BF82" s="79"/>
      <c r="BG82" s="79">
        <v>0</v>
      </c>
      <c r="BH82" s="79"/>
      <c r="BI82" s="79">
        <v>0</v>
      </c>
      <c r="BJ82" s="79"/>
      <c r="BK82" s="79">
        <f>224206+17291</f>
        <v>241497</v>
      </c>
      <c r="BL82" s="79"/>
      <c r="BM82" s="79">
        <f t="shared" ref="BM82:BM146" si="42">SUM(BE82:BK82)</f>
        <v>5396042</v>
      </c>
      <c r="BN82" s="91" t="s">
        <v>347</v>
      </c>
      <c r="BR82" s="66"/>
      <c r="BS82" s="79"/>
      <c r="BT82" s="79"/>
      <c r="BU82" s="79"/>
      <c r="BV82" s="79"/>
      <c r="BW82" s="79"/>
      <c r="BX82" s="94"/>
      <c r="BY82" s="94"/>
      <c r="BZ82" s="79"/>
      <c r="CA82" s="79"/>
      <c r="CB82" s="79"/>
      <c r="CC82" s="79"/>
      <c r="CD82" s="79"/>
      <c r="CE82" s="79"/>
      <c r="CF82" s="64"/>
      <c r="CH82" s="64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91"/>
    </row>
    <row r="83" spans="1:98" s="140" customFormat="1" ht="12.75" hidden="1" customHeight="1" x14ac:dyDescent="0.2">
      <c r="A83" s="126" t="s">
        <v>104</v>
      </c>
      <c r="B83" s="124"/>
      <c r="C83" s="126" t="s">
        <v>13</v>
      </c>
      <c r="D83" s="121"/>
      <c r="E83" s="53">
        <f t="shared" si="37"/>
        <v>0</v>
      </c>
      <c r="F83" s="53"/>
      <c r="G83" s="53"/>
      <c r="H83" s="53"/>
      <c r="I83" s="53"/>
      <c r="J83" s="53"/>
      <c r="K83" s="53">
        <f t="shared" si="38"/>
        <v>0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137"/>
      <c r="W83" s="137">
        <f t="shared" si="40"/>
        <v>0</v>
      </c>
      <c r="X83" s="137"/>
      <c r="Y83" s="126" t="s">
        <v>104</v>
      </c>
      <c r="AA83" s="126" t="s">
        <v>13</v>
      </c>
      <c r="AB83" s="126"/>
      <c r="AC83" s="53"/>
      <c r="AD83" s="53"/>
      <c r="AE83" s="53"/>
      <c r="AF83" s="53"/>
      <c r="AG83" s="53"/>
      <c r="AH83" s="53"/>
      <c r="AI83" s="45">
        <f t="shared" si="39"/>
        <v>0</v>
      </c>
      <c r="AJ83" s="45"/>
      <c r="AK83" s="53"/>
      <c r="AL83" s="45"/>
      <c r="AM83" s="53"/>
      <c r="AN83" s="53"/>
      <c r="AO83" s="53"/>
      <c r="AP83" s="53"/>
      <c r="AQ83" s="53"/>
      <c r="AR83" s="137"/>
      <c r="AS83" s="45">
        <f t="shared" si="36"/>
        <v>0</v>
      </c>
      <c r="AT83" s="127"/>
      <c r="AU83" s="137">
        <v>0</v>
      </c>
      <c r="AV83" s="137"/>
      <c r="AW83" s="137">
        <v>0</v>
      </c>
      <c r="AX83" s="137"/>
      <c r="AY83" s="137">
        <f t="shared" si="41"/>
        <v>0</v>
      </c>
      <c r="AZ83" s="137"/>
      <c r="BA83" s="126" t="s">
        <v>104</v>
      </c>
      <c r="BC83" s="126" t="s">
        <v>13</v>
      </c>
      <c r="BD83" s="137"/>
      <c r="BE83" s="53"/>
      <c r="BF83" s="53"/>
      <c r="BG83" s="53"/>
      <c r="BH83" s="53"/>
      <c r="BI83" s="53"/>
      <c r="BJ83" s="53"/>
      <c r="BK83" s="53"/>
      <c r="BL83" s="137"/>
      <c r="BM83" s="137">
        <f t="shared" si="42"/>
        <v>0</v>
      </c>
      <c r="BN83" s="139" t="s">
        <v>347</v>
      </c>
      <c r="BR83" s="124"/>
      <c r="BS83" s="137"/>
      <c r="BT83" s="137"/>
      <c r="BU83" s="137"/>
      <c r="BV83" s="137"/>
      <c r="BW83" s="137"/>
      <c r="BX83" s="127"/>
      <c r="BY83" s="127"/>
      <c r="BZ83" s="137"/>
      <c r="CA83" s="137"/>
      <c r="CB83" s="137"/>
      <c r="CC83" s="137"/>
      <c r="CD83" s="137"/>
      <c r="CE83" s="137"/>
      <c r="CF83" s="126"/>
      <c r="CH83" s="126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9"/>
    </row>
    <row r="84" spans="1:98" s="55" customFormat="1" ht="12.75" customHeight="1" x14ac:dyDescent="0.2">
      <c r="A84" s="35" t="s">
        <v>105</v>
      </c>
      <c r="B84" s="51"/>
      <c r="C84" s="35" t="s">
        <v>27</v>
      </c>
      <c r="D84" s="44"/>
      <c r="E84" s="53">
        <f t="shared" si="37"/>
        <v>905600</v>
      </c>
      <c r="F84" s="53"/>
      <c r="G84" s="53">
        <v>16078010</v>
      </c>
      <c r="H84" s="53"/>
      <c r="I84" s="53">
        <v>16983610</v>
      </c>
      <c r="J84" s="53"/>
      <c r="K84" s="53">
        <f t="shared" si="38"/>
        <v>135910</v>
      </c>
      <c r="L84" s="53"/>
      <c r="M84" s="53">
        <v>81726</v>
      </c>
      <c r="N84" s="53"/>
      <c r="O84" s="53">
        <v>217636</v>
      </c>
      <c r="P84" s="53"/>
      <c r="Q84" s="53">
        <v>12173623</v>
      </c>
      <c r="R84" s="53"/>
      <c r="S84" s="53">
        <v>0</v>
      </c>
      <c r="T84" s="53"/>
      <c r="U84" s="53">
        <v>4592351</v>
      </c>
      <c r="V84" s="53"/>
      <c r="W84" s="53">
        <f t="shared" si="40"/>
        <v>16765974</v>
      </c>
      <c r="X84" s="53"/>
      <c r="Y84" s="35" t="s">
        <v>105</v>
      </c>
      <c r="AA84" s="35" t="s">
        <v>27</v>
      </c>
      <c r="AB84" s="35"/>
      <c r="AC84" s="53">
        <v>1998193</v>
      </c>
      <c r="AD84" s="53"/>
      <c r="AE84" s="53">
        <f>1768291-410199</f>
        <v>1358092</v>
      </c>
      <c r="AF84" s="53"/>
      <c r="AG84" s="53">
        <v>410199</v>
      </c>
      <c r="AH84" s="53"/>
      <c r="AI84" s="45">
        <f t="shared" si="39"/>
        <v>229902</v>
      </c>
      <c r="AJ84" s="45"/>
      <c r="AK84" s="53">
        <v>-275349</v>
      </c>
      <c r="AL84" s="45"/>
      <c r="AM84" s="53">
        <v>56823</v>
      </c>
      <c r="AN84" s="53"/>
      <c r="AO84" s="53">
        <v>0</v>
      </c>
      <c r="AP84" s="53"/>
      <c r="AQ84" s="53">
        <v>0</v>
      </c>
      <c r="AR84" s="53"/>
      <c r="AS84" s="45">
        <f t="shared" si="36"/>
        <v>11376</v>
      </c>
      <c r="AT84" s="45"/>
      <c r="AU84" s="53">
        <v>0</v>
      </c>
      <c r="AV84" s="53"/>
      <c r="AW84" s="53">
        <v>0</v>
      </c>
      <c r="AX84" s="53"/>
      <c r="AY84" s="53">
        <f t="shared" si="41"/>
        <v>769690</v>
      </c>
      <c r="AZ84" s="53"/>
      <c r="BA84" s="35" t="s">
        <v>105</v>
      </c>
      <c r="BC84" s="35" t="s">
        <v>27</v>
      </c>
      <c r="BD84" s="53"/>
      <c r="BE84" s="53">
        <v>0</v>
      </c>
      <c r="BF84" s="53"/>
      <c r="BG84" s="53">
        <v>0</v>
      </c>
      <c r="BH84" s="53"/>
      <c r="BI84" s="53">
        <f>81726+36134</f>
        <v>117860</v>
      </c>
      <c r="BJ84" s="53"/>
      <c r="BK84" s="53">
        <v>0</v>
      </c>
      <c r="BL84" s="53"/>
      <c r="BM84" s="53">
        <f t="shared" si="42"/>
        <v>117860</v>
      </c>
      <c r="BN84" s="54" t="s">
        <v>347</v>
      </c>
      <c r="BR84" s="51"/>
      <c r="BS84" s="53"/>
      <c r="BT84" s="53"/>
      <c r="BU84" s="53"/>
      <c r="BV84" s="53"/>
      <c r="BW84" s="45"/>
      <c r="BX84" s="45"/>
      <c r="BY84" s="53"/>
      <c r="BZ84" s="53"/>
      <c r="CA84" s="53"/>
      <c r="CB84" s="53"/>
      <c r="CC84" s="53"/>
      <c r="CD84" s="53"/>
      <c r="CE84" s="53"/>
      <c r="CF84" s="44"/>
      <c r="CH84" s="44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4"/>
    </row>
    <row r="85" spans="1:98" s="140" customFormat="1" ht="12.75" hidden="1" customHeight="1" x14ac:dyDescent="0.2">
      <c r="A85" s="126" t="s">
        <v>106</v>
      </c>
      <c r="B85" s="124"/>
      <c r="C85" s="126" t="s">
        <v>107</v>
      </c>
      <c r="D85" s="121"/>
      <c r="E85" s="53">
        <f t="shared" si="37"/>
        <v>0</v>
      </c>
      <c r="F85" s="53"/>
      <c r="G85" s="53"/>
      <c r="H85" s="53"/>
      <c r="I85" s="53"/>
      <c r="J85" s="53"/>
      <c r="K85" s="53">
        <f t="shared" si="38"/>
        <v>0</v>
      </c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137"/>
      <c r="W85" s="137">
        <f t="shared" si="40"/>
        <v>0</v>
      </c>
      <c r="X85" s="137"/>
      <c r="Y85" s="126" t="s">
        <v>106</v>
      </c>
      <c r="AA85" s="126" t="s">
        <v>107</v>
      </c>
      <c r="AB85" s="126"/>
      <c r="AC85" s="53"/>
      <c r="AD85" s="53"/>
      <c r="AE85" s="53"/>
      <c r="AF85" s="53"/>
      <c r="AG85" s="53"/>
      <c r="AH85" s="53"/>
      <c r="AI85" s="45">
        <f t="shared" si="39"/>
        <v>0</v>
      </c>
      <c r="AJ85" s="45"/>
      <c r="AK85" s="53"/>
      <c r="AL85" s="45"/>
      <c r="AM85" s="53"/>
      <c r="AN85" s="53"/>
      <c r="AO85" s="53"/>
      <c r="AP85" s="53"/>
      <c r="AQ85" s="53"/>
      <c r="AR85" s="137"/>
      <c r="AS85" s="45">
        <f t="shared" si="36"/>
        <v>0</v>
      </c>
      <c r="AT85" s="127"/>
      <c r="AU85" s="137">
        <v>0</v>
      </c>
      <c r="AV85" s="137"/>
      <c r="AW85" s="137">
        <v>0</v>
      </c>
      <c r="AX85" s="137"/>
      <c r="AY85" s="137">
        <f t="shared" si="41"/>
        <v>0</v>
      </c>
      <c r="AZ85" s="137"/>
      <c r="BA85" s="126" t="s">
        <v>106</v>
      </c>
      <c r="BC85" s="126" t="s">
        <v>107</v>
      </c>
      <c r="BD85" s="137"/>
      <c r="BE85" s="53"/>
      <c r="BF85" s="53"/>
      <c r="BG85" s="53"/>
      <c r="BH85" s="53"/>
      <c r="BI85" s="53"/>
      <c r="BJ85" s="53"/>
      <c r="BK85" s="53"/>
      <c r="BL85" s="137"/>
      <c r="BM85" s="137">
        <f t="shared" si="42"/>
        <v>0</v>
      </c>
      <c r="BN85" s="139" t="s">
        <v>347</v>
      </c>
      <c r="BR85" s="124"/>
      <c r="BS85" s="137"/>
      <c r="BT85" s="137"/>
      <c r="BU85" s="137"/>
      <c r="BV85" s="137"/>
      <c r="BW85" s="137"/>
      <c r="BX85" s="127"/>
      <c r="BY85" s="127"/>
      <c r="BZ85" s="137"/>
      <c r="CA85" s="137"/>
      <c r="CB85" s="137"/>
      <c r="CC85" s="137"/>
      <c r="CD85" s="137"/>
      <c r="CE85" s="137"/>
      <c r="CF85" s="126"/>
      <c r="CH85" s="126"/>
      <c r="CI85" s="137"/>
      <c r="CJ85" s="137"/>
      <c r="CK85" s="137"/>
      <c r="CL85" s="137"/>
      <c r="CM85" s="137"/>
      <c r="CN85" s="137"/>
      <c r="CO85" s="137"/>
      <c r="CP85" s="137"/>
      <c r="CQ85" s="137"/>
      <c r="CR85" s="137"/>
      <c r="CS85" s="139"/>
    </row>
    <row r="86" spans="1:98" s="140" customFormat="1" ht="12.75" hidden="1" customHeight="1" x14ac:dyDescent="0.2">
      <c r="A86" s="126" t="s">
        <v>108</v>
      </c>
      <c r="B86" s="124"/>
      <c r="C86" s="126" t="s">
        <v>45</v>
      </c>
      <c r="D86" s="121"/>
      <c r="E86" s="53">
        <f t="shared" si="37"/>
        <v>0</v>
      </c>
      <c r="F86" s="53"/>
      <c r="G86" s="53"/>
      <c r="H86" s="53"/>
      <c r="I86" s="53"/>
      <c r="J86" s="53"/>
      <c r="K86" s="53">
        <f t="shared" si="38"/>
        <v>0</v>
      </c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137"/>
      <c r="W86" s="137">
        <f t="shared" si="40"/>
        <v>0</v>
      </c>
      <c r="X86" s="137"/>
      <c r="Y86" s="126" t="s">
        <v>108</v>
      </c>
      <c r="AA86" s="126" t="s">
        <v>45</v>
      </c>
      <c r="AB86" s="126"/>
      <c r="AC86" s="53"/>
      <c r="AD86" s="53"/>
      <c r="AE86" s="53"/>
      <c r="AF86" s="53"/>
      <c r="AG86" s="53"/>
      <c r="AH86" s="53"/>
      <c r="AI86" s="45">
        <f t="shared" si="39"/>
        <v>0</v>
      </c>
      <c r="AJ86" s="45"/>
      <c r="AK86" s="53"/>
      <c r="AL86" s="45"/>
      <c r="AM86" s="53"/>
      <c r="AN86" s="53"/>
      <c r="AO86" s="53"/>
      <c r="AP86" s="53"/>
      <c r="AQ86" s="53"/>
      <c r="AR86" s="137"/>
      <c r="AS86" s="45">
        <f t="shared" si="36"/>
        <v>0</v>
      </c>
      <c r="AT86" s="127"/>
      <c r="AU86" s="137">
        <v>0</v>
      </c>
      <c r="AV86" s="137"/>
      <c r="AW86" s="137">
        <v>0</v>
      </c>
      <c r="AX86" s="137"/>
      <c r="AY86" s="137">
        <f t="shared" si="41"/>
        <v>0</v>
      </c>
      <c r="AZ86" s="137"/>
      <c r="BA86" s="126" t="s">
        <v>108</v>
      </c>
      <c r="BC86" s="126" t="s">
        <v>45</v>
      </c>
      <c r="BD86" s="137"/>
      <c r="BE86" s="53"/>
      <c r="BF86" s="53"/>
      <c r="BG86" s="53"/>
      <c r="BH86" s="53"/>
      <c r="BI86" s="53"/>
      <c r="BJ86" s="53"/>
      <c r="BK86" s="53"/>
      <c r="BL86" s="137"/>
      <c r="BM86" s="137">
        <f t="shared" si="42"/>
        <v>0</v>
      </c>
      <c r="BN86" s="139" t="s">
        <v>347</v>
      </c>
      <c r="BO86" s="140" t="s">
        <v>404</v>
      </c>
      <c r="BR86" s="124"/>
      <c r="BS86" s="137"/>
      <c r="BT86" s="137"/>
      <c r="BU86" s="137"/>
      <c r="BV86" s="137"/>
      <c r="BW86" s="137"/>
      <c r="BX86" s="127"/>
      <c r="BY86" s="127"/>
      <c r="BZ86" s="137"/>
      <c r="CA86" s="137"/>
      <c r="CB86" s="137"/>
      <c r="CC86" s="137"/>
      <c r="CD86" s="137"/>
      <c r="CE86" s="137"/>
      <c r="CF86" s="126"/>
      <c r="CH86" s="126"/>
      <c r="CI86" s="137"/>
      <c r="CJ86" s="137"/>
      <c r="CK86" s="137"/>
      <c r="CL86" s="137"/>
      <c r="CM86" s="137"/>
      <c r="CN86" s="137"/>
      <c r="CO86" s="137"/>
      <c r="CP86" s="137"/>
      <c r="CQ86" s="137"/>
      <c r="CR86" s="137"/>
      <c r="CS86" s="139"/>
    </row>
    <row r="87" spans="1:98" s="55" customFormat="1" ht="12.75" customHeight="1" x14ac:dyDescent="0.2">
      <c r="A87" s="35" t="s">
        <v>109</v>
      </c>
      <c r="C87" s="35" t="s">
        <v>110</v>
      </c>
      <c r="D87" s="44"/>
      <c r="E87" s="53">
        <f t="shared" si="37"/>
        <v>1863358</v>
      </c>
      <c r="F87" s="53"/>
      <c r="G87" s="53">
        <v>12970385</v>
      </c>
      <c r="H87" s="53"/>
      <c r="I87" s="53">
        <v>14833743</v>
      </c>
      <c r="J87" s="53"/>
      <c r="K87" s="53">
        <f t="shared" si="38"/>
        <v>587893</v>
      </c>
      <c r="L87" s="53"/>
      <c r="M87" s="53">
        <v>2373893</v>
      </c>
      <c r="N87" s="53"/>
      <c r="O87" s="53">
        <v>2961786</v>
      </c>
      <c r="P87" s="53"/>
      <c r="Q87" s="53">
        <v>10246103</v>
      </c>
      <c r="R87" s="53"/>
      <c r="S87" s="53">
        <v>0</v>
      </c>
      <c r="T87" s="53"/>
      <c r="U87" s="53">
        <v>1625854</v>
      </c>
      <c r="V87" s="53"/>
      <c r="W87" s="53">
        <f t="shared" si="40"/>
        <v>11871957</v>
      </c>
      <c r="X87" s="53"/>
      <c r="Y87" s="35" t="s">
        <v>109</v>
      </c>
      <c r="AA87" s="35" t="s">
        <v>110</v>
      </c>
      <c r="AB87" s="35"/>
      <c r="AC87" s="53">
        <v>2758630</v>
      </c>
      <c r="AD87" s="53"/>
      <c r="AE87" s="53">
        <f>2378347-363842</f>
        <v>2014505</v>
      </c>
      <c r="AF87" s="53"/>
      <c r="AG87" s="53">
        <v>363842</v>
      </c>
      <c r="AH87" s="53"/>
      <c r="AI87" s="45">
        <f t="shared" si="39"/>
        <v>380283</v>
      </c>
      <c r="AJ87" s="45"/>
      <c r="AK87" s="53">
        <v>-690212</v>
      </c>
      <c r="AL87" s="45"/>
      <c r="AM87" s="53">
        <v>1302</v>
      </c>
      <c r="AN87" s="53"/>
      <c r="AO87" s="53">
        <v>0</v>
      </c>
      <c r="AP87" s="53"/>
      <c r="AQ87" s="53">
        <v>0</v>
      </c>
      <c r="AR87" s="53"/>
      <c r="AS87" s="45">
        <f t="shared" si="36"/>
        <v>-308627</v>
      </c>
      <c r="AT87" s="45"/>
      <c r="AU87" s="53">
        <v>0</v>
      </c>
      <c r="AV87" s="53"/>
      <c r="AW87" s="53">
        <v>0</v>
      </c>
      <c r="AX87" s="53"/>
      <c r="AY87" s="53">
        <f t="shared" si="41"/>
        <v>1275465</v>
      </c>
      <c r="AZ87" s="53"/>
      <c r="BA87" s="35" t="s">
        <v>109</v>
      </c>
      <c r="BC87" s="35" t="s">
        <v>110</v>
      </c>
      <c r="BD87" s="53"/>
      <c r="BE87" s="53">
        <v>0</v>
      </c>
      <c r="BF87" s="53"/>
      <c r="BG87" s="53">
        <v>0</v>
      </c>
      <c r="BH87" s="53"/>
      <c r="BI87" s="53">
        <f>2243494+107787+360903+12098</f>
        <v>2724282</v>
      </c>
      <c r="BJ87" s="53"/>
      <c r="BK87" s="53">
        <f>72021+22612</f>
        <v>94633</v>
      </c>
      <c r="BL87" s="53"/>
      <c r="BM87" s="53">
        <f t="shared" si="42"/>
        <v>2818915</v>
      </c>
      <c r="BN87" s="54" t="s">
        <v>347</v>
      </c>
      <c r="BR87" s="51"/>
      <c r="BS87" s="53"/>
      <c r="BT87" s="53"/>
      <c r="BU87" s="53"/>
      <c r="BV87" s="53"/>
      <c r="BW87" s="53"/>
      <c r="BX87" s="45"/>
      <c r="BY87" s="45"/>
      <c r="BZ87" s="53"/>
      <c r="CA87" s="53"/>
      <c r="CB87" s="53"/>
      <c r="CC87" s="53"/>
      <c r="CD87" s="53"/>
      <c r="CE87" s="53"/>
      <c r="CF87" s="35"/>
      <c r="CH87" s="35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4"/>
    </row>
    <row r="88" spans="1:98" s="55" customFormat="1" ht="12.75" customHeight="1" x14ac:dyDescent="0.2">
      <c r="A88" s="35" t="s">
        <v>43</v>
      </c>
      <c r="B88" s="51"/>
      <c r="C88" s="35" t="s">
        <v>111</v>
      </c>
      <c r="D88" s="44"/>
      <c r="E88" s="53">
        <f t="shared" si="37"/>
        <v>1518372</v>
      </c>
      <c r="F88" s="53"/>
      <c r="G88" s="53">
        <v>4219305</v>
      </c>
      <c r="H88" s="53"/>
      <c r="I88" s="53">
        <v>5737677</v>
      </c>
      <c r="J88" s="53"/>
      <c r="K88" s="53">
        <f t="shared" si="38"/>
        <v>514222</v>
      </c>
      <c r="L88" s="53"/>
      <c r="M88" s="53">
        <v>96166</v>
      </c>
      <c r="N88" s="53"/>
      <c r="O88" s="53">
        <v>610388</v>
      </c>
      <c r="P88" s="53"/>
      <c r="Q88" s="53">
        <v>3694055</v>
      </c>
      <c r="R88" s="53"/>
      <c r="S88" s="53">
        <v>0</v>
      </c>
      <c r="T88" s="53"/>
      <c r="U88" s="53">
        <v>1433234</v>
      </c>
      <c r="V88" s="53"/>
      <c r="W88" s="53">
        <f t="shared" si="40"/>
        <v>5127289</v>
      </c>
      <c r="X88" s="53"/>
      <c r="Y88" s="35" t="s">
        <v>43</v>
      </c>
      <c r="AA88" s="35" t="s">
        <v>111</v>
      </c>
      <c r="AB88" s="35"/>
      <c r="AC88" s="53">
        <v>3198842</v>
      </c>
      <c r="AD88" s="53"/>
      <c r="AE88" s="53">
        <f>2907671-144857</f>
        <v>2762814</v>
      </c>
      <c r="AF88" s="53"/>
      <c r="AG88" s="53">
        <v>144857</v>
      </c>
      <c r="AH88" s="53"/>
      <c r="AI88" s="45">
        <f t="shared" si="39"/>
        <v>291171</v>
      </c>
      <c r="AJ88" s="45"/>
      <c r="AK88" s="53">
        <v>7215</v>
      </c>
      <c r="AL88" s="45"/>
      <c r="AM88" s="53">
        <v>0</v>
      </c>
      <c r="AN88" s="53"/>
      <c r="AO88" s="53">
        <v>60000</v>
      </c>
      <c r="AP88" s="53"/>
      <c r="AQ88" s="53">
        <v>0</v>
      </c>
      <c r="AR88" s="53"/>
      <c r="AS88" s="45">
        <f t="shared" si="36"/>
        <v>238386</v>
      </c>
      <c r="AT88" s="45"/>
      <c r="AU88" s="53">
        <v>0</v>
      </c>
      <c r="AV88" s="53"/>
      <c r="AW88" s="53">
        <v>0</v>
      </c>
      <c r="AX88" s="53"/>
      <c r="AY88" s="53">
        <f t="shared" si="41"/>
        <v>1004150</v>
      </c>
      <c r="AZ88" s="53"/>
      <c r="BA88" s="35" t="s">
        <v>43</v>
      </c>
      <c r="BC88" s="35" t="s">
        <v>111</v>
      </c>
      <c r="BD88" s="53"/>
      <c r="BE88" s="53">
        <v>0</v>
      </c>
      <c r="BF88" s="53"/>
      <c r="BG88" s="53">
        <v>0</v>
      </c>
      <c r="BH88" s="53"/>
      <c r="BI88" s="53">
        <v>0</v>
      </c>
      <c r="BJ88" s="53"/>
      <c r="BK88" s="53">
        <f>61054+35112+9741</f>
        <v>105907</v>
      </c>
      <c r="BL88" s="53"/>
      <c r="BM88" s="53">
        <f t="shared" si="42"/>
        <v>105907</v>
      </c>
      <c r="BN88" s="54" t="s">
        <v>347</v>
      </c>
      <c r="BR88" s="51"/>
      <c r="BS88" s="53"/>
      <c r="BT88" s="53"/>
      <c r="BU88" s="53"/>
      <c r="BV88" s="53"/>
      <c r="BW88" s="53"/>
      <c r="BX88" s="45"/>
      <c r="BY88" s="45"/>
      <c r="BZ88" s="53"/>
      <c r="CA88" s="53"/>
      <c r="CB88" s="53"/>
      <c r="CC88" s="53"/>
      <c r="CD88" s="53"/>
      <c r="CE88" s="53"/>
      <c r="CF88" s="35"/>
      <c r="CH88" s="35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4"/>
    </row>
    <row r="89" spans="1:98" s="55" customFormat="1" ht="12.75" customHeight="1" x14ac:dyDescent="0.2">
      <c r="A89" s="35" t="s">
        <v>112</v>
      </c>
      <c r="B89" s="65"/>
      <c r="C89" s="35" t="s">
        <v>76</v>
      </c>
      <c r="D89" s="44"/>
      <c r="E89" s="53">
        <f t="shared" ref="E89:E91" si="43">I89-G89</f>
        <v>8830033</v>
      </c>
      <c r="F89" s="53"/>
      <c r="G89" s="53">
        <v>9775096</v>
      </c>
      <c r="H89" s="53"/>
      <c r="I89" s="53">
        <v>18605129</v>
      </c>
      <c r="J89" s="53"/>
      <c r="K89" s="53">
        <f t="shared" ref="K89:K147" si="44">O89-M89</f>
        <v>218724</v>
      </c>
      <c r="L89" s="53"/>
      <c r="M89" s="53">
        <v>552015</v>
      </c>
      <c r="N89" s="53"/>
      <c r="O89" s="53">
        <v>770739</v>
      </c>
      <c r="P89" s="53"/>
      <c r="Q89" s="53">
        <v>9384338</v>
      </c>
      <c r="R89" s="53"/>
      <c r="S89" s="53">
        <v>0</v>
      </c>
      <c r="T89" s="53"/>
      <c r="U89" s="53">
        <v>8450052</v>
      </c>
      <c r="V89" s="53"/>
      <c r="W89" s="53">
        <f t="shared" si="40"/>
        <v>17834390</v>
      </c>
      <c r="X89" s="53"/>
      <c r="Y89" s="35" t="s">
        <v>112</v>
      </c>
      <c r="AA89" s="35" t="s">
        <v>76</v>
      </c>
      <c r="AB89" s="35"/>
      <c r="AC89" s="53">
        <v>6154912</v>
      </c>
      <c r="AD89" s="53"/>
      <c r="AE89" s="53">
        <f>3579074-526109</f>
        <v>3052965</v>
      </c>
      <c r="AF89" s="53"/>
      <c r="AG89" s="53">
        <v>526109</v>
      </c>
      <c r="AH89" s="53"/>
      <c r="AI89" s="45">
        <f t="shared" ref="AI89:AI147" si="45">+AC89-AE89-AG89</f>
        <v>2575838</v>
      </c>
      <c r="AJ89" s="45"/>
      <c r="AK89" s="53">
        <v>5263</v>
      </c>
      <c r="AL89" s="45"/>
      <c r="AM89" s="53">
        <v>370315</v>
      </c>
      <c r="AN89" s="53"/>
      <c r="AO89" s="53">
        <v>1572</v>
      </c>
      <c r="AP89" s="53"/>
      <c r="AQ89" s="53">
        <v>115484</v>
      </c>
      <c r="AR89" s="53"/>
      <c r="AS89" s="45">
        <f t="shared" si="36"/>
        <v>3065328</v>
      </c>
      <c r="AT89" s="45"/>
      <c r="AU89" s="53">
        <v>0</v>
      </c>
      <c r="AV89" s="53"/>
      <c r="AW89" s="53">
        <v>0</v>
      </c>
      <c r="AX89" s="53"/>
      <c r="AY89" s="53">
        <f t="shared" si="41"/>
        <v>8611309</v>
      </c>
      <c r="AZ89" s="53"/>
      <c r="BA89" s="35" t="s">
        <v>112</v>
      </c>
      <c r="BC89" s="35" t="s">
        <v>76</v>
      </c>
      <c r="BD89" s="53"/>
      <c r="BE89" s="53">
        <v>0</v>
      </c>
      <c r="BF89" s="53"/>
      <c r="BG89" s="53">
        <v>0</v>
      </c>
      <c r="BH89" s="53"/>
      <c r="BI89" s="53">
        <f>167391+204142+19225</f>
        <v>390758</v>
      </c>
      <c r="BJ89" s="53"/>
      <c r="BK89" s="53">
        <f>180482+21974</f>
        <v>202456</v>
      </c>
      <c r="BL89" s="53"/>
      <c r="BM89" s="53">
        <f t="shared" si="42"/>
        <v>593214</v>
      </c>
      <c r="BN89" s="54" t="s">
        <v>347</v>
      </c>
      <c r="BR89" s="65"/>
      <c r="BS89" s="53"/>
      <c r="BT89" s="53"/>
      <c r="BU89" s="53"/>
      <c r="BV89" s="53"/>
      <c r="BW89" s="53"/>
      <c r="BX89" s="45"/>
      <c r="BY89" s="45"/>
      <c r="BZ89" s="53"/>
      <c r="CA89" s="53"/>
      <c r="CB89" s="53"/>
      <c r="CC89" s="53"/>
      <c r="CD89" s="53"/>
      <c r="CE89" s="53"/>
      <c r="CF89" s="35"/>
      <c r="CH89" s="35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4"/>
    </row>
    <row r="90" spans="1:98" s="55" customFormat="1" ht="12.75" customHeight="1" x14ac:dyDescent="0.2">
      <c r="A90" s="35" t="s">
        <v>113</v>
      </c>
      <c r="B90" s="65"/>
      <c r="C90" s="35" t="s">
        <v>43</v>
      </c>
      <c r="D90" s="44"/>
      <c r="E90" s="53">
        <f t="shared" si="43"/>
        <v>14318825</v>
      </c>
      <c r="F90" s="53"/>
      <c r="G90" s="53">
        <v>16622018</v>
      </c>
      <c r="H90" s="53"/>
      <c r="I90" s="53">
        <v>30940843</v>
      </c>
      <c r="J90" s="53"/>
      <c r="K90" s="53">
        <f t="shared" si="44"/>
        <v>2750713</v>
      </c>
      <c r="L90" s="53"/>
      <c r="M90" s="53">
        <v>302828</v>
      </c>
      <c r="N90" s="53"/>
      <c r="O90" s="53">
        <v>3053541</v>
      </c>
      <c r="P90" s="53"/>
      <c r="Q90" s="53">
        <v>16294460</v>
      </c>
      <c r="R90" s="53"/>
      <c r="S90" s="53">
        <v>0</v>
      </c>
      <c r="T90" s="53"/>
      <c r="U90" s="53">
        <v>11592842</v>
      </c>
      <c r="V90" s="53"/>
      <c r="W90" s="53">
        <f t="shared" si="40"/>
        <v>27887302</v>
      </c>
      <c r="X90" s="53"/>
      <c r="Y90" s="35" t="s">
        <v>113</v>
      </c>
      <c r="AA90" s="35" t="s">
        <v>43</v>
      </c>
      <c r="AB90" s="35"/>
      <c r="AC90" s="53">
        <v>5115183</v>
      </c>
      <c r="AD90" s="53"/>
      <c r="AE90" s="53">
        <f>6749432-493790</f>
        <v>6255642</v>
      </c>
      <c r="AF90" s="53"/>
      <c r="AG90" s="53">
        <v>493790</v>
      </c>
      <c r="AH90" s="53"/>
      <c r="AI90" s="45">
        <f t="shared" si="45"/>
        <v>-1634249</v>
      </c>
      <c r="AJ90" s="45"/>
      <c r="AK90" s="53">
        <v>-15006</v>
      </c>
      <c r="AL90" s="45"/>
      <c r="AM90" s="53">
        <v>0</v>
      </c>
      <c r="AN90" s="53"/>
      <c r="AO90" s="53">
        <v>0</v>
      </c>
      <c r="AP90" s="53"/>
      <c r="AQ90" s="53">
        <v>0</v>
      </c>
      <c r="AR90" s="53"/>
      <c r="AS90" s="45">
        <f t="shared" si="36"/>
        <v>-1649255</v>
      </c>
      <c r="AT90" s="45"/>
      <c r="AU90" s="53">
        <v>0</v>
      </c>
      <c r="AV90" s="53"/>
      <c r="AW90" s="53">
        <v>0</v>
      </c>
      <c r="AX90" s="53"/>
      <c r="AY90" s="53">
        <f t="shared" si="41"/>
        <v>11568112</v>
      </c>
      <c r="AZ90" s="53"/>
      <c r="BA90" s="35" t="s">
        <v>113</v>
      </c>
      <c r="BC90" s="35" t="s">
        <v>43</v>
      </c>
      <c r="BD90" s="53"/>
      <c r="BE90" s="53">
        <f>290479+12802</f>
        <v>303281</v>
      </c>
      <c r="BF90" s="53"/>
      <c r="BG90" s="53">
        <v>0</v>
      </c>
      <c r="BH90" s="53"/>
      <c r="BI90" s="53">
        <f>12349+11928</f>
        <v>24277</v>
      </c>
      <c r="BJ90" s="53"/>
      <c r="BK90" s="53">
        <v>0</v>
      </c>
      <c r="BL90" s="53"/>
      <c r="BM90" s="53">
        <f t="shared" si="42"/>
        <v>327558</v>
      </c>
      <c r="BN90" s="54" t="s">
        <v>347</v>
      </c>
      <c r="BR90" s="65"/>
      <c r="BS90" s="53"/>
      <c r="BT90" s="53"/>
      <c r="BU90" s="53"/>
      <c r="BV90" s="53"/>
      <c r="BW90" s="53"/>
      <c r="BX90" s="45"/>
      <c r="BY90" s="45"/>
      <c r="BZ90" s="53"/>
      <c r="CA90" s="53"/>
      <c r="CB90" s="53"/>
      <c r="CC90" s="53"/>
      <c r="CD90" s="53"/>
      <c r="CE90" s="53"/>
      <c r="CF90" s="35"/>
      <c r="CH90" s="35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4"/>
    </row>
    <row r="91" spans="1:98" s="55" customFormat="1" ht="12.75" customHeight="1" x14ac:dyDescent="0.2">
      <c r="A91" s="35" t="s">
        <v>489</v>
      </c>
      <c r="B91" s="51"/>
      <c r="C91" s="35" t="s">
        <v>57</v>
      </c>
      <c r="D91" s="44"/>
      <c r="E91" s="53">
        <f t="shared" si="43"/>
        <v>2648575</v>
      </c>
      <c r="F91" s="53"/>
      <c r="G91" s="53">
        <v>10268416</v>
      </c>
      <c r="H91" s="53"/>
      <c r="I91" s="53">
        <v>12916991</v>
      </c>
      <c r="J91" s="53"/>
      <c r="K91" s="53">
        <f t="shared" si="44"/>
        <v>627991</v>
      </c>
      <c r="L91" s="53"/>
      <c r="M91" s="53">
        <v>5272060</v>
      </c>
      <c r="N91" s="53"/>
      <c r="O91" s="53">
        <v>5900051</v>
      </c>
      <c r="P91" s="53"/>
      <c r="Q91" s="53">
        <v>4742896</v>
      </c>
      <c r="R91" s="53"/>
      <c r="S91" s="53">
        <v>0</v>
      </c>
      <c r="T91" s="53"/>
      <c r="U91" s="53">
        <v>2274044</v>
      </c>
      <c r="V91" s="53"/>
      <c r="W91" s="53">
        <f>SUM(Q91:U91)</f>
        <v>7016940</v>
      </c>
      <c r="X91" s="53"/>
      <c r="Y91" s="35" t="s">
        <v>490</v>
      </c>
      <c r="AA91" s="35" t="s">
        <v>57</v>
      </c>
      <c r="AB91" s="35"/>
      <c r="AC91" s="53">
        <v>2041491</v>
      </c>
      <c r="AD91" s="53"/>
      <c r="AE91" s="53">
        <f>1747472-517438</f>
        <v>1230034</v>
      </c>
      <c r="AF91" s="53"/>
      <c r="AG91" s="53">
        <v>517438</v>
      </c>
      <c r="AH91" s="53"/>
      <c r="AI91" s="45">
        <f t="shared" si="45"/>
        <v>294019</v>
      </c>
      <c r="AJ91" s="45"/>
      <c r="AK91" s="53">
        <v>-157408</v>
      </c>
      <c r="AL91" s="45"/>
      <c r="AM91" s="53">
        <v>44519</v>
      </c>
      <c r="AN91" s="53"/>
      <c r="AO91" s="53">
        <v>44531</v>
      </c>
      <c r="AP91" s="53"/>
      <c r="AQ91" s="53">
        <v>0</v>
      </c>
      <c r="AR91" s="53"/>
      <c r="AS91" s="45">
        <f t="shared" si="36"/>
        <v>136599</v>
      </c>
      <c r="AT91" s="45"/>
      <c r="AU91" s="53">
        <v>0</v>
      </c>
      <c r="AV91" s="53"/>
      <c r="AW91" s="53">
        <v>0</v>
      </c>
      <c r="AX91" s="53"/>
      <c r="AY91" s="53">
        <f>+E91-K91</f>
        <v>2020584</v>
      </c>
      <c r="AZ91" s="53"/>
      <c r="BA91" s="35" t="s">
        <v>489</v>
      </c>
      <c r="BC91" s="35" t="s">
        <v>57</v>
      </c>
      <c r="BD91" s="53"/>
      <c r="BE91" s="53">
        <v>0</v>
      </c>
      <c r="BF91" s="53"/>
      <c r="BG91" s="53">
        <v>0</v>
      </c>
      <c r="BH91" s="53"/>
      <c r="BI91" s="53">
        <f>40361+5042362+26907+188043</f>
        <v>5297673</v>
      </c>
      <c r="BJ91" s="53"/>
      <c r="BK91" s="53">
        <f>119187+23559+70150</f>
        <v>212896</v>
      </c>
      <c r="BL91" s="53"/>
      <c r="BM91" s="53">
        <f>SUM(BE91:BK91)</f>
        <v>5510569</v>
      </c>
      <c r="BN91" s="54" t="s">
        <v>347</v>
      </c>
      <c r="BR91" s="51"/>
      <c r="BS91" s="53"/>
      <c r="BT91" s="53"/>
      <c r="BU91" s="53"/>
      <c r="BV91" s="53"/>
      <c r="BW91" s="53"/>
      <c r="BX91" s="45"/>
      <c r="BY91" s="45"/>
      <c r="BZ91" s="53"/>
      <c r="CA91" s="53"/>
      <c r="CB91" s="53"/>
      <c r="CC91" s="53"/>
      <c r="CD91" s="53"/>
      <c r="CE91" s="53"/>
      <c r="CF91" s="35"/>
      <c r="CH91" s="35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4"/>
    </row>
    <row r="92" spans="1:98" s="140" customFormat="1" ht="12.75" hidden="1" customHeight="1" x14ac:dyDescent="0.2">
      <c r="A92" s="126" t="s">
        <v>114</v>
      </c>
      <c r="B92" s="124"/>
      <c r="C92" s="126" t="s">
        <v>27</v>
      </c>
      <c r="D92" s="121"/>
      <c r="E92" s="53">
        <f t="shared" ref="E92:E158" si="46">I92-G92</f>
        <v>0</v>
      </c>
      <c r="F92" s="53"/>
      <c r="G92" s="53"/>
      <c r="H92" s="53"/>
      <c r="I92" s="53"/>
      <c r="J92" s="53"/>
      <c r="K92" s="53">
        <f t="shared" si="44"/>
        <v>0</v>
      </c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137"/>
      <c r="W92" s="137">
        <f t="shared" si="40"/>
        <v>0</v>
      </c>
      <c r="X92" s="137"/>
      <c r="Y92" s="126" t="s">
        <v>114</v>
      </c>
      <c r="AA92" s="126" t="s">
        <v>27</v>
      </c>
      <c r="AB92" s="126"/>
      <c r="AC92" s="53"/>
      <c r="AD92" s="53"/>
      <c r="AE92" s="53"/>
      <c r="AF92" s="53"/>
      <c r="AG92" s="53"/>
      <c r="AH92" s="53"/>
      <c r="AI92" s="45">
        <f t="shared" si="45"/>
        <v>0</v>
      </c>
      <c r="AJ92" s="45"/>
      <c r="AK92" s="53"/>
      <c r="AL92" s="45"/>
      <c r="AM92" s="53"/>
      <c r="AN92" s="53"/>
      <c r="AO92" s="53"/>
      <c r="AP92" s="53"/>
      <c r="AQ92" s="53"/>
      <c r="AR92" s="137"/>
      <c r="AS92" s="45">
        <f t="shared" si="36"/>
        <v>0</v>
      </c>
      <c r="AT92" s="127"/>
      <c r="AU92" s="137">
        <v>0</v>
      </c>
      <c r="AV92" s="137"/>
      <c r="AW92" s="137">
        <v>0</v>
      </c>
      <c r="AX92" s="137"/>
      <c r="AY92" s="137">
        <f t="shared" si="41"/>
        <v>0</v>
      </c>
      <c r="AZ92" s="137"/>
      <c r="BA92" s="126" t="s">
        <v>114</v>
      </c>
      <c r="BC92" s="126" t="s">
        <v>27</v>
      </c>
      <c r="BD92" s="137"/>
      <c r="BE92" s="53"/>
      <c r="BF92" s="53"/>
      <c r="BG92" s="53"/>
      <c r="BH92" s="53"/>
      <c r="BI92" s="53"/>
      <c r="BJ92" s="53"/>
      <c r="BK92" s="53"/>
      <c r="BL92" s="137"/>
      <c r="BM92" s="137">
        <f t="shared" si="42"/>
        <v>0</v>
      </c>
      <c r="BN92" s="139" t="s">
        <v>347</v>
      </c>
      <c r="BR92" s="124"/>
      <c r="BS92" s="137"/>
      <c r="BT92" s="137"/>
      <c r="BU92" s="137"/>
      <c r="BV92" s="137"/>
      <c r="BW92" s="137"/>
      <c r="BX92" s="127"/>
      <c r="BY92" s="127"/>
      <c r="BZ92" s="137"/>
      <c r="CA92" s="137"/>
      <c r="CB92" s="137"/>
      <c r="CC92" s="137"/>
      <c r="CD92" s="137"/>
      <c r="CE92" s="137"/>
      <c r="CF92" s="126"/>
      <c r="CH92" s="126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9"/>
    </row>
    <row r="93" spans="1:98" s="55" customFormat="1" ht="12.75" customHeight="1" x14ac:dyDescent="0.2">
      <c r="A93" s="35" t="s">
        <v>115</v>
      </c>
      <c r="C93" s="35" t="s">
        <v>19</v>
      </c>
      <c r="D93" s="44"/>
      <c r="E93" s="53">
        <f t="shared" si="46"/>
        <v>1208430</v>
      </c>
      <c r="F93" s="53"/>
      <c r="G93" s="53">
        <v>6394945</v>
      </c>
      <c r="H93" s="53"/>
      <c r="I93" s="53">
        <v>7603375</v>
      </c>
      <c r="J93" s="53"/>
      <c r="K93" s="53">
        <f t="shared" si="44"/>
        <v>629341</v>
      </c>
      <c r="L93" s="53"/>
      <c r="M93" s="53">
        <v>3179206</v>
      </c>
      <c r="N93" s="53"/>
      <c r="O93" s="53">
        <v>3808547</v>
      </c>
      <c r="P93" s="53"/>
      <c r="Q93" s="53">
        <v>2721090</v>
      </c>
      <c r="R93" s="53"/>
      <c r="S93" s="53">
        <v>0</v>
      </c>
      <c r="T93" s="53"/>
      <c r="U93" s="53">
        <v>1073738</v>
      </c>
      <c r="V93" s="53"/>
      <c r="W93" s="53">
        <f t="shared" si="40"/>
        <v>3794828</v>
      </c>
      <c r="X93" s="53"/>
      <c r="Y93" s="35" t="s">
        <v>115</v>
      </c>
      <c r="AA93" s="35" t="s">
        <v>19</v>
      </c>
      <c r="AB93" s="35"/>
      <c r="AC93" s="53">
        <v>1259747</v>
      </c>
      <c r="AD93" s="53"/>
      <c r="AE93" s="53">
        <f>1294107-230052</f>
        <v>1064055</v>
      </c>
      <c r="AF93" s="53"/>
      <c r="AG93" s="53">
        <v>230052</v>
      </c>
      <c r="AH93" s="53"/>
      <c r="AI93" s="45">
        <f t="shared" si="45"/>
        <v>-34360</v>
      </c>
      <c r="AJ93" s="45"/>
      <c r="AK93" s="53">
        <v>-144072</v>
      </c>
      <c r="AL93" s="45"/>
      <c r="AM93" s="53">
        <v>96477</v>
      </c>
      <c r="AN93" s="53"/>
      <c r="AO93" s="53">
        <v>40000</v>
      </c>
      <c r="AP93" s="53"/>
      <c r="AQ93" s="53">
        <v>153709</v>
      </c>
      <c r="AR93" s="53"/>
      <c r="AS93" s="45">
        <f t="shared" ref="AS93:AS160" si="47">+AI93+AK93+AM93-AO93+AQ93</f>
        <v>31754</v>
      </c>
      <c r="AT93" s="45"/>
      <c r="AU93" s="53">
        <v>0</v>
      </c>
      <c r="AV93" s="53"/>
      <c r="AW93" s="53">
        <v>0</v>
      </c>
      <c r="AX93" s="53"/>
      <c r="AY93" s="53">
        <f t="shared" si="41"/>
        <v>579089</v>
      </c>
      <c r="AZ93" s="53"/>
      <c r="BA93" s="35" t="s">
        <v>115</v>
      </c>
      <c r="BC93" s="35" t="s">
        <v>19</v>
      </c>
      <c r="BD93" s="53"/>
      <c r="BE93" s="53">
        <v>0</v>
      </c>
      <c r="BF93" s="53"/>
      <c r="BG93" s="53">
        <v>0</v>
      </c>
      <c r="BH93" s="53"/>
      <c r="BI93" s="53">
        <f>4254+17833+461669+76501+271243+2796190</f>
        <v>3627690</v>
      </c>
      <c r="BJ93" s="53"/>
      <c r="BK93" s="53">
        <f>22704+8955+23802+11470</f>
        <v>66931</v>
      </c>
      <c r="BL93" s="53"/>
      <c r="BM93" s="53">
        <f t="shared" si="42"/>
        <v>3694621</v>
      </c>
      <c r="BN93" s="54" t="s">
        <v>347</v>
      </c>
      <c r="BR93" s="51"/>
      <c r="BS93" s="53"/>
      <c r="BT93" s="53"/>
      <c r="BU93" s="53"/>
      <c r="BV93" s="53"/>
      <c r="BW93" s="53"/>
      <c r="BX93" s="45"/>
      <c r="BY93" s="45"/>
      <c r="BZ93" s="53"/>
      <c r="CA93" s="53"/>
      <c r="CB93" s="53"/>
      <c r="CC93" s="53"/>
      <c r="CD93" s="53"/>
      <c r="CE93" s="53"/>
      <c r="CF93" s="35"/>
      <c r="CH93" s="35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4"/>
    </row>
    <row r="94" spans="1:98" s="55" customFormat="1" ht="12.75" customHeight="1" x14ac:dyDescent="0.2">
      <c r="A94" s="35" t="s">
        <v>116</v>
      </c>
      <c r="B94" s="51"/>
      <c r="C94" s="35" t="s">
        <v>80</v>
      </c>
      <c r="D94" s="44"/>
      <c r="E94" s="53">
        <f t="shared" si="46"/>
        <v>786538</v>
      </c>
      <c r="F94" s="53"/>
      <c r="G94" s="53">
        <v>7273111</v>
      </c>
      <c r="H94" s="53"/>
      <c r="I94" s="53">
        <v>8059649</v>
      </c>
      <c r="J94" s="53"/>
      <c r="K94" s="53">
        <f t="shared" si="44"/>
        <v>121881</v>
      </c>
      <c r="L94" s="53"/>
      <c r="M94" s="53">
        <v>274471</v>
      </c>
      <c r="N94" s="53"/>
      <c r="O94" s="53">
        <v>396352</v>
      </c>
      <c r="P94" s="53"/>
      <c r="Q94" s="53">
        <v>7062639</v>
      </c>
      <c r="R94" s="53"/>
      <c r="S94" s="53">
        <v>0</v>
      </c>
      <c r="T94" s="53"/>
      <c r="U94" s="53">
        <v>600658</v>
      </c>
      <c r="V94" s="53"/>
      <c r="W94" s="53">
        <f t="shared" si="40"/>
        <v>7663297</v>
      </c>
      <c r="X94" s="53"/>
      <c r="Y94" s="35" t="s">
        <v>116</v>
      </c>
      <c r="AA94" s="35" t="s">
        <v>80</v>
      </c>
      <c r="AB94" s="35"/>
      <c r="AC94" s="53">
        <v>1814366</v>
      </c>
      <c r="AD94" s="53"/>
      <c r="AE94" s="53">
        <f>1824791-161032</f>
        <v>1663759</v>
      </c>
      <c r="AF94" s="53"/>
      <c r="AG94" s="53">
        <v>161032</v>
      </c>
      <c r="AH94" s="53"/>
      <c r="AI94" s="45">
        <f t="shared" si="45"/>
        <v>-10425</v>
      </c>
      <c r="AJ94" s="45"/>
      <c r="AK94" s="53">
        <v>-69065</v>
      </c>
      <c r="AL94" s="45"/>
      <c r="AM94" s="53">
        <v>0</v>
      </c>
      <c r="AN94" s="53"/>
      <c r="AO94" s="53">
        <v>0</v>
      </c>
      <c r="AP94" s="53"/>
      <c r="AQ94" s="53">
        <v>0</v>
      </c>
      <c r="AR94" s="53"/>
      <c r="AS94" s="45">
        <f t="shared" si="47"/>
        <v>-79490</v>
      </c>
      <c r="AT94" s="45"/>
      <c r="AU94" s="53">
        <v>0</v>
      </c>
      <c r="AV94" s="53"/>
      <c r="AW94" s="53">
        <v>0</v>
      </c>
      <c r="AX94" s="53"/>
      <c r="AY94" s="53">
        <f t="shared" si="41"/>
        <v>664657</v>
      </c>
      <c r="AZ94" s="53"/>
      <c r="BA94" s="35" t="s">
        <v>116</v>
      </c>
      <c r="BC94" s="35" t="s">
        <v>80</v>
      </c>
      <c r="BD94" s="53"/>
      <c r="BE94" s="53">
        <v>0</v>
      </c>
      <c r="BF94" s="53"/>
      <c r="BG94" s="53">
        <v>0</v>
      </c>
      <c r="BH94" s="53"/>
      <c r="BI94" s="53">
        <f>33631+176841</f>
        <v>210472</v>
      </c>
      <c r="BJ94" s="53"/>
      <c r="BK94" s="53">
        <f>21444+97630</f>
        <v>119074</v>
      </c>
      <c r="BL94" s="53"/>
      <c r="BM94" s="53">
        <f t="shared" si="42"/>
        <v>329546</v>
      </c>
      <c r="BN94" s="54" t="s">
        <v>347</v>
      </c>
      <c r="BR94" s="51"/>
      <c r="BS94" s="53"/>
      <c r="BT94" s="53"/>
      <c r="BU94" s="53"/>
      <c r="BV94" s="53"/>
      <c r="BW94" s="53"/>
      <c r="BX94" s="45"/>
      <c r="BY94" s="45"/>
      <c r="BZ94" s="53"/>
      <c r="CA94" s="53"/>
      <c r="CB94" s="53"/>
      <c r="CC94" s="53"/>
      <c r="CD94" s="53"/>
      <c r="CE94" s="53"/>
      <c r="CF94" s="35"/>
      <c r="CH94" s="35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4"/>
    </row>
    <row r="95" spans="1:98" s="140" customFormat="1" ht="12.75" hidden="1" customHeight="1" x14ac:dyDescent="0.2">
      <c r="A95" s="121" t="s">
        <v>117</v>
      </c>
      <c r="B95" s="124"/>
      <c r="C95" s="126" t="s">
        <v>43</v>
      </c>
      <c r="D95" s="121"/>
      <c r="E95" s="53">
        <f t="shared" si="46"/>
        <v>0</v>
      </c>
      <c r="F95" s="53"/>
      <c r="G95" s="53"/>
      <c r="H95" s="53"/>
      <c r="I95" s="53"/>
      <c r="J95" s="53"/>
      <c r="K95" s="53">
        <f t="shared" si="44"/>
        <v>0</v>
      </c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>
        <f t="shared" si="40"/>
        <v>0</v>
      </c>
      <c r="X95" s="137"/>
      <c r="Y95" s="121" t="s">
        <v>117</v>
      </c>
      <c r="AA95" s="126" t="s">
        <v>43</v>
      </c>
      <c r="AB95" s="126"/>
      <c r="AC95" s="53"/>
      <c r="AD95" s="53"/>
      <c r="AE95" s="53"/>
      <c r="AF95" s="53"/>
      <c r="AG95" s="53"/>
      <c r="AH95" s="53"/>
      <c r="AI95" s="45">
        <f t="shared" si="45"/>
        <v>0</v>
      </c>
      <c r="AJ95" s="45"/>
      <c r="AK95" s="53"/>
      <c r="AL95" s="45"/>
      <c r="AM95" s="53"/>
      <c r="AN95" s="53"/>
      <c r="AO95" s="53"/>
      <c r="AP95" s="53"/>
      <c r="AQ95" s="53"/>
      <c r="AR95" s="53"/>
      <c r="AS95" s="45">
        <f t="shared" si="47"/>
        <v>0</v>
      </c>
      <c r="AT95" s="45"/>
      <c r="AU95" s="53">
        <v>0</v>
      </c>
      <c r="AV95" s="53"/>
      <c r="AW95" s="53">
        <v>0</v>
      </c>
      <c r="AX95" s="53"/>
      <c r="AY95" s="53">
        <f t="shared" si="41"/>
        <v>0</v>
      </c>
      <c r="AZ95" s="53"/>
      <c r="BA95" s="121" t="s">
        <v>117</v>
      </c>
      <c r="BC95" s="126" t="s">
        <v>43</v>
      </c>
      <c r="BD95" s="137"/>
      <c r="BE95" s="53"/>
      <c r="BF95" s="53"/>
      <c r="BG95" s="53"/>
      <c r="BH95" s="53"/>
      <c r="BI95" s="53"/>
      <c r="BJ95" s="53"/>
      <c r="BK95" s="53"/>
      <c r="BL95" s="137"/>
      <c r="BM95" s="137">
        <f t="shared" si="42"/>
        <v>0</v>
      </c>
      <c r="BN95" s="139" t="s">
        <v>347</v>
      </c>
      <c r="BR95" s="124"/>
      <c r="BS95" s="137"/>
      <c r="BT95" s="137"/>
      <c r="BU95" s="137"/>
      <c r="BV95" s="137"/>
      <c r="BW95" s="137"/>
      <c r="BX95" s="127"/>
      <c r="BY95" s="127"/>
      <c r="BZ95" s="137"/>
      <c r="CA95" s="137"/>
      <c r="CB95" s="137"/>
      <c r="CC95" s="137"/>
      <c r="CD95" s="137"/>
      <c r="CE95" s="137"/>
      <c r="CF95" s="126"/>
      <c r="CH95" s="126"/>
      <c r="CI95" s="137"/>
      <c r="CJ95" s="137"/>
      <c r="CK95" s="137"/>
      <c r="CL95" s="137"/>
      <c r="CM95" s="137"/>
      <c r="CN95" s="137"/>
      <c r="CO95" s="137"/>
      <c r="CP95" s="137"/>
      <c r="CQ95" s="137"/>
      <c r="CR95" s="137"/>
      <c r="CS95" s="139"/>
    </row>
    <row r="96" spans="1:98" s="140" customFormat="1" ht="12.75" hidden="1" customHeight="1" x14ac:dyDescent="0.2">
      <c r="A96" s="126" t="s">
        <v>118</v>
      </c>
      <c r="B96" s="124"/>
      <c r="C96" s="126" t="s">
        <v>13</v>
      </c>
      <c r="D96" s="121"/>
      <c r="E96" s="53">
        <f t="shared" si="46"/>
        <v>0</v>
      </c>
      <c r="F96" s="53"/>
      <c r="G96" s="53"/>
      <c r="H96" s="53"/>
      <c r="I96" s="53"/>
      <c r="J96" s="53"/>
      <c r="K96" s="53">
        <f t="shared" si="44"/>
        <v>0</v>
      </c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>
        <f t="shared" si="40"/>
        <v>0</v>
      </c>
      <c r="X96" s="137"/>
      <c r="Y96" s="126" t="s">
        <v>118</v>
      </c>
      <c r="AA96" s="126" t="s">
        <v>13</v>
      </c>
      <c r="AB96" s="126"/>
      <c r="AC96" s="53"/>
      <c r="AD96" s="53"/>
      <c r="AE96" s="53"/>
      <c r="AF96" s="53"/>
      <c r="AG96" s="53"/>
      <c r="AH96" s="53"/>
      <c r="AI96" s="45">
        <f t="shared" si="45"/>
        <v>0</v>
      </c>
      <c r="AJ96" s="45"/>
      <c r="AK96" s="53"/>
      <c r="AL96" s="45"/>
      <c r="AM96" s="53"/>
      <c r="AN96" s="53"/>
      <c r="AO96" s="53"/>
      <c r="AP96" s="53"/>
      <c r="AQ96" s="53"/>
      <c r="AR96" s="53"/>
      <c r="AS96" s="45">
        <f t="shared" si="47"/>
        <v>0</v>
      </c>
      <c r="AT96" s="45"/>
      <c r="AU96" s="53">
        <v>0</v>
      </c>
      <c r="AV96" s="53"/>
      <c r="AW96" s="53">
        <v>0</v>
      </c>
      <c r="AX96" s="53"/>
      <c r="AY96" s="53">
        <f t="shared" si="41"/>
        <v>0</v>
      </c>
      <c r="AZ96" s="53"/>
      <c r="BA96" s="126" t="s">
        <v>118</v>
      </c>
      <c r="BC96" s="126" t="s">
        <v>13</v>
      </c>
      <c r="BD96" s="137"/>
      <c r="BE96" s="53"/>
      <c r="BF96" s="53"/>
      <c r="BG96" s="53"/>
      <c r="BH96" s="53"/>
      <c r="BI96" s="53"/>
      <c r="BJ96" s="53"/>
      <c r="BK96" s="53"/>
      <c r="BL96" s="137"/>
      <c r="BM96" s="137">
        <f t="shared" si="42"/>
        <v>0</v>
      </c>
      <c r="BN96" s="139" t="s">
        <v>347</v>
      </c>
      <c r="BO96" s="126"/>
      <c r="BR96" s="124"/>
      <c r="BS96" s="137"/>
      <c r="BT96" s="137"/>
      <c r="BU96" s="137"/>
      <c r="BV96" s="137"/>
      <c r="BW96" s="127"/>
      <c r="BX96" s="127"/>
      <c r="BY96" s="137"/>
      <c r="BZ96" s="137"/>
      <c r="CA96" s="137"/>
      <c r="CB96" s="137"/>
      <c r="CC96" s="137"/>
      <c r="CD96" s="137"/>
      <c r="CE96" s="137"/>
      <c r="CF96" s="121"/>
      <c r="CH96" s="126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9"/>
      <c r="CT96" s="126"/>
    </row>
    <row r="97" spans="1:97" s="55" customFormat="1" ht="12.75" customHeight="1" x14ac:dyDescent="0.2">
      <c r="A97" s="35" t="s">
        <v>120</v>
      </c>
      <c r="B97" s="51"/>
      <c r="C97" s="35" t="s">
        <v>121</v>
      </c>
      <c r="D97" s="44"/>
      <c r="E97" s="53">
        <f t="shared" si="46"/>
        <v>8267690</v>
      </c>
      <c r="F97" s="53"/>
      <c r="G97" s="53">
        <v>5172700</v>
      </c>
      <c r="H97" s="53"/>
      <c r="I97" s="53">
        <v>13440390</v>
      </c>
      <c r="J97" s="53"/>
      <c r="K97" s="53">
        <f t="shared" si="44"/>
        <v>753292</v>
      </c>
      <c r="L97" s="53"/>
      <c r="M97" s="53">
        <v>1181673</v>
      </c>
      <c r="N97" s="53"/>
      <c r="O97" s="53">
        <v>1934965</v>
      </c>
      <c r="P97" s="53"/>
      <c r="Q97" s="53">
        <v>3827700</v>
      </c>
      <c r="R97" s="53"/>
      <c r="S97" s="53">
        <v>318021</v>
      </c>
      <c r="T97" s="53"/>
      <c r="U97" s="53">
        <v>7359704</v>
      </c>
      <c r="V97" s="53"/>
      <c r="W97" s="53">
        <f t="shared" si="40"/>
        <v>11505425</v>
      </c>
      <c r="X97" s="53"/>
      <c r="Y97" s="35" t="s">
        <v>120</v>
      </c>
      <c r="AA97" s="35" t="s">
        <v>121</v>
      </c>
      <c r="AB97" s="35"/>
      <c r="AC97" s="53">
        <v>1867585</v>
      </c>
      <c r="AD97" s="53"/>
      <c r="AE97" s="53">
        <f>1476850-269064</f>
        <v>1207786</v>
      </c>
      <c r="AF97" s="53"/>
      <c r="AG97" s="53">
        <v>269064</v>
      </c>
      <c r="AH97" s="53"/>
      <c r="AI97" s="45">
        <f t="shared" si="45"/>
        <v>390735</v>
      </c>
      <c r="AJ97" s="45"/>
      <c r="AK97" s="53">
        <v>-66808</v>
      </c>
      <c r="AL97" s="45"/>
      <c r="AM97" s="53">
        <v>0</v>
      </c>
      <c r="AN97" s="53"/>
      <c r="AO97" s="53">
        <v>0</v>
      </c>
      <c r="AP97" s="53"/>
      <c r="AQ97" s="53">
        <v>44642</v>
      </c>
      <c r="AR97" s="53"/>
      <c r="AS97" s="45">
        <f t="shared" si="47"/>
        <v>368569</v>
      </c>
      <c r="AT97" s="45"/>
      <c r="AU97" s="53">
        <v>0</v>
      </c>
      <c r="AV97" s="53"/>
      <c r="AW97" s="53">
        <v>0</v>
      </c>
      <c r="AX97" s="53"/>
      <c r="AY97" s="53">
        <f t="shared" si="41"/>
        <v>7514398</v>
      </c>
      <c r="AZ97" s="53"/>
      <c r="BA97" s="35" t="s">
        <v>120</v>
      </c>
      <c r="BC97" s="35" t="s">
        <v>121</v>
      </c>
      <c r="BD97" s="53"/>
      <c r="BE97" s="53">
        <v>0</v>
      </c>
      <c r="BF97" s="53"/>
      <c r="BG97" s="53">
        <f>1145000+200000</f>
        <v>1345000</v>
      </c>
      <c r="BH97" s="53"/>
      <c r="BI97" s="53">
        <v>0</v>
      </c>
      <c r="BJ97" s="53"/>
      <c r="BK97" s="53">
        <f>36673+3255</f>
        <v>39928</v>
      </c>
      <c r="BL97" s="53"/>
      <c r="BM97" s="53">
        <f t="shared" si="42"/>
        <v>1384928</v>
      </c>
      <c r="BN97" s="54" t="s">
        <v>347</v>
      </c>
      <c r="BO97" s="55" t="s">
        <v>404</v>
      </c>
      <c r="BR97" s="65"/>
      <c r="BS97" s="53"/>
      <c r="BT97" s="53"/>
      <c r="BU97" s="53"/>
      <c r="BV97" s="53"/>
      <c r="BW97" s="53"/>
      <c r="BX97" s="45"/>
      <c r="BY97" s="45"/>
      <c r="BZ97" s="53"/>
      <c r="CA97" s="53"/>
      <c r="CB97" s="53"/>
      <c r="CC97" s="53"/>
      <c r="CD97" s="53"/>
      <c r="CE97" s="53"/>
      <c r="CF97" s="35"/>
      <c r="CH97" s="35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4"/>
    </row>
    <row r="98" spans="1:97" s="55" customFormat="1" ht="12.75" customHeight="1" x14ac:dyDescent="0.2">
      <c r="A98" s="35" t="s">
        <v>122</v>
      </c>
      <c r="C98" s="35" t="s">
        <v>43</v>
      </c>
      <c r="D98" s="44"/>
      <c r="E98" s="53">
        <f t="shared" si="46"/>
        <v>1806171</v>
      </c>
      <c r="F98" s="53"/>
      <c r="G98" s="53">
        <v>27648528</v>
      </c>
      <c r="H98" s="53"/>
      <c r="I98" s="53">
        <v>29454699</v>
      </c>
      <c r="J98" s="53"/>
      <c r="K98" s="53">
        <f t="shared" si="44"/>
        <v>132666</v>
      </c>
      <c r="L98" s="53"/>
      <c r="M98" s="53">
        <v>520761</v>
      </c>
      <c r="N98" s="53"/>
      <c r="O98" s="53">
        <v>653427</v>
      </c>
      <c r="P98" s="53"/>
      <c r="Q98" s="53">
        <v>27087440</v>
      </c>
      <c r="R98" s="53"/>
      <c r="S98" s="53">
        <v>0</v>
      </c>
      <c r="T98" s="53"/>
      <c r="U98" s="53">
        <v>1713832</v>
      </c>
      <c r="V98" s="53"/>
      <c r="W98" s="53">
        <f t="shared" si="40"/>
        <v>28801272</v>
      </c>
      <c r="X98" s="53"/>
      <c r="Y98" s="35" t="s">
        <v>122</v>
      </c>
      <c r="AA98" s="35" t="s">
        <v>43</v>
      </c>
      <c r="AB98" s="35"/>
      <c r="AC98" s="53">
        <v>775894</v>
      </c>
      <c r="AD98" s="53"/>
      <c r="AE98" s="53">
        <f>1433447-763184</f>
        <v>670263</v>
      </c>
      <c r="AF98" s="53"/>
      <c r="AG98" s="53">
        <v>763184</v>
      </c>
      <c r="AH98" s="53"/>
      <c r="AI98" s="45">
        <f t="shared" si="45"/>
        <v>-657553</v>
      </c>
      <c r="AJ98" s="45"/>
      <c r="AK98" s="53">
        <v>-19226</v>
      </c>
      <c r="AL98" s="45"/>
      <c r="AM98" s="53">
        <v>0</v>
      </c>
      <c r="AN98" s="53"/>
      <c r="AO98" s="53">
        <v>0</v>
      </c>
      <c r="AP98" s="53"/>
      <c r="AQ98" s="53">
        <v>954442</v>
      </c>
      <c r="AR98" s="53"/>
      <c r="AS98" s="45">
        <f t="shared" si="47"/>
        <v>277663</v>
      </c>
      <c r="AT98" s="45"/>
      <c r="AU98" s="53">
        <v>0</v>
      </c>
      <c r="AV98" s="53"/>
      <c r="AW98" s="53">
        <v>0</v>
      </c>
      <c r="AX98" s="53"/>
      <c r="AY98" s="53">
        <f t="shared" si="41"/>
        <v>1673505</v>
      </c>
      <c r="AZ98" s="53"/>
      <c r="BA98" s="35" t="s">
        <v>122</v>
      </c>
      <c r="BC98" s="35" t="s">
        <v>43</v>
      </c>
      <c r="BD98" s="53"/>
      <c r="BE98" s="53">
        <v>0</v>
      </c>
      <c r="BF98" s="53"/>
      <c r="BG98" s="53">
        <v>0</v>
      </c>
      <c r="BH98" s="53"/>
      <c r="BI98" s="53">
        <f>493017+68071</f>
        <v>561088</v>
      </c>
      <c r="BJ98" s="53"/>
      <c r="BK98" s="53">
        <f>27744+16964</f>
        <v>44708</v>
      </c>
      <c r="BL98" s="53"/>
      <c r="BM98" s="53">
        <f t="shared" si="42"/>
        <v>605796</v>
      </c>
      <c r="BN98" s="54" t="s">
        <v>347</v>
      </c>
      <c r="BR98" s="51"/>
      <c r="BS98" s="53"/>
      <c r="BT98" s="53"/>
      <c r="BU98" s="53"/>
      <c r="BV98" s="53"/>
      <c r="BW98" s="53"/>
      <c r="BX98" s="45"/>
      <c r="BY98" s="45"/>
      <c r="BZ98" s="53"/>
      <c r="CA98" s="53"/>
      <c r="CB98" s="53"/>
      <c r="CC98" s="53"/>
      <c r="CD98" s="53"/>
      <c r="CE98" s="53"/>
      <c r="CF98" s="35"/>
      <c r="CH98" s="35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4"/>
    </row>
    <row r="99" spans="1:97" s="55" customFormat="1" ht="12.75" customHeight="1" x14ac:dyDescent="0.2">
      <c r="A99" s="35" t="s">
        <v>507</v>
      </c>
      <c r="B99" s="51"/>
      <c r="C99" s="35" t="s">
        <v>43</v>
      </c>
      <c r="D99" s="44"/>
      <c r="E99" s="53">
        <f t="shared" si="46"/>
        <v>1151267</v>
      </c>
      <c r="F99" s="53"/>
      <c r="G99" s="53">
        <v>7392168</v>
      </c>
      <c r="H99" s="53"/>
      <c r="I99" s="53">
        <v>8543435</v>
      </c>
      <c r="J99" s="53"/>
      <c r="K99" s="53">
        <f t="shared" si="44"/>
        <v>79553</v>
      </c>
      <c r="L99" s="53"/>
      <c r="M99" s="53">
        <v>0</v>
      </c>
      <c r="N99" s="53"/>
      <c r="O99" s="53">
        <v>79553</v>
      </c>
      <c r="P99" s="53"/>
      <c r="Q99" s="53">
        <v>7392168</v>
      </c>
      <c r="R99" s="53"/>
      <c r="S99" s="53">
        <v>0</v>
      </c>
      <c r="T99" s="53"/>
      <c r="U99" s="53">
        <v>1071714</v>
      </c>
      <c r="V99" s="53"/>
      <c r="W99" s="53">
        <f t="shared" si="40"/>
        <v>8463882</v>
      </c>
      <c r="X99" s="53"/>
      <c r="Y99" s="35" t="s">
        <v>507</v>
      </c>
      <c r="Z99" s="51"/>
      <c r="AA99" s="35" t="s">
        <v>43</v>
      </c>
      <c r="AB99" s="35"/>
      <c r="AC99" s="53">
        <v>667006</v>
      </c>
      <c r="AD99" s="53"/>
      <c r="AE99" s="53">
        <f>1421632-227371</f>
        <v>1194261</v>
      </c>
      <c r="AF99" s="53"/>
      <c r="AG99" s="53">
        <v>227371</v>
      </c>
      <c r="AH99" s="53"/>
      <c r="AI99" s="45">
        <f t="shared" si="45"/>
        <v>-754626</v>
      </c>
      <c r="AJ99" s="45"/>
      <c r="AK99" s="53">
        <v>0</v>
      </c>
      <c r="AL99" s="45"/>
      <c r="AM99" s="53">
        <v>38000</v>
      </c>
      <c r="AN99" s="53"/>
      <c r="AO99" s="53">
        <v>0</v>
      </c>
      <c r="AP99" s="53"/>
      <c r="AQ99" s="53">
        <v>0</v>
      </c>
      <c r="AR99" s="53"/>
      <c r="AS99" s="45">
        <f t="shared" si="47"/>
        <v>-716626</v>
      </c>
      <c r="AT99" s="45"/>
      <c r="AU99" s="53"/>
      <c r="AV99" s="53"/>
      <c r="AW99" s="53"/>
      <c r="AX99" s="53"/>
      <c r="AY99" s="53">
        <f t="shared" si="41"/>
        <v>1071714</v>
      </c>
      <c r="AZ99" s="53"/>
      <c r="BA99" s="35" t="s">
        <v>507</v>
      </c>
      <c r="BB99" s="51"/>
      <c r="BC99" s="35" t="s">
        <v>43</v>
      </c>
      <c r="BD99" s="53"/>
      <c r="BE99" s="53">
        <v>0</v>
      </c>
      <c r="BF99" s="53"/>
      <c r="BG99" s="53">
        <v>0</v>
      </c>
      <c r="BH99" s="53"/>
      <c r="BI99" s="53">
        <v>0</v>
      </c>
      <c r="BJ99" s="53"/>
      <c r="BK99" s="53">
        <v>0</v>
      </c>
      <c r="BL99" s="53"/>
      <c r="BM99" s="53">
        <f t="shared" si="42"/>
        <v>0</v>
      </c>
      <c r="BN99" s="54"/>
      <c r="BR99" s="51"/>
      <c r="BS99" s="53"/>
      <c r="BT99" s="53"/>
      <c r="BU99" s="53"/>
      <c r="BV99" s="53"/>
      <c r="BW99" s="53"/>
      <c r="BX99" s="45"/>
      <c r="BY99" s="45"/>
      <c r="BZ99" s="53"/>
      <c r="CA99" s="53"/>
      <c r="CB99" s="53"/>
      <c r="CC99" s="53"/>
      <c r="CD99" s="53"/>
      <c r="CE99" s="53"/>
      <c r="CF99" s="35"/>
      <c r="CH99" s="35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4"/>
    </row>
    <row r="100" spans="1:97" s="55" customFormat="1" ht="12.75" customHeight="1" x14ac:dyDescent="0.2">
      <c r="A100" s="44" t="s">
        <v>45</v>
      </c>
      <c r="B100" s="51"/>
      <c r="C100" s="35" t="s">
        <v>103</v>
      </c>
      <c r="D100" s="44"/>
      <c r="E100" s="53">
        <f t="shared" si="46"/>
        <v>48714000</v>
      </c>
      <c r="F100" s="53"/>
      <c r="G100" s="53">
        <v>43557704</v>
      </c>
      <c r="H100" s="53"/>
      <c r="I100" s="53">
        <v>92271704</v>
      </c>
      <c r="J100" s="53"/>
      <c r="K100" s="53">
        <f t="shared" si="44"/>
        <v>3892002</v>
      </c>
      <c r="L100" s="53"/>
      <c r="M100" s="53">
        <v>58517213</v>
      </c>
      <c r="N100" s="53"/>
      <c r="O100" s="53">
        <v>62409215</v>
      </c>
      <c r="P100" s="53"/>
      <c r="Q100" s="53">
        <v>15303201</v>
      </c>
      <c r="R100" s="53"/>
      <c r="S100" s="53">
        <f>4182327+2000000</f>
        <v>6182327</v>
      </c>
      <c r="T100" s="53"/>
      <c r="U100" s="53">
        <v>8376961</v>
      </c>
      <c r="V100" s="53"/>
      <c r="W100" s="53">
        <f t="shared" si="40"/>
        <v>29862489</v>
      </c>
      <c r="X100" s="53"/>
      <c r="Y100" s="44" t="s">
        <v>45</v>
      </c>
      <c r="Z100" s="53"/>
      <c r="AA100" s="35" t="s">
        <v>103</v>
      </c>
      <c r="AB100" s="51"/>
      <c r="AC100" s="53">
        <v>12302310</v>
      </c>
      <c r="AD100" s="53"/>
      <c r="AE100" s="53">
        <f>9627673-2272079</f>
        <v>7355594</v>
      </c>
      <c r="AF100" s="53"/>
      <c r="AG100" s="53">
        <v>2272079</v>
      </c>
      <c r="AH100" s="53"/>
      <c r="AI100" s="45">
        <f t="shared" si="45"/>
        <v>2674637</v>
      </c>
      <c r="AJ100" s="45"/>
      <c r="AK100" s="53">
        <v>-1747490</v>
      </c>
      <c r="AL100" s="45"/>
      <c r="AM100" s="53">
        <v>0</v>
      </c>
      <c r="AN100" s="53"/>
      <c r="AO100" s="53">
        <v>0</v>
      </c>
      <c r="AP100" s="53"/>
      <c r="AQ100" s="53">
        <v>0</v>
      </c>
      <c r="AR100" s="53"/>
      <c r="AS100" s="45">
        <f t="shared" si="47"/>
        <v>927147</v>
      </c>
      <c r="AT100" s="45"/>
      <c r="AU100" s="53">
        <v>0</v>
      </c>
      <c r="AV100" s="53"/>
      <c r="AW100" s="53">
        <v>0</v>
      </c>
      <c r="AX100" s="53"/>
      <c r="AY100" s="53">
        <f t="shared" si="41"/>
        <v>44821998</v>
      </c>
      <c r="AZ100" s="53"/>
      <c r="BA100" s="44" t="s">
        <v>45</v>
      </c>
      <c r="BC100" s="35" t="s">
        <v>103</v>
      </c>
      <c r="BD100" s="53"/>
      <c r="BE100" s="53">
        <v>0</v>
      </c>
      <c r="BF100" s="53"/>
      <c r="BG100" s="53">
        <f>57870579+1995000</f>
        <v>59865579</v>
      </c>
      <c r="BH100" s="53"/>
      <c r="BI100" s="53">
        <f>16136+400077</f>
        <v>416213</v>
      </c>
      <c r="BJ100" s="53"/>
      <c r="BK100" s="53">
        <f>246557+178992</f>
        <v>425549</v>
      </c>
      <c r="BL100" s="53"/>
      <c r="BM100" s="53">
        <f t="shared" si="42"/>
        <v>60707341</v>
      </c>
      <c r="BN100" s="54" t="s">
        <v>347</v>
      </c>
      <c r="BO100" s="55" t="s">
        <v>404</v>
      </c>
      <c r="BR100" s="51"/>
      <c r="BS100" s="53"/>
      <c r="BT100" s="53"/>
      <c r="BU100" s="53"/>
      <c r="BV100" s="53"/>
      <c r="BW100" s="53"/>
      <c r="BX100" s="45"/>
      <c r="BY100" s="45"/>
      <c r="BZ100" s="53"/>
      <c r="CA100" s="53"/>
      <c r="CB100" s="53"/>
      <c r="CC100" s="53"/>
      <c r="CD100" s="53"/>
      <c r="CE100" s="53"/>
      <c r="CF100" s="35"/>
      <c r="CH100" s="35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4"/>
    </row>
    <row r="101" spans="1:97" s="55" customFormat="1" ht="12.75" customHeight="1" x14ac:dyDescent="0.2">
      <c r="A101" s="44" t="s">
        <v>123</v>
      </c>
      <c r="B101" s="51"/>
      <c r="C101" s="35" t="s">
        <v>45</v>
      </c>
      <c r="D101" s="44"/>
      <c r="E101" s="53">
        <f t="shared" si="46"/>
        <v>3129026</v>
      </c>
      <c r="F101" s="53"/>
      <c r="G101" s="53">
        <v>21068975</v>
      </c>
      <c r="H101" s="53"/>
      <c r="I101" s="53">
        <v>24198001</v>
      </c>
      <c r="J101" s="53"/>
      <c r="K101" s="53">
        <f t="shared" si="44"/>
        <v>1200836</v>
      </c>
      <c r="L101" s="53"/>
      <c r="M101" s="53">
        <v>22583733</v>
      </c>
      <c r="N101" s="53"/>
      <c r="O101" s="53">
        <v>23784569</v>
      </c>
      <c r="P101" s="53"/>
      <c r="Q101" s="53">
        <v>-2994585</v>
      </c>
      <c r="R101" s="53"/>
      <c r="S101" s="53">
        <v>0</v>
      </c>
      <c r="T101" s="53"/>
      <c r="U101" s="53">
        <v>3408017</v>
      </c>
      <c r="V101" s="53"/>
      <c r="W101" s="53">
        <f t="shared" si="40"/>
        <v>413432</v>
      </c>
      <c r="X101" s="53"/>
      <c r="Y101" s="44" t="s">
        <v>123</v>
      </c>
      <c r="AA101" s="35" t="s">
        <v>45</v>
      </c>
      <c r="AB101" s="35"/>
      <c r="AC101" s="53">
        <v>3181006</v>
      </c>
      <c r="AD101" s="53"/>
      <c r="AE101" s="53">
        <f>1926361-721632</f>
        <v>1204729</v>
      </c>
      <c r="AF101" s="53"/>
      <c r="AG101" s="53">
        <v>721632</v>
      </c>
      <c r="AH101" s="53"/>
      <c r="AI101" s="45">
        <f t="shared" si="45"/>
        <v>1254645</v>
      </c>
      <c r="AJ101" s="45"/>
      <c r="AK101" s="53">
        <v>-1166955</v>
      </c>
      <c r="AL101" s="45"/>
      <c r="AM101" s="53">
        <v>0</v>
      </c>
      <c r="AN101" s="53"/>
      <c r="AO101" s="53">
        <v>35000</v>
      </c>
      <c r="AP101" s="53"/>
      <c r="AQ101" s="53">
        <v>0</v>
      </c>
      <c r="AR101" s="53"/>
      <c r="AS101" s="45">
        <f t="shared" si="47"/>
        <v>52690</v>
      </c>
      <c r="AT101" s="45"/>
      <c r="AU101" s="53">
        <v>0</v>
      </c>
      <c r="AV101" s="53"/>
      <c r="AW101" s="53">
        <v>0</v>
      </c>
      <c r="AX101" s="53"/>
      <c r="AY101" s="53">
        <f t="shared" si="41"/>
        <v>1928190</v>
      </c>
      <c r="AZ101" s="53"/>
      <c r="BA101" s="44" t="s">
        <v>123</v>
      </c>
      <c r="BC101" s="35" t="s">
        <v>45</v>
      </c>
      <c r="BD101" s="53"/>
      <c r="BE101" s="53">
        <f>5686792+165000</f>
        <v>5851792</v>
      </c>
      <c r="BF101" s="53"/>
      <c r="BG101" s="53">
        <f>15455290+590000</f>
        <v>16045290</v>
      </c>
      <c r="BH101" s="53"/>
      <c r="BI101" s="53">
        <f>92308+1384626</f>
        <v>1476934</v>
      </c>
      <c r="BJ101" s="53"/>
      <c r="BK101" s="53">
        <f>57025+5746</f>
        <v>62771</v>
      </c>
      <c r="BL101" s="53"/>
      <c r="BM101" s="53">
        <f t="shared" si="42"/>
        <v>23436787</v>
      </c>
      <c r="BN101" s="54" t="s">
        <v>347</v>
      </c>
      <c r="BR101" s="51"/>
      <c r="BS101" s="53"/>
      <c r="BT101" s="53"/>
      <c r="BU101" s="53"/>
      <c r="BV101" s="53"/>
      <c r="BW101" s="53"/>
      <c r="BX101" s="45"/>
      <c r="BY101" s="45"/>
      <c r="BZ101" s="53"/>
      <c r="CA101" s="53"/>
      <c r="CB101" s="53"/>
      <c r="CC101" s="53"/>
      <c r="CD101" s="53"/>
      <c r="CE101" s="53"/>
      <c r="CF101" s="35"/>
      <c r="CH101" s="35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4"/>
    </row>
    <row r="102" spans="1:97" s="90" customFormat="1" x14ac:dyDescent="0.2">
      <c r="A102" s="35" t="s">
        <v>124</v>
      </c>
      <c r="B102" s="51"/>
      <c r="C102" s="35" t="s">
        <v>125</v>
      </c>
      <c r="D102" s="44"/>
      <c r="E102" s="53">
        <f t="shared" si="46"/>
        <v>3519055</v>
      </c>
      <c r="F102" s="53"/>
      <c r="G102" s="53">
        <v>10757292</v>
      </c>
      <c r="H102" s="53"/>
      <c r="I102" s="53">
        <v>14276347</v>
      </c>
      <c r="J102" s="53"/>
      <c r="K102" s="53">
        <f t="shared" si="44"/>
        <v>200135</v>
      </c>
      <c r="L102" s="53"/>
      <c r="M102" s="53">
        <v>6111517</v>
      </c>
      <c r="N102" s="53"/>
      <c r="O102" s="53">
        <v>6311652</v>
      </c>
      <c r="P102" s="53"/>
      <c r="Q102" s="53">
        <v>4581899</v>
      </c>
      <c r="R102" s="53"/>
      <c r="S102" s="53">
        <v>0</v>
      </c>
      <c r="T102" s="53"/>
      <c r="U102" s="53">
        <v>3382796</v>
      </c>
      <c r="V102" s="53"/>
      <c r="W102" s="53">
        <f t="shared" si="40"/>
        <v>7964695</v>
      </c>
      <c r="X102" s="53"/>
      <c r="Y102" s="35" t="s">
        <v>124</v>
      </c>
      <c r="Z102" s="55"/>
      <c r="AA102" s="35" t="s">
        <v>125</v>
      </c>
      <c r="AB102" s="35"/>
      <c r="AC102" s="53">
        <v>2111192</v>
      </c>
      <c r="AD102" s="53"/>
      <c r="AE102" s="53">
        <f>1988372-408300</f>
        <v>1580072</v>
      </c>
      <c r="AF102" s="53"/>
      <c r="AG102" s="53">
        <v>408300</v>
      </c>
      <c r="AH102" s="53"/>
      <c r="AI102" s="45">
        <f t="shared" si="45"/>
        <v>122820</v>
      </c>
      <c r="AJ102" s="45"/>
      <c r="AK102" s="53">
        <v>-93553</v>
      </c>
      <c r="AL102" s="45"/>
      <c r="AM102" s="53">
        <v>0</v>
      </c>
      <c r="AN102" s="53"/>
      <c r="AO102" s="53">
        <v>0</v>
      </c>
      <c r="AP102" s="53"/>
      <c r="AQ102" s="53">
        <v>0</v>
      </c>
      <c r="AR102" s="53"/>
      <c r="AS102" s="45">
        <f t="shared" si="47"/>
        <v>29267</v>
      </c>
      <c r="AT102" s="45"/>
      <c r="AU102" s="53">
        <v>0</v>
      </c>
      <c r="AV102" s="53"/>
      <c r="AW102" s="53">
        <v>0</v>
      </c>
      <c r="AX102" s="53"/>
      <c r="AY102" s="53">
        <f t="shared" si="41"/>
        <v>3318920</v>
      </c>
      <c r="AZ102" s="53"/>
      <c r="BA102" s="35" t="s">
        <v>124</v>
      </c>
      <c r="BB102" s="55"/>
      <c r="BC102" s="35" t="s">
        <v>125</v>
      </c>
      <c r="BD102" s="53"/>
      <c r="BE102" s="53">
        <v>0</v>
      </c>
      <c r="BF102" s="53"/>
      <c r="BG102" s="53">
        <v>0</v>
      </c>
      <c r="BH102" s="53"/>
      <c r="BI102" s="53">
        <f>5951318+90352+130247+3476</f>
        <v>6175393</v>
      </c>
      <c r="BJ102" s="53"/>
      <c r="BK102" s="53">
        <f>69847+8902</f>
        <v>78749</v>
      </c>
      <c r="BL102" s="53"/>
      <c r="BM102" s="53">
        <f t="shared" si="42"/>
        <v>6254142</v>
      </c>
      <c r="BN102" s="91" t="s">
        <v>347</v>
      </c>
      <c r="BR102" s="66"/>
      <c r="BS102" s="79"/>
      <c r="BT102" s="79"/>
      <c r="BU102" s="79"/>
      <c r="BV102" s="79"/>
      <c r="BW102" s="79"/>
      <c r="BX102" s="94"/>
      <c r="BY102" s="94"/>
      <c r="BZ102" s="79"/>
      <c r="CA102" s="79"/>
      <c r="CB102" s="79"/>
      <c r="CC102" s="79"/>
      <c r="CD102" s="79"/>
      <c r="CE102" s="79"/>
      <c r="CF102" s="64"/>
      <c r="CH102" s="64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91"/>
    </row>
    <row r="103" spans="1:97" s="140" customFormat="1" ht="12.75" hidden="1" customHeight="1" x14ac:dyDescent="0.2">
      <c r="A103" s="126" t="s">
        <v>126</v>
      </c>
      <c r="B103" s="124"/>
      <c r="C103" s="126" t="s">
        <v>27</v>
      </c>
      <c r="D103" s="121"/>
      <c r="E103" s="53">
        <f t="shared" si="46"/>
        <v>0</v>
      </c>
      <c r="F103" s="53"/>
      <c r="G103" s="53"/>
      <c r="H103" s="53"/>
      <c r="I103" s="53"/>
      <c r="J103" s="53"/>
      <c r="K103" s="53">
        <f t="shared" si="44"/>
        <v>0</v>
      </c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>
        <f t="shared" si="40"/>
        <v>0</v>
      </c>
      <c r="X103" s="137"/>
      <c r="Y103" s="126" t="s">
        <v>126</v>
      </c>
      <c r="AA103" s="126" t="s">
        <v>27</v>
      </c>
      <c r="AB103" s="126"/>
      <c r="AC103" s="53"/>
      <c r="AD103" s="53"/>
      <c r="AE103" s="53"/>
      <c r="AF103" s="53"/>
      <c r="AG103" s="53"/>
      <c r="AH103" s="53"/>
      <c r="AI103" s="45">
        <f t="shared" si="45"/>
        <v>0</v>
      </c>
      <c r="AJ103" s="45"/>
      <c r="AK103" s="53"/>
      <c r="AL103" s="45"/>
      <c r="AM103" s="53"/>
      <c r="AN103" s="53"/>
      <c r="AO103" s="53"/>
      <c r="AP103" s="53"/>
      <c r="AQ103" s="53"/>
      <c r="AR103" s="53"/>
      <c r="AS103" s="45">
        <f t="shared" si="47"/>
        <v>0</v>
      </c>
      <c r="AT103" s="45"/>
      <c r="AU103" s="53">
        <v>0</v>
      </c>
      <c r="AV103" s="53"/>
      <c r="AW103" s="53">
        <v>0</v>
      </c>
      <c r="AX103" s="53"/>
      <c r="AY103" s="53">
        <f t="shared" si="41"/>
        <v>0</v>
      </c>
      <c r="AZ103" s="53"/>
      <c r="BA103" s="126" t="s">
        <v>126</v>
      </c>
      <c r="BC103" s="126" t="s">
        <v>27</v>
      </c>
      <c r="BD103" s="137"/>
      <c r="BE103" s="53"/>
      <c r="BF103" s="53"/>
      <c r="BG103" s="53"/>
      <c r="BH103" s="53"/>
      <c r="BI103" s="53"/>
      <c r="BJ103" s="53"/>
      <c r="BK103" s="53"/>
      <c r="BL103" s="137"/>
      <c r="BM103" s="137">
        <f t="shared" si="42"/>
        <v>0</v>
      </c>
      <c r="BN103" s="139" t="s">
        <v>347</v>
      </c>
      <c r="BR103" s="124"/>
      <c r="BS103" s="137"/>
      <c r="BT103" s="137"/>
      <c r="BU103" s="137"/>
      <c r="BV103" s="137"/>
      <c r="BW103" s="127"/>
      <c r="BX103" s="127"/>
      <c r="BY103" s="137"/>
      <c r="BZ103" s="137"/>
      <c r="CA103" s="137"/>
      <c r="CB103" s="137"/>
      <c r="CC103" s="137"/>
      <c r="CD103" s="137"/>
      <c r="CE103" s="137"/>
      <c r="CF103" s="126"/>
      <c r="CH103" s="126"/>
      <c r="CI103" s="137"/>
      <c r="CJ103" s="137"/>
      <c r="CK103" s="137"/>
      <c r="CL103" s="137"/>
      <c r="CM103" s="137"/>
      <c r="CN103" s="137"/>
      <c r="CO103" s="137"/>
      <c r="CP103" s="137"/>
      <c r="CQ103" s="137"/>
      <c r="CR103" s="137"/>
      <c r="CS103" s="139"/>
    </row>
    <row r="104" spans="1:97" s="140" customFormat="1" ht="12.75" hidden="1" customHeight="1" x14ac:dyDescent="0.2">
      <c r="A104" s="126" t="s">
        <v>127</v>
      </c>
      <c r="B104" s="124"/>
      <c r="C104" s="126" t="s">
        <v>43</v>
      </c>
      <c r="D104" s="121"/>
      <c r="E104" s="53">
        <f t="shared" si="46"/>
        <v>0</v>
      </c>
      <c r="F104" s="53"/>
      <c r="G104" s="53"/>
      <c r="H104" s="53"/>
      <c r="I104" s="53"/>
      <c r="J104" s="53"/>
      <c r="K104" s="53">
        <f t="shared" si="44"/>
        <v>0</v>
      </c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>
        <f t="shared" si="40"/>
        <v>0</v>
      </c>
      <c r="X104" s="137"/>
      <c r="Y104" s="126" t="s">
        <v>127</v>
      </c>
      <c r="AA104" s="126" t="s">
        <v>43</v>
      </c>
      <c r="AB104" s="126"/>
      <c r="AC104" s="53"/>
      <c r="AD104" s="53"/>
      <c r="AE104" s="53"/>
      <c r="AF104" s="53"/>
      <c r="AG104" s="53"/>
      <c r="AH104" s="53"/>
      <c r="AI104" s="45">
        <f t="shared" si="45"/>
        <v>0</v>
      </c>
      <c r="AJ104" s="45"/>
      <c r="AK104" s="53"/>
      <c r="AL104" s="45"/>
      <c r="AM104" s="53"/>
      <c r="AN104" s="53"/>
      <c r="AO104" s="53"/>
      <c r="AP104" s="53"/>
      <c r="AQ104" s="53"/>
      <c r="AR104" s="53"/>
      <c r="AS104" s="45">
        <f t="shared" si="47"/>
        <v>0</v>
      </c>
      <c r="AT104" s="45"/>
      <c r="AU104" s="53">
        <v>0</v>
      </c>
      <c r="AV104" s="53"/>
      <c r="AW104" s="53">
        <v>0</v>
      </c>
      <c r="AX104" s="53"/>
      <c r="AY104" s="53">
        <f t="shared" si="41"/>
        <v>0</v>
      </c>
      <c r="AZ104" s="53"/>
      <c r="BA104" s="126" t="s">
        <v>127</v>
      </c>
      <c r="BC104" s="126" t="s">
        <v>43</v>
      </c>
      <c r="BD104" s="137"/>
      <c r="BE104" s="53"/>
      <c r="BF104" s="53"/>
      <c r="BG104" s="53"/>
      <c r="BH104" s="53"/>
      <c r="BI104" s="53"/>
      <c r="BJ104" s="53"/>
      <c r="BK104" s="53"/>
      <c r="BL104" s="137"/>
      <c r="BM104" s="137">
        <f t="shared" si="42"/>
        <v>0</v>
      </c>
      <c r="BN104" s="139" t="s">
        <v>347</v>
      </c>
      <c r="BR104" s="124"/>
      <c r="BS104" s="137"/>
      <c r="BT104" s="137"/>
      <c r="BU104" s="137"/>
      <c r="BV104" s="137"/>
      <c r="BW104" s="127"/>
      <c r="BX104" s="127"/>
      <c r="BY104" s="137"/>
      <c r="BZ104" s="137"/>
      <c r="CA104" s="137"/>
      <c r="CB104" s="137"/>
      <c r="CC104" s="137"/>
      <c r="CD104" s="137"/>
      <c r="CE104" s="137"/>
      <c r="CF104" s="126"/>
      <c r="CH104" s="126"/>
      <c r="CI104" s="137"/>
      <c r="CJ104" s="137"/>
      <c r="CK104" s="137"/>
      <c r="CL104" s="137"/>
      <c r="CM104" s="137"/>
      <c r="CN104" s="137"/>
      <c r="CO104" s="137"/>
      <c r="CP104" s="137"/>
      <c r="CQ104" s="137"/>
      <c r="CR104" s="137"/>
      <c r="CS104" s="139"/>
    </row>
    <row r="105" spans="1:97" s="55" customFormat="1" ht="12.75" customHeight="1" x14ac:dyDescent="0.2">
      <c r="A105" s="35" t="s">
        <v>128</v>
      </c>
      <c r="B105" s="51"/>
      <c r="C105" s="35" t="s">
        <v>119</v>
      </c>
      <c r="D105" s="44"/>
      <c r="E105" s="53">
        <f t="shared" si="46"/>
        <v>1776111</v>
      </c>
      <c r="F105" s="53"/>
      <c r="G105" s="53">
        <v>23850491</v>
      </c>
      <c r="H105" s="53"/>
      <c r="I105" s="53">
        <v>25626602</v>
      </c>
      <c r="J105" s="53"/>
      <c r="K105" s="53">
        <f t="shared" si="44"/>
        <v>1221556</v>
      </c>
      <c r="L105" s="53"/>
      <c r="M105" s="53">
        <v>8372622</v>
      </c>
      <c r="N105" s="53"/>
      <c r="O105" s="53">
        <v>9594178</v>
      </c>
      <c r="P105" s="53"/>
      <c r="Q105" s="53">
        <v>14858475</v>
      </c>
      <c r="R105" s="53"/>
      <c r="S105" s="53">
        <v>0</v>
      </c>
      <c r="T105" s="53"/>
      <c r="U105" s="53">
        <v>1173949</v>
      </c>
      <c r="V105" s="53"/>
      <c r="W105" s="53">
        <f t="shared" si="40"/>
        <v>16032424</v>
      </c>
      <c r="X105" s="53"/>
      <c r="Y105" s="35" t="s">
        <v>128</v>
      </c>
      <c r="AA105" s="35" t="s">
        <v>119</v>
      </c>
      <c r="AB105" s="35"/>
      <c r="AC105" s="53">
        <v>2035071</v>
      </c>
      <c r="AD105" s="53"/>
      <c r="AE105" s="53">
        <f>1408215-287824</f>
        <v>1120391</v>
      </c>
      <c r="AF105" s="53"/>
      <c r="AG105" s="53">
        <v>287824</v>
      </c>
      <c r="AH105" s="53"/>
      <c r="AI105" s="45">
        <f t="shared" si="45"/>
        <v>626856</v>
      </c>
      <c r="AJ105" s="45"/>
      <c r="AK105" s="53">
        <v>-65233</v>
      </c>
      <c r="AL105" s="45"/>
      <c r="AM105" s="53">
        <v>0</v>
      </c>
      <c r="AN105" s="53"/>
      <c r="AO105" s="53">
        <v>107767</v>
      </c>
      <c r="AP105" s="53"/>
      <c r="AQ105" s="53">
        <v>1138208</v>
      </c>
      <c r="AR105" s="53"/>
      <c r="AS105" s="45">
        <f t="shared" si="47"/>
        <v>1592064</v>
      </c>
      <c r="AT105" s="45"/>
      <c r="AU105" s="53">
        <v>0</v>
      </c>
      <c r="AV105" s="53"/>
      <c r="AW105" s="53">
        <v>0</v>
      </c>
      <c r="AX105" s="53"/>
      <c r="AY105" s="53">
        <f t="shared" si="41"/>
        <v>554555</v>
      </c>
      <c r="AZ105" s="53"/>
      <c r="BA105" s="35" t="s">
        <v>128</v>
      </c>
      <c r="BC105" s="35" t="s">
        <v>119</v>
      </c>
      <c r="BD105" s="53"/>
      <c r="BE105" s="53">
        <v>0</v>
      </c>
      <c r="BF105" s="53"/>
      <c r="BG105" s="53">
        <v>0</v>
      </c>
      <c r="BH105" s="53"/>
      <c r="BI105" s="53">
        <f>8163524+140000+10000+86881</f>
        <v>8400405</v>
      </c>
      <c r="BJ105" s="53"/>
      <c r="BK105" s="53">
        <f>44488+24610+2222+15481</f>
        <v>86801</v>
      </c>
      <c r="BL105" s="53"/>
      <c r="BM105" s="53">
        <f t="shared" si="42"/>
        <v>8487206</v>
      </c>
      <c r="BN105" s="54" t="s">
        <v>347</v>
      </c>
      <c r="BR105" s="65"/>
      <c r="BS105" s="53"/>
      <c r="BT105" s="53"/>
      <c r="BU105" s="53"/>
      <c r="BV105" s="53"/>
      <c r="BW105" s="53"/>
      <c r="BX105" s="45"/>
      <c r="BY105" s="45"/>
      <c r="BZ105" s="53"/>
      <c r="CA105" s="53"/>
      <c r="CB105" s="53"/>
      <c r="CC105" s="53"/>
      <c r="CD105" s="53"/>
      <c r="CE105" s="53"/>
      <c r="CF105" s="35"/>
      <c r="CH105" s="35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4"/>
    </row>
    <row r="106" spans="1:97" s="55" customFormat="1" ht="12.75" customHeight="1" x14ac:dyDescent="0.2">
      <c r="A106" s="35" t="s">
        <v>129</v>
      </c>
      <c r="B106" s="51"/>
      <c r="C106" s="35" t="s">
        <v>80</v>
      </c>
      <c r="D106" s="44"/>
      <c r="E106" s="53">
        <f t="shared" si="46"/>
        <v>657642</v>
      </c>
      <c r="F106" s="53"/>
      <c r="G106" s="53">
        <v>5842644</v>
      </c>
      <c r="H106" s="53"/>
      <c r="I106" s="53">
        <v>6500286</v>
      </c>
      <c r="J106" s="53"/>
      <c r="K106" s="53">
        <f t="shared" si="44"/>
        <v>554497</v>
      </c>
      <c r="L106" s="53"/>
      <c r="M106" s="53">
        <v>541477</v>
      </c>
      <c r="N106" s="53"/>
      <c r="O106" s="53">
        <v>1095974</v>
      </c>
      <c r="P106" s="53"/>
      <c r="Q106" s="53">
        <v>4814930</v>
      </c>
      <c r="R106" s="53"/>
      <c r="S106" s="53">
        <v>0</v>
      </c>
      <c r="T106" s="53"/>
      <c r="U106" s="53">
        <v>589382</v>
      </c>
      <c r="V106" s="53"/>
      <c r="W106" s="53">
        <f t="shared" si="40"/>
        <v>5404312</v>
      </c>
      <c r="X106" s="53"/>
      <c r="Y106" s="35" t="s">
        <v>129</v>
      </c>
      <c r="AA106" s="35" t="s">
        <v>80</v>
      </c>
      <c r="AB106" s="35"/>
      <c r="AC106" s="53">
        <v>1483678</v>
      </c>
      <c r="AD106" s="53"/>
      <c r="AE106" s="53">
        <f>1141757-250218</f>
        <v>891539</v>
      </c>
      <c r="AF106" s="53"/>
      <c r="AG106" s="53">
        <v>250218</v>
      </c>
      <c r="AH106" s="53"/>
      <c r="AI106" s="45">
        <f t="shared" si="45"/>
        <v>341921</v>
      </c>
      <c r="AJ106" s="45"/>
      <c r="AK106" s="53">
        <v>-86584</v>
      </c>
      <c r="AL106" s="45"/>
      <c r="AM106" s="53">
        <v>0</v>
      </c>
      <c r="AN106" s="53"/>
      <c r="AO106" s="53">
        <v>0</v>
      </c>
      <c r="AP106" s="53"/>
      <c r="AQ106" s="53">
        <v>243180</v>
      </c>
      <c r="AR106" s="53"/>
      <c r="AS106" s="45">
        <f t="shared" si="47"/>
        <v>498517</v>
      </c>
      <c r="AT106" s="45"/>
      <c r="AU106" s="53">
        <v>0</v>
      </c>
      <c r="AV106" s="53"/>
      <c r="AW106" s="53">
        <v>0</v>
      </c>
      <c r="AX106" s="53"/>
      <c r="AY106" s="53">
        <f t="shared" si="41"/>
        <v>103145</v>
      </c>
      <c r="AZ106" s="53"/>
      <c r="BA106" s="35" t="s">
        <v>129</v>
      </c>
      <c r="BC106" s="35" t="s">
        <v>80</v>
      </c>
      <c r="BD106" s="53"/>
      <c r="BE106" s="53">
        <v>0</v>
      </c>
      <c r="BF106" s="53"/>
      <c r="BG106" s="53">
        <f>448631+460000</f>
        <v>908631</v>
      </c>
      <c r="BH106" s="53"/>
      <c r="BI106" s="53">
        <f>82223+11746</f>
        <v>93969</v>
      </c>
      <c r="BJ106" s="53"/>
      <c r="BK106" s="53">
        <f>10623+31985</f>
        <v>42608</v>
      </c>
      <c r="BL106" s="53"/>
      <c r="BM106" s="53">
        <f t="shared" si="42"/>
        <v>1045208</v>
      </c>
      <c r="BN106" s="54" t="s">
        <v>347</v>
      </c>
      <c r="BR106" s="51"/>
      <c r="BS106" s="53"/>
      <c r="BT106" s="53"/>
      <c r="BU106" s="53"/>
      <c r="BV106" s="53"/>
      <c r="BW106" s="53"/>
      <c r="BX106" s="45"/>
      <c r="BY106" s="45"/>
      <c r="BZ106" s="53"/>
      <c r="CA106" s="53"/>
      <c r="CB106" s="53"/>
      <c r="CC106" s="53"/>
      <c r="CD106" s="53"/>
      <c r="CE106" s="53"/>
      <c r="CF106" s="35"/>
      <c r="CH106" s="35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4"/>
    </row>
    <row r="107" spans="1:97" s="55" customFormat="1" ht="12.75" customHeight="1" x14ac:dyDescent="0.2">
      <c r="A107" s="35" t="s">
        <v>130</v>
      </c>
      <c r="B107" s="51"/>
      <c r="C107" s="35" t="s">
        <v>66</v>
      </c>
      <c r="D107" s="44"/>
      <c r="E107" s="53">
        <f t="shared" si="46"/>
        <v>8316768</v>
      </c>
      <c r="F107" s="53"/>
      <c r="G107" s="53">
        <v>33732552</v>
      </c>
      <c r="H107" s="53"/>
      <c r="I107" s="53">
        <v>42049320</v>
      </c>
      <c r="J107" s="53"/>
      <c r="K107" s="53">
        <f t="shared" si="44"/>
        <v>978148</v>
      </c>
      <c r="L107" s="53"/>
      <c r="M107" s="53">
        <v>1657490</v>
      </c>
      <c r="N107" s="53"/>
      <c r="O107" s="53">
        <v>2635638</v>
      </c>
      <c r="P107" s="53"/>
      <c r="Q107" s="53">
        <v>14971056</v>
      </c>
      <c r="R107" s="53"/>
      <c r="S107" s="53">
        <v>0</v>
      </c>
      <c r="T107" s="53"/>
      <c r="U107" s="53">
        <v>24442626</v>
      </c>
      <c r="V107" s="53"/>
      <c r="W107" s="53">
        <f t="shared" si="40"/>
        <v>39413682</v>
      </c>
      <c r="X107" s="53"/>
      <c r="Y107" s="35" t="s">
        <v>130</v>
      </c>
      <c r="AA107" s="35" t="s">
        <v>66</v>
      </c>
      <c r="AB107" s="35"/>
      <c r="AC107" s="53">
        <v>3849758</v>
      </c>
      <c r="AD107" s="53"/>
      <c r="AE107" s="53">
        <f>3189803-682045</f>
        <v>2507758</v>
      </c>
      <c r="AF107" s="53"/>
      <c r="AG107" s="53">
        <v>682045</v>
      </c>
      <c r="AH107" s="53"/>
      <c r="AI107" s="45">
        <f t="shared" si="45"/>
        <v>659955</v>
      </c>
      <c r="AJ107" s="45"/>
      <c r="AK107" s="53">
        <v>359715</v>
      </c>
      <c r="AL107" s="45"/>
      <c r="AM107" s="53">
        <v>0</v>
      </c>
      <c r="AN107" s="53"/>
      <c r="AO107" s="53">
        <v>151487</v>
      </c>
      <c r="AP107" s="53"/>
      <c r="AQ107" s="53">
        <v>271937</v>
      </c>
      <c r="AR107" s="53"/>
      <c r="AS107" s="45">
        <f t="shared" si="47"/>
        <v>1140120</v>
      </c>
      <c r="AT107" s="45"/>
      <c r="AU107" s="53">
        <v>0</v>
      </c>
      <c r="AV107" s="53"/>
      <c r="AW107" s="53">
        <v>0</v>
      </c>
      <c r="AX107" s="53"/>
      <c r="AY107" s="53">
        <f t="shared" si="41"/>
        <v>7338620</v>
      </c>
      <c r="AZ107" s="53"/>
      <c r="BA107" s="35" t="s">
        <v>130</v>
      </c>
      <c r="BC107" s="35" t="s">
        <v>66</v>
      </c>
      <c r="BD107" s="53"/>
      <c r="BE107" s="53">
        <f>1657073+445658</f>
        <v>2102731</v>
      </c>
      <c r="BF107" s="53"/>
      <c r="BG107" s="53">
        <v>0</v>
      </c>
      <c r="BH107" s="53"/>
      <c r="BI107" s="53">
        <v>0</v>
      </c>
      <c r="BJ107" s="53"/>
      <c r="BK107" s="53">
        <f>417+2753</f>
        <v>3170</v>
      </c>
      <c r="BL107" s="53"/>
      <c r="BM107" s="53">
        <f t="shared" si="42"/>
        <v>2105901</v>
      </c>
      <c r="BN107" s="54" t="s">
        <v>347</v>
      </c>
      <c r="BO107" s="55" t="s">
        <v>404</v>
      </c>
      <c r="BR107" s="51"/>
      <c r="BS107" s="53"/>
      <c r="BT107" s="53"/>
      <c r="BU107" s="53"/>
      <c r="BV107" s="53"/>
      <c r="BW107" s="53"/>
      <c r="BX107" s="45"/>
      <c r="BY107" s="45"/>
      <c r="BZ107" s="53"/>
      <c r="CA107" s="53"/>
      <c r="CB107" s="53"/>
      <c r="CC107" s="53"/>
      <c r="CD107" s="53"/>
      <c r="CE107" s="53"/>
      <c r="CF107" s="35"/>
      <c r="CH107" s="35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4"/>
    </row>
    <row r="108" spans="1:97" s="55" customFormat="1" ht="12.75" customHeight="1" x14ac:dyDescent="0.2">
      <c r="A108" s="35" t="s">
        <v>131</v>
      </c>
      <c r="B108" s="65"/>
      <c r="C108" s="35" t="s">
        <v>13</v>
      </c>
      <c r="D108" s="44"/>
      <c r="E108" s="53">
        <f t="shared" si="46"/>
        <v>1550922</v>
      </c>
      <c r="F108" s="53"/>
      <c r="G108" s="53">
        <v>9246141</v>
      </c>
      <c r="H108" s="53"/>
      <c r="I108" s="53">
        <v>10797063</v>
      </c>
      <c r="J108" s="53"/>
      <c r="K108" s="53">
        <f t="shared" si="44"/>
        <v>1461890</v>
      </c>
      <c r="L108" s="53"/>
      <c r="M108" s="53">
        <v>5136836</v>
      </c>
      <c r="N108" s="53"/>
      <c r="O108" s="53">
        <v>6598726</v>
      </c>
      <c r="P108" s="53"/>
      <c r="Q108" s="53">
        <v>3735180</v>
      </c>
      <c r="R108" s="53"/>
      <c r="S108" s="53">
        <v>0</v>
      </c>
      <c r="T108" s="53"/>
      <c r="U108" s="53">
        <v>463157</v>
      </c>
      <c r="V108" s="53"/>
      <c r="W108" s="53">
        <f t="shared" si="40"/>
        <v>4198337</v>
      </c>
      <c r="X108" s="53"/>
      <c r="Y108" s="35" t="s">
        <v>131</v>
      </c>
      <c r="Z108" s="65"/>
      <c r="AA108" s="35" t="s">
        <v>13</v>
      </c>
      <c r="AB108" s="35"/>
      <c r="AC108" s="53">
        <v>1941339</v>
      </c>
      <c r="AD108" s="53"/>
      <c r="AE108" s="53">
        <f>3611299-314994</f>
        <v>3296305</v>
      </c>
      <c r="AF108" s="53"/>
      <c r="AG108" s="53">
        <v>314994</v>
      </c>
      <c r="AH108" s="53"/>
      <c r="AI108" s="45">
        <f t="shared" si="45"/>
        <v>-1669960</v>
      </c>
      <c r="AJ108" s="45"/>
      <c r="AK108" s="53">
        <v>-242400</v>
      </c>
      <c r="AL108" s="45"/>
      <c r="AM108" s="53">
        <v>1725000</v>
      </c>
      <c r="AN108" s="53"/>
      <c r="AO108" s="53">
        <v>0</v>
      </c>
      <c r="AP108" s="53"/>
      <c r="AQ108" s="53">
        <v>0</v>
      </c>
      <c r="AR108" s="53"/>
      <c r="AS108" s="45">
        <f t="shared" si="47"/>
        <v>-187360</v>
      </c>
      <c r="AT108" s="45"/>
      <c r="AU108" s="53">
        <v>0</v>
      </c>
      <c r="AV108" s="53"/>
      <c r="AW108" s="53">
        <v>0</v>
      </c>
      <c r="AX108" s="53"/>
      <c r="AY108" s="53">
        <f t="shared" si="41"/>
        <v>89032</v>
      </c>
      <c r="AZ108" s="53"/>
      <c r="BA108" s="35" t="s">
        <v>131</v>
      </c>
      <c r="BB108" s="65"/>
      <c r="BC108" s="35" t="s">
        <v>13</v>
      </c>
      <c r="BD108" s="53"/>
      <c r="BE108" s="53">
        <f>1800000+45000</f>
        <v>1845000</v>
      </c>
      <c r="BF108" s="53"/>
      <c r="BG108" s="53">
        <v>0</v>
      </c>
      <c r="BH108" s="53"/>
      <c r="BI108" s="53">
        <f>3202952+463009</f>
        <v>3665961</v>
      </c>
      <c r="BJ108" s="53"/>
      <c r="BK108" s="53">
        <f>33884+100000+6848</f>
        <v>140732</v>
      </c>
      <c r="BL108" s="53"/>
      <c r="BM108" s="53">
        <f t="shared" si="42"/>
        <v>5651693</v>
      </c>
      <c r="BN108" s="54" t="s">
        <v>347</v>
      </c>
      <c r="BR108" s="65"/>
      <c r="BS108" s="53"/>
      <c r="BT108" s="53"/>
      <c r="BU108" s="53"/>
      <c r="BV108" s="53"/>
      <c r="BW108" s="53"/>
      <c r="BX108" s="45"/>
      <c r="BY108" s="45"/>
      <c r="BZ108" s="53"/>
      <c r="CA108" s="53"/>
      <c r="CB108" s="53"/>
      <c r="CC108" s="53"/>
      <c r="CD108" s="53"/>
      <c r="CE108" s="53"/>
      <c r="CF108" s="35"/>
      <c r="CH108" s="35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4"/>
    </row>
    <row r="109" spans="1:97" s="140" customFormat="1" ht="12.75" hidden="1" customHeight="1" x14ac:dyDescent="0.2">
      <c r="A109" s="126" t="s">
        <v>38</v>
      </c>
      <c r="B109" s="124"/>
      <c r="C109" s="126" t="s">
        <v>132</v>
      </c>
      <c r="D109" s="121"/>
      <c r="E109" s="53">
        <f t="shared" si="46"/>
        <v>0</v>
      </c>
      <c r="F109" s="53"/>
      <c r="G109" s="53"/>
      <c r="H109" s="53"/>
      <c r="I109" s="53"/>
      <c r="J109" s="53"/>
      <c r="K109" s="53">
        <f t="shared" si="44"/>
        <v>0</v>
      </c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>
        <f t="shared" si="40"/>
        <v>0</v>
      </c>
      <c r="X109" s="137"/>
      <c r="Y109" s="126" t="s">
        <v>38</v>
      </c>
      <c r="AA109" s="126" t="s">
        <v>132</v>
      </c>
      <c r="AB109" s="126"/>
      <c r="AC109" s="53"/>
      <c r="AD109" s="53"/>
      <c r="AE109" s="53"/>
      <c r="AF109" s="53"/>
      <c r="AG109" s="53"/>
      <c r="AH109" s="53"/>
      <c r="AI109" s="45">
        <f t="shared" si="45"/>
        <v>0</v>
      </c>
      <c r="AJ109" s="45"/>
      <c r="AK109" s="53"/>
      <c r="AL109" s="45"/>
      <c r="AM109" s="53"/>
      <c r="AN109" s="53"/>
      <c r="AO109" s="53"/>
      <c r="AP109" s="53"/>
      <c r="AQ109" s="53"/>
      <c r="AR109" s="53"/>
      <c r="AS109" s="45">
        <f t="shared" si="47"/>
        <v>0</v>
      </c>
      <c r="AT109" s="45"/>
      <c r="AU109" s="53">
        <v>0</v>
      </c>
      <c r="AV109" s="53"/>
      <c r="AW109" s="53">
        <v>0</v>
      </c>
      <c r="AX109" s="53"/>
      <c r="AY109" s="53">
        <f t="shared" si="41"/>
        <v>0</v>
      </c>
      <c r="AZ109" s="53"/>
      <c r="BA109" s="126" t="s">
        <v>38</v>
      </c>
      <c r="BC109" s="126" t="s">
        <v>132</v>
      </c>
      <c r="BD109" s="137"/>
      <c r="BE109" s="53"/>
      <c r="BF109" s="53"/>
      <c r="BG109" s="53"/>
      <c r="BH109" s="53"/>
      <c r="BI109" s="53"/>
      <c r="BJ109" s="53"/>
      <c r="BK109" s="53"/>
      <c r="BL109" s="137"/>
      <c r="BM109" s="53">
        <f t="shared" si="42"/>
        <v>0</v>
      </c>
      <c r="BN109" s="139"/>
      <c r="BR109" s="124"/>
      <c r="BS109" s="137"/>
      <c r="BT109" s="137"/>
      <c r="BU109" s="137"/>
      <c r="BV109" s="137"/>
      <c r="BW109" s="137"/>
      <c r="BX109" s="127"/>
      <c r="BY109" s="127"/>
      <c r="BZ109" s="137"/>
      <c r="CA109" s="137"/>
      <c r="CB109" s="137"/>
      <c r="CC109" s="137"/>
      <c r="CD109" s="137"/>
      <c r="CE109" s="137"/>
      <c r="CF109" s="126"/>
      <c r="CH109" s="126"/>
      <c r="CI109" s="137"/>
      <c r="CJ109" s="137"/>
      <c r="CK109" s="137"/>
      <c r="CL109" s="137"/>
      <c r="CM109" s="137"/>
      <c r="CN109" s="137"/>
      <c r="CO109" s="137"/>
      <c r="CP109" s="137"/>
      <c r="CQ109" s="137"/>
      <c r="CR109" s="137"/>
      <c r="CS109" s="139"/>
    </row>
    <row r="110" spans="1:97" s="140" customFormat="1" ht="12.75" hidden="1" customHeight="1" x14ac:dyDescent="0.2">
      <c r="A110" s="126" t="s">
        <v>133</v>
      </c>
      <c r="B110" s="124"/>
      <c r="C110" s="126" t="s">
        <v>27</v>
      </c>
      <c r="D110" s="121"/>
      <c r="E110" s="53">
        <f t="shared" si="46"/>
        <v>0</v>
      </c>
      <c r="F110" s="53"/>
      <c r="G110" s="53"/>
      <c r="H110" s="53"/>
      <c r="I110" s="53"/>
      <c r="J110" s="53"/>
      <c r="K110" s="53">
        <f t="shared" si="44"/>
        <v>0</v>
      </c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>
        <f t="shared" si="40"/>
        <v>0</v>
      </c>
      <c r="X110" s="137"/>
      <c r="Y110" s="126" t="s">
        <v>133</v>
      </c>
      <c r="AA110" s="126" t="s">
        <v>27</v>
      </c>
      <c r="AB110" s="126"/>
      <c r="AC110" s="53"/>
      <c r="AD110" s="53"/>
      <c r="AE110" s="53"/>
      <c r="AF110" s="53"/>
      <c r="AG110" s="53"/>
      <c r="AH110" s="53"/>
      <c r="AI110" s="45">
        <f t="shared" si="45"/>
        <v>0</v>
      </c>
      <c r="AJ110" s="45"/>
      <c r="AK110" s="53"/>
      <c r="AL110" s="45"/>
      <c r="AM110" s="53"/>
      <c r="AN110" s="53"/>
      <c r="AO110" s="53"/>
      <c r="AP110" s="53"/>
      <c r="AQ110" s="53"/>
      <c r="AR110" s="53"/>
      <c r="AS110" s="45">
        <f t="shared" si="47"/>
        <v>0</v>
      </c>
      <c r="AT110" s="45"/>
      <c r="AU110" s="53">
        <v>0</v>
      </c>
      <c r="AV110" s="53"/>
      <c r="AW110" s="53">
        <v>0</v>
      </c>
      <c r="AX110" s="53"/>
      <c r="AY110" s="53">
        <f t="shared" si="41"/>
        <v>0</v>
      </c>
      <c r="AZ110" s="53"/>
      <c r="BA110" s="126" t="s">
        <v>133</v>
      </c>
      <c r="BC110" s="126" t="s">
        <v>27</v>
      </c>
      <c r="BD110" s="137"/>
      <c r="BE110" s="53"/>
      <c r="BF110" s="53"/>
      <c r="BG110" s="53"/>
      <c r="BH110" s="53"/>
      <c r="BI110" s="53"/>
      <c r="BJ110" s="53"/>
      <c r="BK110" s="53"/>
      <c r="BL110" s="137"/>
      <c r="BM110" s="53">
        <f t="shared" si="42"/>
        <v>0</v>
      </c>
      <c r="BN110" s="139" t="s">
        <v>347</v>
      </c>
      <c r="BR110" s="124"/>
      <c r="BS110" s="137"/>
      <c r="BT110" s="137"/>
      <c r="BU110" s="137"/>
      <c r="BV110" s="137"/>
      <c r="BW110" s="137"/>
      <c r="BX110" s="127"/>
      <c r="BY110" s="127"/>
      <c r="BZ110" s="137"/>
      <c r="CA110" s="137"/>
      <c r="CB110" s="137"/>
      <c r="CC110" s="137"/>
      <c r="CD110" s="137"/>
      <c r="CE110" s="137"/>
      <c r="CF110" s="126"/>
      <c r="CH110" s="126"/>
      <c r="CI110" s="137"/>
      <c r="CJ110" s="137"/>
      <c r="CK110" s="137"/>
      <c r="CL110" s="137"/>
      <c r="CM110" s="137"/>
      <c r="CN110" s="137"/>
      <c r="CO110" s="137"/>
      <c r="CP110" s="137"/>
      <c r="CQ110" s="137"/>
      <c r="CR110" s="137"/>
      <c r="CS110" s="139"/>
    </row>
    <row r="111" spans="1:97" s="55" customFormat="1" ht="12.75" customHeight="1" x14ac:dyDescent="0.2">
      <c r="A111" s="35" t="s">
        <v>134</v>
      </c>
      <c r="C111" s="35" t="s">
        <v>135</v>
      </c>
      <c r="D111" s="44"/>
      <c r="E111" s="53">
        <f t="shared" si="46"/>
        <v>2954412</v>
      </c>
      <c r="F111" s="53"/>
      <c r="G111" s="53">
        <f>402976+4857299</f>
        <v>5260275</v>
      </c>
      <c r="H111" s="53"/>
      <c r="I111" s="53">
        <v>8214687</v>
      </c>
      <c r="J111" s="53"/>
      <c r="K111" s="53">
        <f t="shared" si="44"/>
        <v>169224</v>
      </c>
      <c r="L111" s="53"/>
      <c r="M111" s="53">
        <f>24916+5412500+171175+1688+54375</f>
        <v>5664654</v>
      </c>
      <c r="N111" s="53"/>
      <c r="O111" s="53">
        <v>5833878</v>
      </c>
      <c r="P111" s="53"/>
      <c r="Q111" s="53">
        <v>4958933</v>
      </c>
      <c r="R111" s="53"/>
      <c r="S111" s="53">
        <v>0</v>
      </c>
      <c r="T111" s="53"/>
      <c r="U111" s="53">
        <v>-2578124</v>
      </c>
      <c r="V111" s="53"/>
      <c r="W111" s="53">
        <f t="shared" si="40"/>
        <v>2380809</v>
      </c>
      <c r="X111" s="53"/>
      <c r="Y111" s="35" t="s">
        <v>134</v>
      </c>
      <c r="AA111" s="35" t="s">
        <v>135</v>
      </c>
      <c r="AB111" s="35"/>
      <c r="AC111" s="53">
        <v>1164906</v>
      </c>
      <c r="AD111" s="53"/>
      <c r="AE111" s="53">
        <v>3416621</v>
      </c>
      <c r="AF111" s="53"/>
      <c r="AG111" s="53">
        <v>0</v>
      </c>
      <c r="AH111" s="53"/>
      <c r="AI111" s="45">
        <f t="shared" si="45"/>
        <v>-2251715</v>
      </c>
      <c r="AJ111" s="45"/>
      <c r="AK111" s="53">
        <v>-243450</v>
      </c>
      <c r="AL111" s="45"/>
      <c r="AM111" s="53">
        <v>0</v>
      </c>
      <c r="AN111" s="53"/>
      <c r="AO111" s="53">
        <v>804166</v>
      </c>
      <c r="AP111" s="53"/>
      <c r="AQ111" s="53">
        <v>40000</v>
      </c>
      <c r="AR111" s="53"/>
      <c r="AS111" s="45">
        <f t="shared" si="47"/>
        <v>-3259331</v>
      </c>
      <c r="AT111" s="45"/>
      <c r="AU111" s="53"/>
      <c r="AV111" s="53"/>
      <c r="AW111" s="53"/>
      <c r="AX111" s="53"/>
      <c r="AY111" s="53">
        <f t="shared" si="41"/>
        <v>2785188</v>
      </c>
      <c r="AZ111" s="53"/>
      <c r="BA111" s="35" t="s">
        <v>134</v>
      </c>
      <c r="BC111" s="35" t="s">
        <v>135</v>
      </c>
      <c r="BD111" s="53"/>
      <c r="BE111" s="53">
        <f>5412500+27500</f>
        <v>5440000</v>
      </c>
      <c r="BF111" s="53"/>
      <c r="BG111" s="53">
        <v>0</v>
      </c>
      <c r="BH111" s="53"/>
      <c r="BI111" s="53">
        <f>171175+1688+54375+3750</f>
        <v>230988</v>
      </c>
      <c r="BJ111" s="53"/>
      <c r="BK111" s="53">
        <f>24916+18180</f>
        <v>43096</v>
      </c>
      <c r="BL111" s="53"/>
      <c r="BM111" s="53">
        <f t="shared" si="42"/>
        <v>5714084</v>
      </c>
      <c r="BN111" s="54"/>
      <c r="BR111" s="51"/>
      <c r="BS111" s="53"/>
      <c r="BT111" s="53"/>
      <c r="BU111" s="53"/>
      <c r="BV111" s="53"/>
      <c r="BW111" s="53"/>
      <c r="BX111" s="45"/>
      <c r="BY111" s="45"/>
      <c r="BZ111" s="53"/>
      <c r="CA111" s="53"/>
      <c r="CB111" s="53"/>
      <c r="CC111" s="53"/>
      <c r="CD111" s="53"/>
      <c r="CE111" s="53"/>
      <c r="CF111" s="35"/>
      <c r="CH111" s="35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4"/>
    </row>
    <row r="112" spans="1:97" s="55" customFormat="1" ht="12.75" customHeight="1" x14ac:dyDescent="0.2">
      <c r="A112" s="35" t="s">
        <v>136</v>
      </c>
      <c r="B112" s="51"/>
      <c r="C112" s="35" t="s">
        <v>136</v>
      </c>
      <c r="D112" s="44"/>
      <c r="E112" s="53">
        <f t="shared" si="46"/>
        <v>2497438</v>
      </c>
      <c r="F112" s="53"/>
      <c r="G112" s="53">
        <v>15489839</v>
      </c>
      <c r="H112" s="53"/>
      <c r="I112" s="53">
        <v>17987277</v>
      </c>
      <c r="J112" s="53"/>
      <c r="K112" s="53">
        <f t="shared" si="44"/>
        <v>607820</v>
      </c>
      <c r="L112" s="53"/>
      <c r="M112" s="53">
        <v>6839824</v>
      </c>
      <c r="N112" s="53"/>
      <c r="O112" s="53">
        <v>7447644</v>
      </c>
      <c r="P112" s="53"/>
      <c r="Q112" s="53">
        <v>8436349</v>
      </c>
      <c r="R112" s="53"/>
      <c r="S112" s="53">
        <v>0</v>
      </c>
      <c r="T112" s="53"/>
      <c r="U112" s="53">
        <v>2103284</v>
      </c>
      <c r="V112" s="53"/>
      <c r="W112" s="53">
        <f t="shared" si="40"/>
        <v>10539633</v>
      </c>
      <c r="X112" s="53"/>
      <c r="Y112" s="35" t="s">
        <v>136</v>
      </c>
      <c r="AA112" s="35" t="s">
        <v>136</v>
      </c>
      <c r="AB112" s="35"/>
      <c r="AC112" s="53">
        <v>2287651</v>
      </c>
      <c r="AD112" s="53"/>
      <c r="AE112" s="53">
        <f>2909585-477673</f>
        <v>2431912</v>
      </c>
      <c r="AF112" s="53"/>
      <c r="AG112" s="53">
        <v>477673</v>
      </c>
      <c r="AH112" s="53"/>
      <c r="AI112" s="45">
        <f t="shared" si="45"/>
        <v>-621934</v>
      </c>
      <c r="AJ112" s="45"/>
      <c r="AK112" s="53">
        <v>-70888</v>
      </c>
      <c r="AL112" s="45"/>
      <c r="AM112" s="53">
        <v>0</v>
      </c>
      <c r="AN112" s="53"/>
      <c r="AO112" s="53">
        <v>0</v>
      </c>
      <c r="AP112" s="53"/>
      <c r="AQ112" s="53">
        <v>0</v>
      </c>
      <c r="AR112" s="53"/>
      <c r="AS112" s="45">
        <f t="shared" si="47"/>
        <v>-692822</v>
      </c>
      <c r="AT112" s="45"/>
      <c r="AU112" s="53">
        <v>0</v>
      </c>
      <c r="AV112" s="53"/>
      <c r="AW112" s="53">
        <v>0</v>
      </c>
      <c r="AX112" s="53"/>
      <c r="AY112" s="53">
        <f t="shared" si="41"/>
        <v>1889618</v>
      </c>
      <c r="AZ112" s="53"/>
      <c r="BA112" s="35" t="s">
        <v>136</v>
      </c>
      <c r="BC112" s="35" t="s">
        <v>136</v>
      </c>
      <c r="BD112" s="53"/>
      <c r="BE112" s="53">
        <v>0</v>
      </c>
      <c r="BF112" s="53"/>
      <c r="BG112" s="53">
        <v>0</v>
      </c>
      <c r="BH112" s="53"/>
      <c r="BI112" s="53">
        <f>6418771+337156</f>
        <v>6755927</v>
      </c>
      <c r="BJ112" s="53"/>
      <c r="BK112" s="53">
        <f>264164+156889+61801+33399</f>
        <v>516253</v>
      </c>
      <c r="BL112" s="53"/>
      <c r="BM112" s="53">
        <f t="shared" si="42"/>
        <v>7272180</v>
      </c>
      <c r="BN112" s="54" t="s">
        <v>347</v>
      </c>
      <c r="BR112" s="51"/>
      <c r="BS112" s="53"/>
      <c r="BT112" s="53"/>
      <c r="BU112" s="53"/>
      <c r="BV112" s="53"/>
      <c r="BW112" s="53"/>
      <c r="BX112" s="45"/>
      <c r="BY112" s="45"/>
      <c r="BZ112" s="53"/>
      <c r="CA112" s="53"/>
      <c r="CB112" s="53"/>
      <c r="CC112" s="53"/>
      <c r="CD112" s="53"/>
      <c r="CE112" s="53"/>
      <c r="CF112" s="35"/>
      <c r="CH112" s="35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4"/>
    </row>
    <row r="113" spans="1:104" s="55" customFormat="1" ht="11.25" customHeight="1" x14ac:dyDescent="0.2">
      <c r="A113" s="35" t="s">
        <v>137</v>
      </c>
      <c r="C113" s="35" t="s">
        <v>22</v>
      </c>
      <c r="D113" s="44"/>
      <c r="E113" s="53">
        <f t="shared" si="46"/>
        <v>3181295</v>
      </c>
      <c r="F113" s="53"/>
      <c r="G113" s="53">
        <v>26445981</v>
      </c>
      <c r="H113" s="53"/>
      <c r="I113" s="53">
        <v>29627276</v>
      </c>
      <c r="J113" s="53"/>
      <c r="K113" s="53">
        <f t="shared" si="44"/>
        <v>1587893</v>
      </c>
      <c r="L113" s="53"/>
      <c r="M113" s="53">
        <v>3095981</v>
      </c>
      <c r="N113" s="53"/>
      <c r="O113" s="53">
        <v>4683874</v>
      </c>
      <c r="P113" s="53"/>
      <c r="Q113" s="53">
        <v>22429456</v>
      </c>
      <c r="R113" s="53"/>
      <c r="S113" s="53">
        <v>0</v>
      </c>
      <c r="T113" s="53"/>
      <c r="U113" s="53">
        <v>2513946</v>
      </c>
      <c r="V113" s="53"/>
      <c r="W113" s="53">
        <f t="shared" si="40"/>
        <v>24943402</v>
      </c>
      <c r="X113" s="53"/>
      <c r="Y113" s="35" t="s">
        <v>137</v>
      </c>
      <c r="AA113" s="35" t="s">
        <v>22</v>
      </c>
      <c r="AB113" s="35"/>
      <c r="AC113" s="53">
        <v>3592185</v>
      </c>
      <c r="AD113" s="53"/>
      <c r="AE113" s="53">
        <f>3879855-811523</f>
        <v>3068332</v>
      </c>
      <c r="AF113" s="53"/>
      <c r="AG113" s="53">
        <v>811523</v>
      </c>
      <c r="AH113" s="53"/>
      <c r="AI113" s="45">
        <f t="shared" si="45"/>
        <v>-287670</v>
      </c>
      <c r="AJ113" s="45"/>
      <c r="AK113" s="53">
        <v>57598</v>
      </c>
      <c r="AL113" s="45"/>
      <c r="AM113" s="53">
        <v>0</v>
      </c>
      <c r="AN113" s="53"/>
      <c r="AO113" s="53">
        <v>0</v>
      </c>
      <c r="AP113" s="53"/>
      <c r="AQ113" s="53">
        <v>194121</v>
      </c>
      <c r="AR113" s="53"/>
      <c r="AS113" s="45">
        <f t="shared" si="47"/>
        <v>-35951</v>
      </c>
      <c r="AT113" s="45"/>
      <c r="AU113" s="53">
        <v>0</v>
      </c>
      <c r="AV113" s="53"/>
      <c r="AW113" s="53">
        <v>0</v>
      </c>
      <c r="AX113" s="53"/>
      <c r="AY113" s="53">
        <f t="shared" si="41"/>
        <v>1593402</v>
      </c>
      <c r="AZ113" s="53"/>
      <c r="BA113" s="35" t="s">
        <v>137</v>
      </c>
      <c r="BC113" s="35" t="s">
        <v>22</v>
      </c>
      <c r="BD113" s="53"/>
      <c r="BE113" s="53">
        <v>0</v>
      </c>
      <c r="BF113" s="53"/>
      <c r="BG113" s="53">
        <v>0</v>
      </c>
      <c r="BH113" s="53"/>
      <c r="BI113" s="53">
        <f>3089663+191862</f>
        <v>3281525</v>
      </c>
      <c r="BJ113" s="53"/>
      <c r="BK113" s="53">
        <f>6318+106183</f>
        <v>112501</v>
      </c>
      <c r="BL113" s="53"/>
      <c r="BM113" s="53">
        <f t="shared" si="42"/>
        <v>3394026</v>
      </c>
      <c r="BN113" s="54" t="s">
        <v>347</v>
      </c>
      <c r="BR113" s="51"/>
      <c r="BS113" s="53"/>
      <c r="BT113" s="53"/>
      <c r="BU113" s="53"/>
      <c r="BV113" s="53"/>
      <c r="BW113" s="53"/>
      <c r="BX113" s="45"/>
      <c r="BY113" s="45"/>
      <c r="BZ113" s="53"/>
      <c r="CA113" s="53"/>
      <c r="CB113" s="53"/>
      <c r="CC113" s="53"/>
      <c r="CD113" s="53"/>
      <c r="CE113" s="53"/>
      <c r="CF113" s="35"/>
      <c r="CH113" s="35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4"/>
    </row>
    <row r="114" spans="1:104" s="140" customFormat="1" ht="12.75" hidden="1" customHeight="1" x14ac:dyDescent="0.2">
      <c r="A114" s="126" t="s">
        <v>138</v>
      </c>
      <c r="B114" s="124"/>
      <c r="C114" s="126" t="s">
        <v>139</v>
      </c>
      <c r="D114" s="121"/>
      <c r="E114" s="53">
        <f t="shared" si="46"/>
        <v>0</v>
      </c>
      <c r="F114" s="53"/>
      <c r="G114" s="53"/>
      <c r="H114" s="53"/>
      <c r="I114" s="53"/>
      <c r="J114" s="53"/>
      <c r="K114" s="53">
        <f t="shared" si="44"/>
        <v>0</v>
      </c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>
        <f t="shared" si="40"/>
        <v>0</v>
      </c>
      <c r="X114" s="137"/>
      <c r="Y114" s="126" t="s">
        <v>138</v>
      </c>
      <c r="AA114" s="126" t="s">
        <v>139</v>
      </c>
      <c r="AB114" s="126"/>
      <c r="AC114" s="53"/>
      <c r="AD114" s="53"/>
      <c r="AE114" s="53"/>
      <c r="AF114" s="53"/>
      <c r="AG114" s="53"/>
      <c r="AH114" s="53"/>
      <c r="AI114" s="45">
        <f t="shared" si="45"/>
        <v>0</v>
      </c>
      <c r="AJ114" s="45"/>
      <c r="AK114" s="53"/>
      <c r="AL114" s="45"/>
      <c r="AM114" s="53"/>
      <c r="AN114" s="53"/>
      <c r="AO114" s="53"/>
      <c r="AP114" s="53"/>
      <c r="AQ114" s="53"/>
      <c r="AR114" s="53"/>
      <c r="AS114" s="45">
        <f t="shared" si="47"/>
        <v>0</v>
      </c>
      <c r="AT114" s="45"/>
      <c r="AU114" s="53">
        <v>0</v>
      </c>
      <c r="AV114" s="53"/>
      <c r="AW114" s="53">
        <v>0</v>
      </c>
      <c r="AX114" s="53"/>
      <c r="AY114" s="53">
        <f t="shared" si="41"/>
        <v>0</v>
      </c>
      <c r="AZ114" s="53"/>
      <c r="BA114" s="126" t="s">
        <v>138</v>
      </c>
      <c r="BC114" s="126" t="s">
        <v>139</v>
      </c>
      <c r="BD114" s="137"/>
      <c r="BE114" s="53"/>
      <c r="BF114" s="53"/>
      <c r="BG114" s="53"/>
      <c r="BH114" s="53"/>
      <c r="BI114" s="53"/>
      <c r="BJ114" s="53"/>
      <c r="BK114" s="53"/>
      <c r="BL114" s="137"/>
      <c r="BM114" s="53">
        <f t="shared" si="42"/>
        <v>0</v>
      </c>
      <c r="BN114" s="139" t="s">
        <v>347</v>
      </c>
      <c r="BO114" s="126"/>
      <c r="BP114" s="126"/>
      <c r="BQ114" s="126"/>
      <c r="BR114" s="124"/>
      <c r="BS114" s="137"/>
      <c r="BT114" s="137"/>
      <c r="BU114" s="137"/>
      <c r="BV114" s="137"/>
      <c r="BW114" s="127"/>
      <c r="BX114" s="127"/>
      <c r="BY114" s="137"/>
      <c r="BZ114" s="137"/>
      <c r="CA114" s="137"/>
      <c r="CB114" s="137"/>
      <c r="CC114" s="137"/>
      <c r="CD114" s="137"/>
      <c r="CE114" s="137"/>
      <c r="CF114" s="126"/>
      <c r="CH114" s="126"/>
      <c r="CI114" s="137"/>
      <c r="CJ114" s="137"/>
      <c r="CK114" s="137"/>
      <c r="CL114" s="137"/>
      <c r="CM114" s="137"/>
      <c r="CN114" s="137"/>
      <c r="CO114" s="137"/>
      <c r="CP114" s="137"/>
      <c r="CQ114" s="137"/>
      <c r="CR114" s="137"/>
      <c r="CS114" s="139"/>
      <c r="CT114" s="126"/>
      <c r="CU114" s="126"/>
      <c r="CV114" s="126"/>
    </row>
    <row r="115" spans="1:104" s="140" customFormat="1" ht="12.75" hidden="1" customHeight="1" x14ac:dyDescent="0.2">
      <c r="A115" s="126" t="s">
        <v>140</v>
      </c>
      <c r="B115" s="124"/>
      <c r="C115" s="126" t="s">
        <v>66</v>
      </c>
      <c r="D115" s="121"/>
      <c r="E115" s="53">
        <f t="shared" si="46"/>
        <v>0</v>
      </c>
      <c r="F115" s="53"/>
      <c r="G115" s="53"/>
      <c r="H115" s="53"/>
      <c r="I115" s="53"/>
      <c r="J115" s="53"/>
      <c r="K115" s="53">
        <f t="shared" si="44"/>
        <v>0</v>
      </c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>
        <f t="shared" si="40"/>
        <v>0</v>
      </c>
      <c r="X115" s="137"/>
      <c r="Y115" s="126" t="s">
        <v>140</v>
      </c>
      <c r="AA115" s="126" t="s">
        <v>66</v>
      </c>
      <c r="AB115" s="126"/>
      <c r="AC115" s="53"/>
      <c r="AD115" s="53"/>
      <c r="AE115" s="53"/>
      <c r="AF115" s="53"/>
      <c r="AG115" s="53"/>
      <c r="AH115" s="53"/>
      <c r="AI115" s="45">
        <f t="shared" si="45"/>
        <v>0</v>
      </c>
      <c r="AJ115" s="45"/>
      <c r="AK115" s="53"/>
      <c r="AL115" s="45"/>
      <c r="AM115" s="53"/>
      <c r="AN115" s="53"/>
      <c r="AO115" s="53"/>
      <c r="AP115" s="53"/>
      <c r="AQ115" s="53"/>
      <c r="AR115" s="53"/>
      <c r="AS115" s="45">
        <f t="shared" si="47"/>
        <v>0</v>
      </c>
      <c r="AT115" s="45"/>
      <c r="AU115" s="53">
        <v>0</v>
      </c>
      <c r="AV115" s="53"/>
      <c r="AW115" s="53">
        <v>0</v>
      </c>
      <c r="AX115" s="53"/>
      <c r="AY115" s="53">
        <f t="shared" si="41"/>
        <v>0</v>
      </c>
      <c r="AZ115" s="53"/>
      <c r="BA115" s="126" t="s">
        <v>140</v>
      </c>
      <c r="BC115" s="126" t="s">
        <v>66</v>
      </c>
      <c r="BD115" s="137"/>
      <c r="BE115" s="53"/>
      <c r="BF115" s="53"/>
      <c r="BG115" s="53"/>
      <c r="BH115" s="53"/>
      <c r="BI115" s="53"/>
      <c r="BJ115" s="53"/>
      <c r="BK115" s="53"/>
      <c r="BL115" s="137"/>
      <c r="BM115" s="53">
        <f t="shared" si="42"/>
        <v>0</v>
      </c>
      <c r="BN115" s="139" t="s">
        <v>347</v>
      </c>
      <c r="BO115" s="126"/>
      <c r="BP115" s="126"/>
      <c r="BQ115" s="126"/>
      <c r="BR115" s="124"/>
      <c r="BS115" s="137"/>
      <c r="BT115" s="137"/>
      <c r="BU115" s="137"/>
      <c r="BV115" s="137"/>
      <c r="BW115" s="127"/>
      <c r="BX115" s="127"/>
      <c r="BY115" s="137"/>
      <c r="BZ115" s="137"/>
      <c r="CA115" s="137"/>
      <c r="CB115" s="137"/>
      <c r="CC115" s="137"/>
      <c r="CD115" s="137"/>
      <c r="CE115" s="137"/>
      <c r="CF115" s="126"/>
      <c r="CH115" s="126"/>
      <c r="CI115" s="137"/>
      <c r="CJ115" s="137"/>
      <c r="CK115" s="137"/>
      <c r="CL115" s="137"/>
      <c r="CM115" s="137"/>
      <c r="CN115" s="137"/>
      <c r="CO115" s="137"/>
      <c r="CP115" s="137"/>
      <c r="CQ115" s="137"/>
      <c r="CR115" s="137"/>
      <c r="CS115" s="139"/>
      <c r="CT115" s="126"/>
      <c r="CU115" s="126"/>
      <c r="CV115" s="126"/>
      <c r="CW115" s="126"/>
      <c r="CX115" s="126"/>
      <c r="CY115" s="126"/>
      <c r="CZ115" s="126"/>
    </row>
    <row r="116" spans="1:104" s="55" customFormat="1" ht="12.75" customHeight="1" x14ac:dyDescent="0.2">
      <c r="A116" s="35" t="s">
        <v>478</v>
      </c>
      <c r="B116" s="51"/>
      <c r="C116" s="35" t="s">
        <v>92</v>
      </c>
      <c r="D116" s="44"/>
      <c r="E116" s="53">
        <f t="shared" si="46"/>
        <v>847038</v>
      </c>
      <c r="F116" s="53"/>
      <c r="G116" s="53">
        <v>1945220</v>
      </c>
      <c r="H116" s="53"/>
      <c r="I116" s="53">
        <v>2792258</v>
      </c>
      <c r="J116" s="53"/>
      <c r="K116" s="53">
        <f t="shared" si="44"/>
        <v>775580</v>
      </c>
      <c r="L116" s="53"/>
      <c r="M116" s="53">
        <v>537136</v>
      </c>
      <c r="N116" s="53"/>
      <c r="O116" s="53">
        <v>1312716</v>
      </c>
      <c r="P116" s="53"/>
      <c r="Q116" s="53">
        <v>644829</v>
      </c>
      <c r="R116" s="53"/>
      <c r="S116" s="53">
        <v>0</v>
      </c>
      <c r="T116" s="53"/>
      <c r="U116" s="53">
        <v>834713</v>
      </c>
      <c r="V116" s="53"/>
      <c r="W116" s="53">
        <f t="shared" ref="W116" si="48">SUM(Q116:U116)</f>
        <v>1479542</v>
      </c>
      <c r="X116" s="53"/>
      <c r="Y116" s="35" t="s">
        <v>478</v>
      </c>
      <c r="Z116" s="51"/>
      <c r="AA116" s="35" t="s">
        <v>92</v>
      </c>
      <c r="AB116" s="35"/>
      <c r="AC116" s="53">
        <v>48220</v>
      </c>
      <c r="AD116" s="53"/>
      <c r="AE116" s="53">
        <f>73270-14645</f>
        <v>58625</v>
      </c>
      <c r="AF116" s="53"/>
      <c r="AG116" s="53">
        <v>14645</v>
      </c>
      <c r="AH116" s="53"/>
      <c r="AI116" s="45">
        <f t="shared" si="45"/>
        <v>-25050</v>
      </c>
      <c r="AJ116" s="45"/>
      <c r="AK116" s="53">
        <v>634829</v>
      </c>
      <c r="AL116" s="45"/>
      <c r="AM116" s="53">
        <v>53704</v>
      </c>
      <c r="AN116" s="53"/>
      <c r="AO116" s="53">
        <v>0</v>
      </c>
      <c r="AP116" s="53"/>
      <c r="AQ116" s="53">
        <v>0</v>
      </c>
      <c r="AR116" s="53"/>
      <c r="AS116" s="45">
        <f t="shared" ref="AS116" si="49">+AI116+AK116+AM116-AO116+AQ116</f>
        <v>663483</v>
      </c>
      <c r="AT116" s="45"/>
      <c r="AU116" s="53">
        <v>0</v>
      </c>
      <c r="AV116" s="53"/>
      <c r="AW116" s="53">
        <v>0</v>
      </c>
      <c r="AX116" s="53"/>
      <c r="AY116" s="53">
        <f t="shared" ref="AY116" si="50">+E116-K116</f>
        <v>71458</v>
      </c>
      <c r="AZ116" s="53"/>
      <c r="BA116" s="35" t="s">
        <v>478</v>
      </c>
      <c r="BB116" s="51"/>
      <c r="BC116" s="35" t="s">
        <v>92</v>
      </c>
      <c r="BD116" s="53"/>
      <c r="BE116" s="53">
        <f>338395+14060</f>
        <v>352455</v>
      </c>
      <c r="BF116" s="53"/>
      <c r="BG116" s="53">
        <v>0</v>
      </c>
      <c r="BH116" s="53"/>
      <c r="BI116" s="53">
        <f>198741+14195</f>
        <v>212936</v>
      </c>
      <c r="BJ116" s="53"/>
      <c r="BK116" s="53">
        <v>0</v>
      </c>
      <c r="BL116" s="53"/>
      <c r="BM116" s="53">
        <f t="shared" si="42"/>
        <v>565391</v>
      </c>
      <c r="BN116" s="54" t="s">
        <v>347</v>
      </c>
      <c r="BO116" s="35"/>
      <c r="BP116" s="35"/>
      <c r="BR116" s="51"/>
      <c r="BS116" s="53"/>
      <c r="BT116" s="53"/>
      <c r="BU116" s="53"/>
      <c r="BV116" s="53"/>
      <c r="BW116" s="45"/>
      <c r="BX116" s="45"/>
      <c r="BY116" s="53"/>
      <c r="BZ116" s="53"/>
      <c r="CA116" s="53"/>
      <c r="CB116" s="53"/>
      <c r="CC116" s="53"/>
      <c r="CD116" s="53"/>
      <c r="CE116" s="53"/>
      <c r="CF116" s="35"/>
      <c r="CH116" s="35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4"/>
      <c r="CT116" s="35"/>
      <c r="CU116" s="35"/>
    </row>
    <row r="117" spans="1:104" s="55" customFormat="1" ht="12.75" customHeight="1" x14ac:dyDescent="0.2">
      <c r="A117" s="35" t="s">
        <v>141</v>
      </c>
      <c r="C117" s="35" t="s">
        <v>27</v>
      </c>
      <c r="D117" s="44"/>
      <c r="E117" s="53">
        <f t="shared" si="46"/>
        <v>7065391</v>
      </c>
      <c r="F117" s="53"/>
      <c r="G117" s="53">
        <v>37006828</v>
      </c>
      <c r="H117" s="53"/>
      <c r="I117" s="53">
        <v>44072219</v>
      </c>
      <c r="J117" s="53"/>
      <c r="K117" s="53">
        <f t="shared" si="44"/>
        <v>3379278</v>
      </c>
      <c r="L117" s="53"/>
      <c r="M117" s="53">
        <v>20040205</v>
      </c>
      <c r="N117" s="53"/>
      <c r="O117" s="53">
        <v>23419483</v>
      </c>
      <c r="P117" s="53"/>
      <c r="Q117" s="53">
        <v>14939181</v>
      </c>
      <c r="R117" s="53"/>
      <c r="S117" s="53">
        <v>530119</v>
      </c>
      <c r="T117" s="53"/>
      <c r="U117" s="53">
        <v>5183436</v>
      </c>
      <c r="V117" s="53"/>
      <c r="W117" s="53">
        <f t="shared" si="40"/>
        <v>20652736</v>
      </c>
      <c r="X117" s="53"/>
      <c r="Y117" s="35" t="s">
        <v>141</v>
      </c>
      <c r="AA117" s="35" t="s">
        <v>27</v>
      </c>
      <c r="AB117" s="35"/>
      <c r="AC117" s="53">
        <v>6577437</v>
      </c>
      <c r="AD117" s="53"/>
      <c r="AE117" s="53">
        <f>4882753-1125158</f>
        <v>3757595</v>
      </c>
      <c r="AF117" s="53"/>
      <c r="AG117" s="53">
        <v>1125158</v>
      </c>
      <c r="AH117" s="53"/>
      <c r="AI117" s="45">
        <f t="shared" si="45"/>
        <v>1694684</v>
      </c>
      <c r="AJ117" s="45"/>
      <c r="AK117" s="53">
        <v>814773</v>
      </c>
      <c r="AL117" s="45"/>
      <c r="AM117" s="53">
        <v>0</v>
      </c>
      <c r="AN117" s="53"/>
      <c r="AO117" s="53">
        <v>1390934</v>
      </c>
      <c r="AP117" s="53"/>
      <c r="AQ117" s="53">
        <v>0</v>
      </c>
      <c r="AR117" s="53"/>
      <c r="AS117" s="45">
        <f t="shared" si="47"/>
        <v>1118523</v>
      </c>
      <c r="AT117" s="45"/>
      <c r="AU117" s="53">
        <v>0</v>
      </c>
      <c r="AV117" s="53"/>
      <c r="AW117" s="53">
        <v>0</v>
      </c>
      <c r="AX117" s="53"/>
      <c r="AY117" s="53">
        <f t="shared" si="41"/>
        <v>3686113</v>
      </c>
      <c r="AZ117" s="53"/>
      <c r="BA117" s="35" t="s">
        <v>141</v>
      </c>
      <c r="BC117" s="35" t="s">
        <v>27</v>
      </c>
      <c r="BD117" s="53"/>
      <c r="BE117" s="53">
        <f>18304522+1152182</f>
        <v>19456704</v>
      </c>
      <c r="BF117" s="53"/>
      <c r="BG117" s="53">
        <v>0</v>
      </c>
      <c r="BH117" s="53"/>
      <c r="BI117" s="53">
        <f>301823+16382+34486+31726</f>
        <v>384417</v>
      </c>
      <c r="BJ117" s="53"/>
      <c r="BK117" s="53">
        <f>1227262+190216+155549+70876</f>
        <v>1643903</v>
      </c>
      <c r="BL117" s="53"/>
      <c r="BM117" s="53">
        <f t="shared" si="42"/>
        <v>21485024</v>
      </c>
      <c r="BN117" s="54" t="s">
        <v>347</v>
      </c>
      <c r="BO117" s="35"/>
      <c r="BP117" s="35"/>
      <c r="BR117" s="51"/>
      <c r="BS117" s="53"/>
      <c r="BT117" s="53"/>
      <c r="BU117" s="53"/>
      <c r="BV117" s="53"/>
      <c r="BW117" s="45"/>
      <c r="BX117" s="45"/>
      <c r="BY117" s="53"/>
      <c r="BZ117" s="53"/>
      <c r="CA117" s="53"/>
      <c r="CB117" s="53"/>
      <c r="CC117" s="53"/>
      <c r="CD117" s="53"/>
      <c r="CE117" s="53"/>
      <c r="CF117" s="35"/>
      <c r="CH117" s="35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4"/>
      <c r="CT117" s="35"/>
      <c r="CU117" s="35"/>
    </row>
    <row r="118" spans="1:104" s="55" customFormat="1" ht="12.75" customHeight="1" x14ac:dyDescent="0.2">
      <c r="A118" s="35" t="s">
        <v>142</v>
      </c>
      <c r="B118" s="51"/>
      <c r="C118" s="35" t="s">
        <v>102</v>
      </c>
      <c r="D118" s="44"/>
      <c r="E118" s="53">
        <f t="shared" si="46"/>
        <v>14680898</v>
      </c>
      <c r="F118" s="53"/>
      <c r="G118" s="53">
        <v>74985659</v>
      </c>
      <c r="H118" s="53"/>
      <c r="I118" s="53">
        <v>89666557</v>
      </c>
      <c r="J118" s="53"/>
      <c r="K118" s="53">
        <f t="shared" si="44"/>
        <v>5955649</v>
      </c>
      <c r="L118" s="53"/>
      <c r="M118" s="53">
        <v>62093407</v>
      </c>
      <c r="N118" s="53"/>
      <c r="O118" s="53">
        <v>68049056</v>
      </c>
      <c r="P118" s="53"/>
      <c r="Q118" s="53">
        <v>9010810</v>
      </c>
      <c r="R118" s="53"/>
      <c r="S118" s="53">
        <v>1940365</v>
      </c>
      <c r="T118" s="53"/>
      <c r="U118" s="53">
        <v>10666326</v>
      </c>
      <c r="V118" s="53"/>
      <c r="W118" s="53">
        <f t="shared" si="40"/>
        <v>21617501</v>
      </c>
      <c r="X118" s="53"/>
      <c r="Y118" s="35" t="s">
        <v>142</v>
      </c>
      <c r="AA118" s="35" t="s">
        <v>102</v>
      </c>
      <c r="AB118" s="35"/>
      <c r="AC118" s="53">
        <v>10010386</v>
      </c>
      <c r="AD118" s="53"/>
      <c r="AE118" s="53">
        <f>5784962-2215981</f>
        <v>3568981</v>
      </c>
      <c r="AF118" s="53"/>
      <c r="AG118" s="53">
        <v>2215981</v>
      </c>
      <c r="AH118" s="53"/>
      <c r="AI118" s="45">
        <f t="shared" si="45"/>
        <v>4225424</v>
      </c>
      <c r="AJ118" s="45"/>
      <c r="AK118" s="53">
        <v>-1868341</v>
      </c>
      <c r="AL118" s="45"/>
      <c r="AM118" s="53">
        <v>0</v>
      </c>
      <c r="AN118" s="53"/>
      <c r="AO118" s="53">
        <v>0</v>
      </c>
      <c r="AP118" s="53"/>
      <c r="AQ118" s="53">
        <v>0</v>
      </c>
      <c r="AR118" s="53"/>
      <c r="AS118" s="45">
        <f t="shared" si="47"/>
        <v>2357083</v>
      </c>
      <c r="AT118" s="45"/>
      <c r="AU118" s="53">
        <v>0</v>
      </c>
      <c r="AV118" s="53"/>
      <c r="AW118" s="53">
        <v>0</v>
      </c>
      <c r="AX118" s="53"/>
      <c r="AY118" s="53">
        <f t="shared" si="41"/>
        <v>8725249</v>
      </c>
      <c r="AZ118" s="53"/>
      <c r="BA118" s="35" t="s">
        <v>142</v>
      </c>
      <c r="BC118" s="35" t="s">
        <v>102</v>
      </c>
      <c r="BD118" s="53"/>
      <c r="BE118" s="53">
        <v>0</v>
      </c>
      <c r="BF118" s="53"/>
      <c r="BG118" s="53">
        <f>23124303+725000</f>
        <v>23849303</v>
      </c>
      <c r="BH118" s="53"/>
      <c r="BI118" s="53">
        <f>38484768+3093966</f>
        <v>41578734</v>
      </c>
      <c r="BJ118" s="53"/>
      <c r="BK118" s="53">
        <f>484336+115196</f>
        <v>599532</v>
      </c>
      <c r="BL118" s="53"/>
      <c r="BM118" s="53">
        <f t="shared" si="42"/>
        <v>66027569</v>
      </c>
      <c r="BN118" s="54" t="s">
        <v>347</v>
      </c>
      <c r="BO118" s="55" t="s">
        <v>405</v>
      </c>
      <c r="BR118" s="51"/>
      <c r="BS118" s="53"/>
      <c r="BT118" s="53"/>
      <c r="BU118" s="53"/>
      <c r="BV118" s="53"/>
      <c r="BW118" s="53"/>
      <c r="BX118" s="45"/>
      <c r="BY118" s="45"/>
      <c r="BZ118" s="53"/>
      <c r="CA118" s="53"/>
      <c r="CB118" s="53"/>
      <c r="CC118" s="53"/>
      <c r="CD118" s="53"/>
      <c r="CE118" s="53"/>
      <c r="CF118" s="35"/>
      <c r="CH118" s="35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4"/>
    </row>
    <row r="119" spans="1:104" s="55" customFormat="1" ht="12.75" customHeight="1" x14ac:dyDescent="0.2">
      <c r="A119" s="35" t="s">
        <v>143</v>
      </c>
      <c r="B119" s="51"/>
      <c r="C119" s="35" t="s">
        <v>111</v>
      </c>
      <c r="D119" s="44"/>
      <c r="E119" s="53">
        <f t="shared" si="46"/>
        <v>4394151</v>
      </c>
      <c r="F119" s="53"/>
      <c r="G119" s="53">
        <v>25956186</v>
      </c>
      <c r="H119" s="53"/>
      <c r="I119" s="53">
        <v>30350337</v>
      </c>
      <c r="J119" s="53"/>
      <c r="K119" s="53">
        <f t="shared" si="44"/>
        <v>657356</v>
      </c>
      <c r="L119" s="53"/>
      <c r="M119" s="53">
        <v>8525652</v>
      </c>
      <c r="N119" s="53"/>
      <c r="O119" s="53">
        <v>9183008</v>
      </c>
      <c r="P119" s="53"/>
      <c r="Q119" s="53">
        <v>16345865</v>
      </c>
      <c r="R119" s="53"/>
      <c r="S119" s="53">
        <f>240000+874358</f>
        <v>1114358</v>
      </c>
      <c r="T119" s="53"/>
      <c r="U119" s="53">
        <v>3707106</v>
      </c>
      <c r="V119" s="53"/>
      <c r="W119" s="53">
        <f t="shared" si="40"/>
        <v>21167329</v>
      </c>
      <c r="X119" s="53"/>
      <c r="Y119" s="35" t="s">
        <v>143</v>
      </c>
      <c r="AA119" s="35" t="s">
        <v>111</v>
      </c>
      <c r="AB119" s="35"/>
      <c r="AC119" s="53">
        <v>3151762</v>
      </c>
      <c r="AD119" s="53"/>
      <c r="AE119" s="53">
        <f>2974425-1008548</f>
        <v>1965877</v>
      </c>
      <c r="AF119" s="53"/>
      <c r="AG119" s="53">
        <v>1008548</v>
      </c>
      <c r="AH119" s="53"/>
      <c r="AI119" s="45">
        <f t="shared" si="45"/>
        <v>177337</v>
      </c>
      <c r="AJ119" s="45"/>
      <c r="AK119" s="53">
        <v>-469673</v>
      </c>
      <c r="AL119" s="45"/>
      <c r="AM119" s="53">
        <v>0</v>
      </c>
      <c r="AN119" s="53"/>
      <c r="AO119" s="53">
        <v>0</v>
      </c>
      <c r="AP119" s="53"/>
      <c r="AQ119" s="53">
        <v>0</v>
      </c>
      <c r="AR119" s="53"/>
      <c r="AS119" s="45">
        <f t="shared" si="47"/>
        <v>-292336</v>
      </c>
      <c r="AT119" s="45"/>
      <c r="AU119" s="53">
        <v>0</v>
      </c>
      <c r="AV119" s="53"/>
      <c r="AW119" s="53">
        <v>0</v>
      </c>
      <c r="AX119" s="53"/>
      <c r="AY119" s="53">
        <f t="shared" si="41"/>
        <v>3736795</v>
      </c>
      <c r="AZ119" s="53"/>
      <c r="BA119" s="35" t="s">
        <v>143</v>
      </c>
      <c r="BC119" s="35" t="s">
        <v>111</v>
      </c>
      <c r="BD119" s="53"/>
      <c r="BE119" s="53">
        <v>0</v>
      </c>
      <c r="BF119" s="53"/>
      <c r="BG119" s="53">
        <f>8491013+510000</f>
        <v>9001013</v>
      </c>
      <c r="BH119" s="53"/>
      <c r="BI119" s="53">
        <v>0</v>
      </c>
      <c r="BJ119" s="53"/>
      <c r="BK119" s="53">
        <f>34639+12079</f>
        <v>46718</v>
      </c>
      <c r="BL119" s="53"/>
      <c r="BM119" s="53">
        <f t="shared" si="42"/>
        <v>9047731</v>
      </c>
      <c r="BN119" s="54" t="s">
        <v>347</v>
      </c>
      <c r="BO119" s="35"/>
      <c r="BR119" s="51"/>
      <c r="BS119" s="53"/>
      <c r="BT119" s="53"/>
      <c r="BU119" s="53"/>
      <c r="BV119" s="53"/>
      <c r="BW119" s="45"/>
      <c r="BX119" s="45"/>
      <c r="BY119" s="53"/>
      <c r="BZ119" s="53"/>
      <c r="CA119" s="53"/>
      <c r="CB119" s="53"/>
      <c r="CC119" s="53"/>
      <c r="CD119" s="53"/>
      <c r="CE119" s="53"/>
      <c r="CF119" s="35"/>
      <c r="CH119" s="35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4"/>
      <c r="CT119" s="35"/>
    </row>
    <row r="120" spans="1:104" s="55" customFormat="1" ht="12.75" customHeight="1" x14ac:dyDescent="0.2">
      <c r="A120" s="35" t="s">
        <v>144</v>
      </c>
      <c r="B120" s="51"/>
      <c r="C120" s="35" t="s">
        <v>88</v>
      </c>
      <c r="D120" s="44"/>
      <c r="E120" s="53">
        <f t="shared" si="46"/>
        <v>8758607</v>
      </c>
      <c r="F120" s="53"/>
      <c r="G120" s="53">
        <v>46077718</v>
      </c>
      <c r="H120" s="53"/>
      <c r="I120" s="53">
        <v>54836325</v>
      </c>
      <c r="J120" s="53"/>
      <c r="K120" s="53">
        <f t="shared" si="44"/>
        <v>2726683</v>
      </c>
      <c r="L120" s="53"/>
      <c r="M120" s="53">
        <v>27580791</v>
      </c>
      <c r="N120" s="53"/>
      <c r="O120" s="53">
        <v>30307474</v>
      </c>
      <c r="P120" s="53"/>
      <c r="Q120" s="53">
        <v>14443689</v>
      </c>
      <c r="R120" s="53"/>
      <c r="S120" s="53">
        <v>0</v>
      </c>
      <c r="T120" s="53"/>
      <c r="U120" s="53">
        <v>10085162</v>
      </c>
      <c r="V120" s="53"/>
      <c r="W120" s="53">
        <f t="shared" si="40"/>
        <v>24528851</v>
      </c>
      <c r="X120" s="53"/>
      <c r="Y120" s="35" t="s">
        <v>144</v>
      </c>
      <c r="AA120" s="35" t="s">
        <v>88</v>
      </c>
      <c r="AB120" s="35"/>
      <c r="AC120" s="53">
        <v>9882568</v>
      </c>
      <c r="AD120" s="53"/>
      <c r="AE120" s="53">
        <f>5771117-1690753</f>
        <v>4080364</v>
      </c>
      <c r="AF120" s="53"/>
      <c r="AG120" s="53">
        <v>1690753</v>
      </c>
      <c r="AH120" s="53"/>
      <c r="AI120" s="45">
        <f t="shared" si="45"/>
        <v>4111451</v>
      </c>
      <c r="AJ120" s="45"/>
      <c r="AK120" s="53">
        <v>-1210840</v>
      </c>
      <c r="AL120" s="45"/>
      <c r="AM120" s="53">
        <v>0</v>
      </c>
      <c r="AN120" s="53"/>
      <c r="AO120" s="53">
        <v>0</v>
      </c>
      <c r="AP120" s="53"/>
      <c r="AQ120" s="53">
        <v>0</v>
      </c>
      <c r="AR120" s="53"/>
      <c r="AS120" s="45">
        <f t="shared" si="47"/>
        <v>2900611</v>
      </c>
      <c r="AT120" s="45"/>
      <c r="AU120" s="53">
        <v>0</v>
      </c>
      <c r="AV120" s="53"/>
      <c r="AW120" s="53">
        <v>0</v>
      </c>
      <c r="AX120" s="53"/>
      <c r="AY120" s="53">
        <f t="shared" si="41"/>
        <v>6031924</v>
      </c>
      <c r="AZ120" s="53"/>
      <c r="BA120" s="35" t="s">
        <v>144</v>
      </c>
      <c r="BC120" s="35" t="s">
        <v>88</v>
      </c>
      <c r="BD120" s="53"/>
      <c r="BE120" s="53">
        <f>3176353+814738</f>
        <v>3991091</v>
      </c>
      <c r="BF120" s="53"/>
      <c r="BG120" s="53">
        <v>20291261</v>
      </c>
      <c r="BH120" s="53"/>
      <c r="BI120" s="53">
        <f>3751141+368402</f>
        <v>4119543</v>
      </c>
      <c r="BJ120" s="53"/>
      <c r="BK120" s="53">
        <f>332949+29087+25571</f>
        <v>387607</v>
      </c>
      <c r="BL120" s="53"/>
      <c r="BM120" s="53">
        <f t="shared" si="42"/>
        <v>28789502</v>
      </c>
      <c r="BN120" s="54" t="s">
        <v>347</v>
      </c>
      <c r="BR120" s="51"/>
      <c r="BS120" s="53"/>
      <c r="BT120" s="53"/>
      <c r="BU120" s="53"/>
      <c r="BV120" s="53"/>
      <c r="BW120" s="53"/>
      <c r="BX120" s="45"/>
      <c r="BY120" s="45"/>
      <c r="BZ120" s="53"/>
      <c r="CA120" s="53"/>
      <c r="CB120" s="53"/>
      <c r="CC120" s="53"/>
      <c r="CD120" s="53"/>
      <c r="CE120" s="53"/>
      <c r="CF120" s="44"/>
      <c r="CH120" s="35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4"/>
    </row>
    <row r="121" spans="1:104" s="55" customFormat="1" ht="12.75" customHeight="1" x14ac:dyDescent="0.2">
      <c r="A121" s="35" t="s">
        <v>36</v>
      </c>
      <c r="B121" s="51"/>
      <c r="C121" s="35" t="s">
        <v>145</v>
      </c>
      <c r="D121" s="44"/>
      <c r="E121" s="53">
        <f t="shared" si="46"/>
        <v>905370</v>
      </c>
      <c r="F121" s="53"/>
      <c r="G121" s="53">
        <v>10643792</v>
      </c>
      <c r="H121" s="53"/>
      <c r="I121" s="53">
        <v>11549162</v>
      </c>
      <c r="J121" s="53"/>
      <c r="K121" s="53">
        <f t="shared" si="44"/>
        <v>822941</v>
      </c>
      <c r="L121" s="53"/>
      <c r="M121" s="53">
        <v>2984140</v>
      </c>
      <c r="N121" s="53"/>
      <c r="O121" s="53">
        <v>3807081</v>
      </c>
      <c r="P121" s="53"/>
      <c r="Q121" s="53">
        <v>7479053</v>
      </c>
      <c r="R121" s="53"/>
      <c r="S121" s="53">
        <v>0</v>
      </c>
      <c r="T121" s="53"/>
      <c r="U121" s="53">
        <v>263028</v>
      </c>
      <c r="V121" s="53"/>
      <c r="W121" s="53">
        <f t="shared" si="40"/>
        <v>7742081</v>
      </c>
      <c r="X121" s="53"/>
      <c r="Y121" s="35" t="s">
        <v>36</v>
      </c>
      <c r="AA121" s="35" t="s">
        <v>145</v>
      </c>
      <c r="AB121" s="35"/>
      <c r="AC121" s="53">
        <v>1324263</v>
      </c>
      <c r="AD121" s="53"/>
      <c r="AE121" s="53">
        <f>1331048-240740</f>
        <v>1090308</v>
      </c>
      <c r="AF121" s="53"/>
      <c r="AG121" s="53">
        <v>240740</v>
      </c>
      <c r="AH121" s="53"/>
      <c r="AI121" s="45">
        <f t="shared" si="45"/>
        <v>-6785</v>
      </c>
      <c r="AJ121" s="45"/>
      <c r="AK121" s="53">
        <v>-61152</v>
      </c>
      <c r="AL121" s="45"/>
      <c r="AM121" s="53">
        <v>0</v>
      </c>
      <c r="AN121" s="53"/>
      <c r="AO121" s="53">
        <v>0</v>
      </c>
      <c r="AP121" s="53"/>
      <c r="AQ121" s="53">
        <v>0</v>
      </c>
      <c r="AR121" s="53"/>
      <c r="AS121" s="45">
        <f t="shared" si="47"/>
        <v>-67937</v>
      </c>
      <c r="AT121" s="45"/>
      <c r="AU121" s="53">
        <v>0</v>
      </c>
      <c r="AV121" s="53"/>
      <c r="AW121" s="53">
        <v>0</v>
      </c>
      <c r="AX121" s="53"/>
      <c r="AY121" s="53">
        <f t="shared" si="41"/>
        <v>82429</v>
      </c>
      <c r="AZ121" s="53"/>
      <c r="BA121" s="35" t="s">
        <v>36</v>
      </c>
      <c r="BC121" s="35" t="s">
        <v>145</v>
      </c>
      <c r="BD121" s="53"/>
      <c r="BE121" s="53">
        <v>0</v>
      </c>
      <c r="BF121" s="53"/>
      <c r="BG121" s="53">
        <v>0</v>
      </c>
      <c r="BH121" s="53"/>
      <c r="BI121" s="53">
        <f>2922438+32765</f>
        <v>2955203</v>
      </c>
      <c r="BJ121" s="53"/>
      <c r="BK121" s="53">
        <f>23308+61702</f>
        <v>85010</v>
      </c>
      <c r="BL121" s="53"/>
      <c r="BM121" s="53">
        <f t="shared" si="42"/>
        <v>3040213</v>
      </c>
      <c r="BN121" s="54" t="s">
        <v>347</v>
      </c>
      <c r="BR121" s="51"/>
      <c r="BS121" s="53"/>
      <c r="BT121" s="53"/>
      <c r="BU121" s="53"/>
      <c r="BV121" s="53"/>
      <c r="BW121" s="53"/>
      <c r="BX121" s="45"/>
      <c r="BY121" s="45"/>
      <c r="BZ121" s="53"/>
      <c r="CA121" s="53"/>
      <c r="CB121" s="53"/>
      <c r="CC121" s="53"/>
      <c r="CD121" s="53"/>
      <c r="CE121" s="53"/>
      <c r="CF121" s="35"/>
      <c r="CH121" s="35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4"/>
    </row>
    <row r="122" spans="1:104" s="55" customFormat="1" ht="12.75" customHeight="1" x14ac:dyDescent="0.2">
      <c r="A122" s="35" t="s">
        <v>146</v>
      </c>
      <c r="C122" s="35" t="s">
        <v>147</v>
      </c>
      <c r="D122" s="44"/>
      <c r="E122" s="53">
        <f t="shared" si="46"/>
        <v>2519853</v>
      </c>
      <c r="F122" s="53"/>
      <c r="G122" s="53">
        <v>31856829</v>
      </c>
      <c r="H122" s="53"/>
      <c r="I122" s="53">
        <v>34376682</v>
      </c>
      <c r="J122" s="53"/>
      <c r="K122" s="53">
        <f t="shared" si="44"/>
        <v>2113104</v>
      </c>
      <c r="L122" s="53"/>
      <c r="M122" s="53">
        <v>26615200</v>
      </c>
      <c r="N122" s="53"/>
      <c r="O122" s="53">
        <v>28728304</v>
      </c>
      <c r="P122" s="53"/>
      <c r="Q122" s="53">
        <v>3241946</v>
      </c>
      <c r="R122" s="53"/>
      <c r="S122" s="53">
        <v>0</v>
      </c>
      <c r="T122" s="53"/>
      <c r="U122" s="53">
        <v>2406432</v>
      </c>
      <c r="V122" s="53"/>
      <c r="W122" s="53">
        <f t="shared" si="40"/>
        <v>5648378</v>
      </c>
      <c r="X122" s="53"/>
      <c r="Y122" s="35" t="s">
        <v>146</v>
      </c>
      <c r="AA122" s="35" t="s">
        <v>147</v>
      </c>
      <c r="AB122" s="35"/>
      <c r="AC122" s="53">
        <v>2652787</v>
      </c>
      <c r="AD122" s="53"/>
      <c r="AE122" s="53">
        <f>2792720-1746901</f>
        <v>1045819</v>
      </c>
      <c r="AF122" s="53"/>
      <c r="AG122" s="53">
        <v>1746901</v>
      </c>
      <c r="AH122" s="53"/>
      <c r="AI122" s="45">
        <f t="shared" si="45"/>
        <v>-139933</v>
      </c>
      <c r="AJ122" s="45"/>
      <c r="AK122" s="53">
        <v>-297818</v>
      </c>
      <c r="AL122" s="45"/>
      <c r="AM122" s="53">
        <v>0</v>
      </c>
      <c r="AN122" s="53"/>
      <c r="AO122" s="53">
        <v>0</v>
      </c>
      <c r="AP122" s="53"/>
      <c r="AQ122" s="53">
        <v>0</v>
      </c>
      <c r="AR122" s="53"/>
      <c r="AS122" s="45">
        <f t="shared" si="47"/>
        <v>-437751</v>
      </c>
      <c r="AT122" s="45"/>
      <c r="AU122" s="53">
        <v>0</v>
      </c>
      <c r="AV122" s="53"/>
      <c r="AW122" s="53">
        <v>0</v>
      </c>
      <c r="AX122" s="53"/>
      <c r="AY122" s="53">
        <f t="shared" si="41"/>
        <v>406749</v>
      </c>
      <c r="AZ122" s="53"/>
      <c r="BA122" s="35" t="s">
        <v>146</v>
      </c>
      <c r="BC122" s="35" t="s">
        <v>147</v>
      </c>
      <c r="BD122" s="53"/>
      <c r="BE122" s="53">
        <v>0</v>
      </c>
      <c r="BF122" s="53"/>
      <c r="BG122" s="53">
        <v>0</v>
      </c>
      <c r="BH122" s="53"/>
      <c r="BI122" s="53">
        <f>26552517+2062366</f>
        <v>28614883</v>
      </c>
      <c r="BJ122" s="53"/>
      <c r="BK122" s="53">
        <f>40000+22683+10674</f>
        <v>73357</v>
      </c>
      <c r="BL122" s="53"/>
      <c r="BM122" s="53">
        <f t="shared" si="42"/>
        <v>28688240</v>
      </c>
      <c r="BN122" s="54" t="s">
        <v>347</v>
      </c>
      <c r="BR122" s="51"/>
      <c r="BS122" s="53"/>
      <c r="BT122" s="53"/>
      <c r="BU122" s="53"/>
      <c r="BV122" s="53"/>
      <c r="BW122" s="53"/>
      <c r="BX122" s="45"/>
      <c r="BY122" s="45"/>
      <c r="BZ122" s="53"/>
      <c r="CA122" s="53"/>
      <c r="CB122" s="53"/>
      <c r="CC122" s="53"/>
      <c r="CD122" s="53"/>
      <c r="CE122" s="53"/>
      <c r="CF122" s="35"/>
      <c r="CH122" s="35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4"/>
    </row>
    <row r="123" spans="1:104" s="55" customFormat="1" ht="12.75" customHeight="1" x14ac:dyDescent="0.2">
      <c r="A123" s="35" t="s">
        <v>17</v>
      </c>
      <c r="B123" s="51"/>
      <c r="C123" s="35" t="s">
        <v>17</v>
      </c>
      <c r="D123" s="44"/>
      <c r="E123" s="53">
        <f t="shared" si="46"/>
        <v>10455069</v>
      </c>
      <c r="F123" s="53"/>
      <c r="G123" s="53">
        <v>79186959</v>
      </c>
      <c r="H123" s="53"/>
      <c r="I123" s="53">
        <v>89642028</v>
      </c>
      <c r="J123" s="53"/>
      <c r="K123" s="53">
        <f t="shared" si="44"/>
        <v>4187935</v>
      </c>
      <c r="L123" s="53"/>
      <c r="M123" s="53">
        <v>33527869</v>
      </c>
      <c r="N123" s="53"/>
      <c r="O123" s="53">
        <v>37715804</v>
      </c>
      <c r="P123" s="53"/>
      <c r="Q123" s="53">
        <v>43182711</v>
      </c>
      <c r="R123" s="53"/>
      <c r="S123" s="53">
        <v>980947</v>
      </c>
      <c r="T123" s="53"/>
      <c r="U123" s="53">
        <v>7762566</v>
      </c>
      <c r="V123" s="53"/>
      <c r="W123" s="53">
        <f t="shared" si="40"/>
        <v>51926224</v>
      </c>
      <c r="X123" s="53"/>
      <c r="Y123" s="35" t="s">
        <v>17</v>
      </c>
      <c r="AA123" s="35" t="s">
        <v>17</v>
      </c>
      <c r="AB123" s="35"/>
      <c r="AC123" s="53">
        <v>14057496</v>
      </c>
      <c r="AD123" s="53"/>
      <c r="AE123" s="53">
        <f>12125343-1964173</f>
        <v>10161170</v>
      </c>
      <c r="AF123" s="53"/>
      <c r="AG123" s="53">
        <v>1964173</v>
      </c>
      <c r="AH123" s="53"/>
      <c r="AI123" s="45">
        <f t="shared" si="45"/>
        <v>1932153</v>
      </c>
      <c r="AJ123" s="45"/>
      <c r="AK123" s="53">
        <v>-1250681</v>
      </c>
      <c r="AL123" s="45"/>
      <c r="AM123" s="53">
        <v>0</v>
      </c>
      <c r="AN123" s="53"/>
      <c r="AO123" s="53">
        <v>50000</v>
      </c>
      <c r="AP123" s="53"/>
      <c r="AQ123" s="53">
        <v>3612676</v>
      </c>
      <c r="AR123" s="53"/>
      <c r="AS123" s="45">
        <f t="shared" si="47"/>
        <v>4244148</v>
      </c>
      <c r="AT123" s="45"/>
      <c r="AU123" s="53">
        <v>0</v>
      </c>
      <c r="AV123" s="53"/>
      <c r="AW123" s="53">
        <v>0</v>
      </c>
      <c r="AX123" s="53"/>
      <c r="AY123" s="53">
        <f t="shared" si="41"/>
        <v>6267134</v>
      </c>
      <c r="AZ123" s="53"/>
      <c r="BA123" s="35" t="s">
        <v>17</v>
      </c>
      <c r="BC123" s="35" t="s">
        <v>17</v>
      </c>
      <c r="BD123" s="53"/>
      <c r="BE123" s="53">
        <f>79436+24317</f>
        <v>103753</v>
      </c>
      <c r="BF123" s="53"/>
      <c r="BG123" s="53">
        <v>0</v>
      </c>
      <c r="BH123" s="53"/>
      <c r="BI123" s="53">
        <f>32891140+2671846</f>
        <v>35562986</v>
      </c>
      <c r="BJ123" s="53"/>
      <c r="BK123" s="53">
        <f>9931+547362+52181+82648</f>
        <v>692122</v>
      </c>
      <c r="BL123" s="53"/>
      <c r="BM123" s="53">
        <f t="shared" si="42"/>
        <v>36358861</v>
      </c>
      <c r="BN123" s="54" t="s">
        <v>347</v>
      </c>
      <c r="BR123" s="51"/>
      <c r="BS123" s="53"/>
      <c r="BT123" s="53"/>
      <c r="BU123" s="53"/>
      <c r="BV123" s="53"/>
      <c r="BW123" s="53"/>
      <c r="BX123" s="45"/>
      <c r="BY123" s="45"/>
      <c r="BZ123" s="53"/>
      <c r="CA123" s="53"/>
      <c r="CB123" s="53"/>
      <c r="CC123" s="53"/>
      <c r="CD123" s="53"/>
      <c r="CE123" s="53"/>
      <c r="CF123" s="35"/>
      <c r="CH123" s="35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4"/>
    </row>
    <row r="124" spans="1:104" s="55" customFormat="1" ht="12.75" customHeight="1" x14ac:dyDescent="0.2">
      <c r="A124" s="35" t="s">
        <v>148</v>
      </c>
      <c r="B124" s="51"/>
      <c r="C124" s="35" t="s">
        <v>15</v>
      </c>
      <c r="D124" s="44"/>
      <c r="E124" s="53">
        <f t="shared" si="46"/>
        <v>915600</v>
      </c>
      <c r="F124" s="53"/>
      <c r="G124" s="53">
        <v>5133445</v>
      </c>
      <c r="H124" s="53"/>
      <c r="I124" s="53">
        <v>6049045</v>
      </c>
      <c r="J124" s="53"/>
      <c r="K124" s="53">
        <f t="shared" si="44"/>
        <v>456659</v>
      </c>
      <c r="L124" s="53"/>
      <c r="M124" s="53">
        <f>17571+48536+732761</f>
        <v>798868</v>
      </c>
      <c r="N124" s="53"/>
      <c r="O124" s="53">
        <v>1255527</v>
      </c>
      <c r="P124" s="53"/>
      <c r="Q124" s="53">
        <v>3984508</v>
      </c>
      <c r="R124" s="53"/>
      <c r="S124" s="53">
        <v>0</v>
      </c>
      <c r="T124" s="53"/>
      <c r="U124" s="53">
        <v>809010</v>
      </c>
      <c r="V124" s="53"/>
      <c r="W124" s="53">
        <f t="shared" si="40"/>
        <v>4793518</v>
      </c>
      <c r="X124" s="53"/>
      <c r="Y124" s="35" t="s">
        <v>148</v>
      </c>
      <c r="AA124" s="35" t="s">
        <v>15</v>
      </c>
      <c r="AB124" s="35"/>
      <c r="AC124" s="53">
        <v>884058</v>
      </c>
      <c r="AD124" s="53"/>
      <c r="AE124" s="53">
        <f>982409-188629</f>
        <v>793780</v>
      </c>
      <c r="AF124" s="53"/>
      <c r="AG124" s="53">
        <v>188629</v>
      </c>
      <c r="AH124" s="53"/>
      <c r="AI124" s="45">
        <f t="shared" si="45"/>
        <v>-98351</v>
      </c>
      <c r="AJ124" s="45"/>
      <c r="AK124" s="53">
        <v>845248</v>
      </c>
      <c r="AL124" s="45"/>
      <c r="AM124" s="53">
        <v>0</v>
      </c>
      <c r="AN124" s="53"/>
      <c r="AO124" s="53">
        <v>0</v>
      </c>
      <c r="AP124" s="53"/>
      <c r="AQ124" s="53">
        <v>15813</v>
      </c>
      <c r="AR124" s="53"/>
      <c r="AS124" s="45">
        <f t="shared" si="47"/>
        <v>762710</v>
      </c>
      <c r="AT124" s="45"/>
      <c r="AU124" s="53">
        <v>0</v>
      </c>
      <c r="AV124" s="53"/>
      <c r="AW124" s="53">
        <v>0</v>
      </c>
      <c r="AX124" s="53"/>
      <c r="AY124" s="53">
        <f t="shared" si="41"/>
        <v>458941</v>
      </c>
      <c r="AZ124" s="53"/>
      <c r="BA124" s="35" t="s">
        <v>148</v>
      </c>
      <c r="BC124" s="35" t="s">
        <v>15</v>
      </c>
      <c r="BD124" s="53"/>
      <c r="BE124" s="53">
        <f>732761+285800</f>
        <v>1018561</v>
      </c>
      <c r="BF124" s="53"/>
      <c r="BG124" s="53">
        <v>0</v>
      </c>
      <c r="BH124" s="53"/>
      <c r="BI124" s="53">
        <v>0</v>
      </c>
      <c r="BJ124" s="53"/>
      <c r="BK124" s="53">
        <f>17571+48536+81840+22617</f>
        <v>170564</v>
      </c>
      <c r="BL124" s="53"/>
      <c r="BM124" s="53">
        <f t="shared" si="42"/>
        <v>1189125</v>
      </c>
      <c r="BN124" s="54" t="s">
        <v>347</v>
      </c>
      <c r="BR124" s="51"/>
      <c r="BS124" s="53"/>
      <c r="BT124" s="53"/>
      <c r="BU124" s="53"/>
      <c r="BV124" s="53"/>
      <c r="BW124" s="53"/>
      <c r="BX124" s="45"/>
      <c r="BY124" s="45"/>
      <c r="BZ124" s="53"/>
      <c r="CA124" s="53"/>
      <c r="CB124" s="53"/>
      <c r="CC124" s="53"/>
      <c r="CD124" s="53"/>
      <c r="CE124" s="53"/>
      <c r="CF124" s="35"/>
      <c r="CH124" s="35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4"/>
    </row>
    <row r="125" spans="1:104" s="55" customFormat="1" ht="12.75" customHeight="1" x14ac:dyDescent="0.2">
      <c r="A125" s="35" t="s">
        <v>149</v>
      </c>
      <c r="B125" s="51"/>
      <c r="C125" s="35" t="s">
        <v>45</v>
      </c>
      <c r="D125" s="44"/>
      <c r="E125" s="53">
        <f t="shared" si="46"/>
        <v>1110120</v>
      </c>
      <c r="F125" s="53"/>
      <c r="G125" s="53">
        <f>59490+1244480</f>
        <v>1303970</v>
      </c>
      <c r="H125" s="53"/>
      <c r="I125" s="53">
        <v>2414090</v>
      </c>
      <c r="J125" s="53"/>
      <c r="K125" s="53">
        <f t="shared" si="44"/>
        <v>570135</v>
      </c>
      <c r="L125" s="53"/>
      <c r="M125" s="53">
        <v>7200</v>
      </c>
      <c r="N125" s="53"/>
      <c r="O125" s="53">
        <v>577335</v>
      </c>
      <c r="P125" s="53"/>
      <c r="Q125" s="53">
        <v>1292770</v>
      </c>
      <c r="R125" s="53"/>
      <c r="S125" s="53">
        <v>0</v>
      </c>
      <c r="T125" s="53"/>
      <c r="U125" s="53">
        <v>543985</v>
      </c>
      <c r="V125" s="53"/>
      <c r="W125" s="53">
        <f t="shared" si="40"/>
        <v>1836755</v>
      </c>
      <c r="X125" s="53"/>
      <c r="Y125" s="35" t="s">
        <v>149</v>
      </c>
      <c r="AA125" s="35" t="s">
        <v>45</v>
      </c>
      <c r="AB125" s="35"/>
      <c r="AC125" s="53">
        <v>3259099</v>
      </c>
      <c r="AD125" s="53"/>
      <c r="AE125" s="53">
        <f>3002566-59665</f>
        <v>2942901</v>
      </c>
      <c r="AF125" s="53"/>
      <c r="AG125" s="53">
        <v>59665</v>
      </c>
      <c r="AH125" s="53"/>
      <c r="AI125" s="45">
        <f t="shared" si="45"/>
        <v>256533</v>
      </c>
      <c r="AJ125" s="45"/>
      <c r="AK125" s="53">
        <v>-339</v>
      </c>
      <c r="AL125" s="45"/>
      <c r="AM125" s="53">
        <v>4330</v>
      </c>
      <c r="AN125" s="53"/>
      <c r="AO125" s="53">
        <v>0</v>
      </c>
      <c r="AP125" s="53"/>
      <c r="AQ125" s="53">
        <v>0</v>
      </c>
      <c r="AR125" s="53"/>
      <c r="AS125" s="45">
        <f t="shared" si="47"/>
        <v>260524</v>
      </c>
      <c r="AT125" s="45"/>
      <c r="AU125" s="53">
        <v>0</v>
      </c>
      <c r="AV125" s="53"/>
      <c r="AW125" s="53">
        <v>0</v>
      </c>
      <c r="AX125" s="53"/>
      <c r="AY125" s="53">
        <f t="shared" si="41"/>
        <v>539985</v>
      </c>
      <c r="AZ125" s="53"/>
      <c r="BA125" s="35" t="s">
        <v>149</v>
      </c>
      <c r="BC125" s="35" t="s">
        <v>45</v>
      </c>
      <c r="BD125" s="53"/>
      <c r="BE125" s="53">
        <f>7200+4000</f>
        <v>11200</v>
      </c>
      <c r="BF125" s="53"/>
      <c r="BG125" s="53">
        <v>0</v>
      </c>
      <c r="BH125" s="53"/>
      <c r="BI125" s="53">
        <v>0</v>
      </c>
      <c r="BJ125" s="53"/>
      <c r="BK125" s="53">
        <v>0</v>
      </c>
      <c r="BL125" s="53"/>
      <c r="BM125" s="53">
        <f t="shared" si="42"/>
        <v>11200</v>
      </c>
      <c r="BN125" s="54" t="s">
        <v>347</v>
      </c>
      <c r="BR125" s="51"/>
      <c r="BS125" s="53"/>
      <c r="BT125" s="53"/>
      <c r="BU125" s="53"/>
      <c r="BV125" s="53"/>
      <c r="BW125" s="45"/>
      <c r="BX125" s="45"/>
      <c r="BY125" s="53"/>
      <c r="BZ125" s="53"/>
      <c r="CA125" s="53"/>
      <c r="CB125" s="53"/>
      <c r="CC125" s="53"/>
      <c r="CD125" s="53"/>
      <c r="CE125" s="53"/>
      <c r="CF125" s="35"/>
      <c r="CH125" s="35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4"/>
    </row>
    <row r="126" spans="1:104" s="140" customFormat="1" ht="12.75" hidden="1" customHeight="1" x14ac:dyDescent="0.2">
      <c r="A126" s="126" t="s">
        <v>150</v>
      </c>
      <c r="B126" s="124"/>
      <c r="C126" s="126" t="s">
        <v>27</v>
      </c>
      <c r="D126" s="121"/>
      <c r="E126" s="53">
        <f t="shared" si="46"/>
        <v>0</v>
      </c>
      <c r="F126" s="53"/>
      <c r="G126" s="53"/>
      <c r="H126" s="53"/>
      <c r="I126" s="53"/>
      <c r="J126" s="53"/>
      <c r="K126" s="53">
        <f t="shared" si="44"/>
        <v>0</v>
      </c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>
        <f t="shared" si="40"/>
        <v>0</v>
      </c>
      <c r="X126" s="137"/>
      <c r="Y126" s="126" t="s">
        <v>150</v>
      </c>
      <c r="AA126" s="126" t="s">
        <v>27</v>
      </c>
      <c r="AB126" s="126"/>
      <c r="AC126" s="53"/>
      <c r="AD126" s="53"/>
      <c r="AE126" s="53"/>
      <c r="AF126" s="53"/>
      <c r="AG126" s="53"/>
      <c r="AH126" s="53"/>
      <c r="AI126" s="45">
        <f t="shared" si="45"/>
        <v>0</v>
      </c>
      <c r="AJ126" s="45"/>
      <c r="AK126" s="53"/>
      <c r="AL126" s="45"/>
      <c r="AM126" s="53"/>
      <c r="AN126" s="53"/>
      <c r="AO126" s="53"/>
      <c r="AP126" s="53"/>
      <c r="AQ126" s="53"/>
      <c r="AR126" s="53"/>
      <c r="AS126" s="45">
        <f t="shared" si="47"/>
        <v>0</v>
      </c>
      <c r="AT126" s="45"/>
      <c r="AU126" s="53">
        <v>0</v>
      </c>
      <c r="AV126" s="53"/>
      <c r="AW126" s="53">
        <v>0</v>
      </c>
      <c r="AX126" s="53"/>
      <c r="AY126" s="53">
        <f t="shared" si="41"/>
        <v>0</v>
      </c>
      <c r="AZ126" s="53"/>
      <c r="BA126" s="126" t="s">
        <v>150</v>
      </c>
      <c r="BC126" s="126" t="s">
        <v>27</v>
      </c>
      <c r="BD126" s="137"/>
      <c r="BE126" s="53"/>
      <c r="BF126" s="53"/>
      <c r="BG126" s="53"/>
      <c r="BH126" s="53"/>
      <c r="BI126" s="53"/>
      <c r="BJ126" s="53"/>
      <c r="BK126" s="53"/>
      <c r="BL126" s="137"/>
      <c r="BM126" s="137">
        <f t="shared" si="42"/>
        <v>0</v>
      </c>
      <c r="BN126" s="139" t="s">
        <v>347</v>
      </c>
      <c r="BO126" s="126"/>
      <c r="BR126" s="124"/>
      <c r="BS126" s="137"/>
      <c r="BT126" s="137"/>
      <c r="BU126" s="137"/>
      <c r="BV126" s="137"/>
      <c r="BW126" s="127"/>
      <c r="BX126" s="127"/>
      <c r="BY126" s="137"/>
      <c r="BZ126" s="137"/>
      <c r="CA126" s="137"/>
      <c r="CB126" s="137"/>
      <c r="CC126" s="137"/>
      <c r="CD126" s="137"/>
      <c r="CE126" s="137"/>
      <c r="CF126" s="126"/>
      <c r="CH126" s="126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9"/>
      <c r="CT126" s="126"/>
    </row>
    <row r="127" spans="1:104" s="140" customFormat="1" ht="12.75" hidden="1" customHeight="1" x14ac:dyDescent="0.2">
      <c r="A127" s="126" t="s">
        <v>151</v>
      </c>
      <c r="B127" s="124"/>
      <c r="C127" s="126" t="s">
        <v>13</v>
      </c>
      <c r="D127" s="121"/>
      <c r="E127" s="53">
        <f t="shared" si="46"/>
        <v>0</v>
      </c>
      <c r="F127" s="53"/>
      <c r="G127" s="53"/>
      <c r="H127" s="53"/>
      <c r="I127" s="53"/>
      <c r="J127" s="53"/>
      <c r="K127" s="53">
        <f t="shared" si="44"/>
        <v>0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>
        <f t="shared" si="40"/>
        <v>0</v>
      </c>
      <c r="X127" s="137"/>
      <c r="Y127" s="126" t="s">
        <v>151</v>
      </c>
      <c r="AA127" s="126" t="s">
        <v>13</v>
      </c>
      <c r="AB127" s="126"/>
      <c r="AC127" s="53"/>
      <c r="AD127" s="53"/>
      <c r="AE127" s="53"/>
      <c r="AF127" s="53"/>
      <c r="AG127" s="53"/>
      <c r="AH127" s="53"/>
      <c r="AI127" s="45">
        <f t="shared" si="45"/>
        <v>0</v>
      </c>
      <c r="AJ127" s="45"/>
      <c r="AK127" s="53"/>
      <c r="AL127" s="45"/>
      <c r="AM127" s="53"/>
      <c r="AN127" s="53"/>
      <c r="AO127" s="53"/>
      <c r="AP127" s="53"/>
      <c r="AQ127" s="53"/>
      <c r="AR127" s="53"/>
      <c r="AS127" s="45">
        <f t="shared" si="47"/>
        <v>0</v>
      </c>
      <c r="AT127" s="45"/>
      <c r="AU127" s="53">
        <v>0</v>
      </c>
      <c r="AV127" s="53"/>
      <c r="AW127" s="53">
        <v>0</v>
      </c>
      <c r="AX127" s="53"/>
      <c r="AY127" s="53">
        <f t="shared" si="41"/>
        <v>0</v>
      </c>
      <c r="AZ127" s="53"/>
      <c r="BA127" s="126" t="s">
        <v>151</v>
      </c>
      <c r="BC127" s="126" t="s">
        <v>13</v>
      </c>
      <c r="BD127" s="137"/>
      <c r="BE127" s="53"/>
      <c r="BF127" s="53"/>
      <c r="BG127" s="53"/>
      <c r="BH127" s="53"/>
      <c r="BI127" s="53"/>
      <c r="BJ127" s="53"/>
      <c r="BK127" s="53"/>
      <c r="BL127" s="137"/>
      <c r="BM127" s="137">
        <f t="shared" si="42"/>
        <v>0</v>
      </c>
      <c r="BN127" s="139" t="s">
        <v>347</v>
      </c>
      <c r="BR127" s="124"/>
      <c r="BS127" s="137"/>
      <c r="BT127" s="137"/>
      <c r="BU127" s="137"/>
      <c r="BV127" s="137"/>
      <c r="BW127" s="137"/>
      <c r="BX127" s="127"/>
      <c r="BY127" s="127"/>
      <c r="BZ127" s="137"/>
      <c r="CA127" s="137"/>
      <c r="CB127" s="137"/>
      <c r="CC127" s="137"/>
      <c r="CD127" s="137"/>
      <c r="CE127" s="137"/>
      <c r="CF127" s="126"/>
      <c r="CH127" s="126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9"/>
    </row>
    <row r="128" spans="1:104" s="55" customFormat="1" ht="12.75" customHeight="1" x14ac:dyDescent="0.2">
      <c r="A128" s="35" t="s">
        <v>152</v>
      </c>
      <c r="B128" s="51"/>
      <c r="C128" s="35" t="s">
        <v>153</v>
      </c>
      <c r="D128" s="44"/>
      <c r="E128" s="53">
        <f t="shared" si="46"/>
        <v>10977707</v>
      </c>
      <c r="F128" s="53"/>
      <c r="G128" s="53">
        <v>30181499</v>
      </c>
      <c r="H128" s="53"/>
      <c r="I128" s="53">
        <v>41159206</v>
      </c>
      <c r="J128" s="53"/>
      <c r="K128" s="53">
        <f t="shared" si="44"/>
        <v>241320</v>
      </c>
      <c r="L128" s="53"/>
      <c r="M128" s="53">
        <v>2565990</v>
      </c>
      <c r="N128" s="53"/>
      <c r="O128" s="53">
        <v>2807310</v>
      </c>
      <c r="P128" s="53"/>
      <c r="Q128" s="53">
        <v>28073532</v>
      </c>
      <c r="R128" s="53"/>
      <c r="S128" s="53">
        <v>3231968</v>
      </c>
      <c r="T128" s="53"/>
      <c r="U128" s="53">
        <v>7046396</v>
      </c>
      <c r="V128" s="53"/>
      <c r="W128" s="53">
        <f t="shared" si="40"/>
        <v>38351896</v>
      </c>
      <c r="X128" s="53"/>
      <c r="Y128" s="35" t="s">
        <v>152</v>
      </c>
      <c r="AA128" s="35" t="s">
        <v>153</v>
      </c>
      <c r="AB128" s="35"/>
      <c r="AC128" s="53">
        <v>8219010</v>
      </c>
      <c r="AD128" s="53"/>
      <c r="AE128" s="53">
        <f>8339930-2208658</f>
        <v>6131272</v>
      </c>
      <c r="AF128" s="53"/>
      <c r="AG128" s="53">
        <v>2208658</v>
      </c>
      <c r="AH128" s="53"/>
      <c r="AI128" s="45">
        <f t="shared" si="45"/>
        <v>-120920</v>
      </c>
      <c r="AJ128" s="45"/>
      <c r="AK128" s="53">
        <v>-78945</v>
      </c>
      <c r="AL128" s="45"/>
      <c r="AM128" s="53">
        <v>0</v>
      </c>
      <c r="AN128" s="53"/>
      <c r="AO128" s="53">
        <v>0</v>
      </c>
      <c r="AP128" s="53"/>
      <c r="AQ128" s="53">
        <v>0</v>
      </c>
      <c r="AR128" s="53"/>
      <c r="AS128" s="45">
        <f t="shared" si="47"/>
        <v>-199865</v>
      </c>
      <c r="AT128" s="45"/>
      <c r="AU128" s="53">
        <v>0</v>
      </c>
      <c r="AV128" s="53"/>
      <c r="AW128" s="53">
        <v>0</v>
      </c>
      <c r="AX128" s="53"/>
      <c r="AY128" s="53">
        <f t="shared" si="41"/>
        <v>10736387</v>
      </c>
      <c r="AZ128" s="53"/>
      <c r="BA128" s="35" t="s">
        <v>152</v>
      </c>
      <c r="BC128" s="35" t="s">
        <v>153</v>
      </c>
      <c r="BD128" s="53"/>
      <c r="BE128" s="53">
        <f>975000+35000</f>
        <v>1010000</v>
      </c>
      <c r="BF128" s="53"/>
      <c r="BG128" s="53">
        <v>0</v>
      </c>
      <c r="BH128" s="53"/>
      <c r="BI128" s="53">
        <v>0</v>
      </c>
      <c r="BJ128" s="53"/>
      <c r="BK128" s="53">
        <f>458023+1132967</f>
        <v>1590990</v>
      </c>
      <c r="BL128" s="53"/>
      <c r="BM128" s="53">
        <f t="shared" si="42"/>
        <v>2600990</v>
      </c>
      <c r="BN128" s="54" t="s">
        <v>347</v>
      </c>
      <c r="BO128" s="55" t="s">
        <v>405</v>
      </c>
      <c r="BP128" s="35"/>
      <c r="BQ128" s="35"/>
      <c r="BR128" s="51"/>
      <c r="BS128" s="53"/>
      <c r="BT128" s="53"/>
      <c r="BU128" s="53"/>
      <c r="BV128" s="53"/>
      <c r="BW128" s="45"/>
      <c r="BX128" s="45"/>
      <c r="BY128" s="53"/>
      <c r="BZ128" s="53"/>
      <c r="CA128" s="53"/>
      <c r="CB128" s="53"/>
      <c r="CC128" s="53"/>
      <c r="CD128" s="53"/>
      <c r="CE128" s="53"/>
      <c r="CF128" s="35"/>
      <c r="CH128" s="35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4"/>
      <c r="CU128" s="35"/>
      <c r="CV128" s="35"/>
      <c r="CW128" s="35"/>
      <c r="CX128" s="35"/>
      <c r="CY128" s="35"/>
      <c r="CZ128" s="35"/>
    </row>
    <row r="129" spans="1:98" s="140" customFormat="1" ht="12.75" hidden="1" customHeight="1" x14ac:dyDescent="0.2">
      <c r="A129" s="126" t="s">
        <v>154</v>
      </c>
      <c r="B129" s="124"/>
      <c r="C129" s="126" t="s">
        <v>27</v>
      </c>
      <c r="D129" s="121"/>
      <c r="E129" s="53">
        <f t="shared" si="46"/>
        <v>0</v>
      </c>
      <c r="F129" s="53"/>
      <c r="G129" s="53"/>
      <c r="H129" s="53"/>
      <c r="I129" s="53"/>
      <c r="J129" s="53"/>
      <c r="K129" s="53">
        <f t="shared" si="44"/>
        <v>0</v>
      </c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>
        <f t="shared" si="40"/>
        <v>0</v>
      </c>
      <c r="X129" s="137"/>
      <c r="Y129" s="126" t="s">
        <v>154</v>
      </c>
      <c r="AA129" s="126" t="s">
        <v>27</v>
      </c>
      <c r="AB129" s="126"/>
      <c r="AC129" s="53"/>
      <c r="AD129" s="53"/>
      <c r="AE129" s="53"/>
      <c r="AF129" s="53"/>
      <c r="AG129" s="53"/>
      <c r="AH129" s="53"/>
      <c r="AI129" s="45">
        <f t="shared" si="45"/>
        <v>0</v>
      </c>
      <c r="AJ129" s="45"/>
      <c r="AK129" s="53"/>
      <c r="AL129" s="45"/>
      <c r="AM129" s="53"/>
      <c r="AN129" s="53"/>
      <c r="AO129" s="53"/>
      <c r="AP129" s="53"/>
      <c r="AQ129" s="53"/>
      <c r="AR129" s="53"/>
      <c r="AS129" s="45">
        <f t="shared" si="47"/>
        <v>0</v>
      </c>
      <c r="AT129" s="45"/>
      <c r="AU129" s="53">
        <v>0</v>
      </c>
      <c r="AV129" s="53"/>
      <c r="AW129" s="53">
        <v>0</v>
      </c>
      <c r="AX129" s="53"/>
      <c r="AY129" s="53">
        <f t="shared" si="41"/>
        <v>0</v>
      </c>
      <c r="AZ129" s="53"/>
      <c r="BA129" s="126" t="s">
        <v>154</v>
      </c>
      <c r="BC129" s="126" t="s">
        <v>27</v>
      </c>
      <c r="BD129" s="137"/>
      <c r="BE129" s="53"/>
      <c r="BF129" s="53"/>
      <c r="BG129" s="53"/>
      <c r="BH129" s="53"/>
      <c r="BI129" s="53"/>
      <c r="BJ129" s="53"/>
      <c r="BK129" s="53"/>
      <c r="BL129" s="137"/>
      <c r="BM129" s="137">
        <f t="shared" si="42"/>
        <v>0</v>
      </c>
      <c r="BN129" s="139" t="s">
        <v>347</v>
      </c>
      <c r="BR129" s="124"/>
      <c r="BS129" s="137"/>
      <c r="BT129" s="137"/>
      <c r="BU129" s="137"/>
      <c r="BV129" s="137"/>
      <c r="BW129" s="127"/>
      <c r="BX129" s="127"/>
      <c r="BY129" s="137"/>
      <c r="BZ129" s="137"/>
      <c r="CA129" s="137"/>
      <c r="CB129" s="137"/>
      <c r="CC129" s="137"/>
      <c r="CD129" s="137"/>
      <c r="CE129" s="137"/>
      <c r="CF129" s="126"/>
      <c r="CH129" s="126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9"/>
    </row>
    <row r="130" spans="1:98" s="55" customFormat="1" ht="12.75" customHeight="1" x14ac:dyDescent="0.2">
      <c r="A130" s="35" t="s">
        <v>155</v>
      </c>
      <c r="C130" s="35" t="s">
        <v>40</v>
      </c>
      <c r="D130" s="44"/>
      <c r="E130" s="53">
        <f t="shared" si="46"/>
        <v>4386735</v>
      </c>
      <c r="F130" s="53"/>
      <c r="G130" s="53">
        <v>7056500</v>
      </c>
      <c r="H130" s="53"/>
      <c r="I130" s="53">
        <v>11443235</v>
      </c>
      <c r="J130" s="53"/>
      <c r="K130" s="53">
        <f t="shared" si="44"/>
        <v>393949</v>
      </c>
      <c r="L130" s="53"/>
      <c r="M130" s="53">
        <v>1633106</v>
      </c>
      <c r="N130" s="53"/>
      <c r="O130" s="53">
        <v>2027055</v>
      </c>
      <c r="P130" s="53"/>
      <c r="Q130" s="53">
        <v>5737191</v>
      </c>
      <c r="R130" s="53"/>
      <c r="S130" s="53">
        <v>0</v>
      </c>
      <c r="T130" s="53"/>
      <c r="U130" s="53">
        <v>3678989</v>
      </c>
      <c r="V130" s="53"/>
      <c r="W130" s="53">
        <f t="shared" si="40"/>
        <v>9416180</v>
      </c>
      <c r="X130" s="53"/>
      <c r="Y130" s="35" t="s">
        <v>155</v>
      </c>
      <c r="AA130" s="35" t="s">
        <v>40</v>
      </c>
      <c r="AB130" s="35"/>
      <c r="AC130" s="53">
        <v>2805835</v>
      </c>
      <c r="AD130" s="53"/>
      <c r="AE130" s="53">
        <f>2832598-408075</f>
        <v>2424523</v>
      </c>
      <c r="AF130" s="53"/>
      <c r="AG130" s="53">
        <v>408075</v>
      </c>
      <c r="AH130" s="53"/>
      <c r="AI130" s="45">
        <f t="shared" si="45"/>
        <v>-26763</v>
      </c>
      <c r="AJ130" s="45"/>
      <c r="AK130" s="53">
        <v>509835</v>
      </c>
      <c r="AL130" s="45"/>
      <c r="AM130" s="53">
        <v>0</v>
      </c>
      <c r="AN130" s="53"/>
      <c r="AO130" s="53">
        <v>0</v>
      </c>
      <c r="AP130" s="53"/>
      <c r="AQ130" s="53">
        <v>0</v>
      </c>
      <c r="AR130" s="53"/>
      <c r="AS130" s="45">
        <f t="shared" si="47"/>
        <v>483072</v>
      </c>
      <c r="AT130" s="45"/>
      <c r="AU130" s="53">
        <v>0</v>
      </c>
      <c r="AV130" s="53"/>
      <c r="AW130" s="53">
        <v>0</v>
      </c>
      <c r="AX130" s="53"/>
      <c r="AY130" s="53">
        <f t="shared" si="41"/>
        <v>3992786</v>
      </c>
      <c r="AZ130" s="53"/>
      <c r="BA130" s="35" t="s">
        <v>155</v>
      </c>
      <c r="BC130" s="35" t="s">
        <v>40</v>
      </c>
      <c r="BD130" s="53"/>
      <c r="BE130" s="53">
        <v>0</v>
      </c>
      <c r="BF130" s="53"/>
      <c r="BG130" s="53">
        <v>0</v>
      </c>
      <c r="BH130" s="53"/>
      <c r="BI130" s="53">
        <f>810877+241866+11507+10657</f>
        <v>1074907</v>
      </c>
      <c r="BJ130" s="53"/>
      <c r="BK130" s="53">
        <f>18363+562000+6395+32000</f>
        <v>618758</v>
      </c>
      <c r="BL130" s="53"/>
      <c r="BM130" s="53">
        <f t="shared" si="42"/>
        <v>1693665</v>
      </c>
      <c r="BN130" s="54" t="s">
        <v>347</v>
      </c>
      <c r="BO130" s="55" t="s">
        <v>406</v>
      </c>
      <c r="BR130" s="51"/>
      <c r="BS130" s="53"/>
      <c r="BT130" s="53"/>
      <c r="BU130" s="53"/>
      <c r="BV130" s="53"/>
      <c r="BW130" s="53"/>
      <c r="BX130" s="45"/>
      <c r="BY130" s="45"/>
      <c r="BZ130" s="53"/>
      <c r="CA130" s="53"/>
      <c r="CB130" s="53"/>
      <c r="CC130" s="53"/>
      <c r="CD130" s="53"/>
      <c r="CE130" s="53"/>
      <c r="CF130" s="35"/>
      <c r="CH130" s="35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4"/>
    </row>
    <row r="131" spans="1:98" s="55" customFormat="1" ht="12.75" customHeight="1" x14ac:dyDescent="0.2">
      <c r="A131" s="35" t="s">
        <v>156</v>
      </c>
      <c r="B131" s="51"/>
      <c r="C131" s="35" t="s">
        <v>156</v>
      </c>
      <c r="D131" s="44"/>
      <c r="E131" s="53">
        <f t="shared" si="46"/>
        <v>5100304</v>
      </c>
      <c r="F131" s="53"/>
      <c r="G131" s="53">
        <v>25005579</v>
      </c>
      <c r="H131" s="53"/>
      <c r="I131" s="53">
        <v>30105883</v>
      </c>
      <c r="J131" s="53"/>
      <c r="K131" s="53">
        <f t="shared" si="44"/>
        <v>5295163</v>
      </c>
      <c r="L131" s="53"/>
      <c r="M131" s="53">
        <v>21120933</v>
      </c>
      <c r="N131" s="53"/>
      <c r="O131" s="53">
        <v>26416096</v>
      </c>
      <c r="P131" s="53"/>
      <c r="Q131" s="53">
        <v>3766450</v>
      </c>
      <c r="R131" s="53"/>
      <c r="S131" s="53">
        <v>0</v>
      </c>
      <c r="T131" s="53"/>
      <c r="U131" s="53">
        <v>-76663</v>
      </c>
      <c r="V131" s="53"/>
      <c r="W131" s="53">
        <f t="shared" si="40"/>
        <v>3689787</v>
      </c>
      <c r="X131" s="53"/>
      <c r="Y131" s="35" t="s">
        <v>156</v>
      </c>
      <c r="AA131" s="35" t="s">
        <v>156</v>
      </c>
      <c r="AB131" s="35"/>
      <c r="AC131" s="53">
        <v>5798469</v>
      </c>
      <c r="AD131" s="53"/>
      <c r="AE131" s="53">
        <f>5275812-1951113</f>
        <v>3324699</v>
      </c>
      <c r="AF131" s="53"/>
      <c r="AG131" s="53">
        <v>1951113</v>
      </c>
      <c r="AH131" s="53"/>
      <c r="AI131" s="45">
        <f t="shared" si="45"/>
        <v>522657</v>
      </c>
      <c r="AJ131" s="45"/>
      <c r="AK131" s="53">
        <v>-521932</v>
      </c>
      <c r="AL131" s="45"/>
      <c r="AM131" s="53">
        <v>0</v>
      </c>
      <c r="AN131" s="53"/>
      <c r="AO131" s="53">
        <v>1528</v>
      </c>
      <c r="AP131" s="53"/>
      <c r="AQ131" s="53">
        <v>1254135</v>
      </c>
      <c r="AR131" s="53"/>
      <c r="AS131" s="45">
        <f t="shared" si="47"/>
        <v>1253332</v>
      </c>
      <c r="AT131" s="45"/>
      <c r="AU131" s="53">
        <v>0</v>
      </c>
      <c r="AV131" s="53"/>
      <c r="AW131" s="53">
        <v>0</v>
      </c>
      <c r="AX131" s="53"/>
      <c r="AY131" s="53">
        <f t="shared" si="41"/>
        <v>-194859</v>
      </c>
      <c r="AZ131" s="53"/>
      <c r="BA131" s="35" t="s">
        <v>156</v>
      </c>
      <c r="BC131" s="35" t="s">
        <v>156</v>
      </c>
      <c r="BD131" s="53"/>
      <c r="BE131" s="53">
        <f>5115111+312874</f>
        <v>5427985</v>
      </c>
      <c r="BF131" s="53"/>
      <c r="BG131" s="53">
        <v>0</v>
      </c>
      <c r="BH131" s="53"/>
      <c r="BI131" s="53">
        <f>14766948+957832+1453889+113454</f>
        <v>17292123</v>
      </c>
      <c r="BJ131" s="53"/>
      <c r="BK131" s="53">
        <f>281042+62349</f>
        <v>343391</v>
      </c>
      <c r="BL131" s="53"/>
      <c r="BM131" s="53">
        <f t="shared" si="42"/>
        <v>23063499</v>
      </c>
      <c r="BN131" s="54" t="s">
        <v>347</v>
      </c>
      <c r="BO131" s="35"/>
      <c r="BR131" s="51"/>
      <c r="BS131" s="53"/>
      <c r="BT131" s="53"/>
      <c r="BU131" s="53"/>
      <c r="BV131" s="53"/>
      <c r="BW131" s="45"/>
      <c r="BX131" s="45"/>
      <c r="BY131" s="53"/>
      <c r="BZ131" s="53"/>
      <c r="CA131" s="53"/>
      <c r="CB131" s="53"/>
      <c r="CC131" s="53"/>
      <c r="CD131" s="53"/>
      <c r="CE131" s="53"/>
      <c r="CF131" s="35"/>
      <c r="CH131" s="35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4"/>
      <c r="CT131" s="35"/>
    </row>
    <row r="132" spans="1:98" s="55" customFormat="1" ht="12.75" hidden="1" customHeight="1" x14ac:dyDescent="0.2">
      <c r="A132" s="35" t="s">
        <v>157</v>
      </c>
      <c r="B132" s="51"/>
      <c r="C132" s="35" t="s">
        <v>33</v>
      </c>
      <c r="D132" s="44"/>
      <c r="E132" s="53">
        <f t="shared" si="46"/>
        <v>0</v>
      </c>
      <c r="F132" s="53"/>
      <c r="G132" s="53"/>
      <c r="H132" s="53"/>
      <c r="I132" s="53"/>
      <c r="J132" s="53"/>
      <c r="K132" s="53">
        <f t="shared" si="44"/>
        <v>0</v>
      </c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>
        <f t="shared" si="40"/>
        <v>0</v>
      </c>
      <c r="X132" s="53"/>
      <c r="Y132" s="35" t="s">
        <v>157</v>
      </c>
      <c r="AA132" s="35" t="s">
        <v>33</v>
      </c>
      <c r="AB132" s="35"/>
      <c r="AC132" s="53"/>
      <c r="AD132" s="53"/>
      <c r="AE132" s="53"/>
      <c r="AF132" s="53"/>
      <c r="AG132" s="53"/>
      <c r="AH132" s="53"/>
      <c r="AI132" s="45">
        <f t="shared" si="45"/>
        <v>0</v>
      </c>
      <c r="AJ132" s="45"/>
      <c r="AK132" s="53"/>
      <c r="AL132" s="45"/>
      <c r="AM132" s="53"/>
      <c r="AN132" s="53"/>
      <c r="AO132" s="53"/>
      <c r="AP132" s="53"/>
      <c r="AQ132" s="53"/>
      <c r="AR132" s="53"/>
      <c r="AS132" s="45">
        <f t="shared" si="47"/>
        <v>0</v>
      </c>
      <c r="AT132" s="45"/>
      <c r="AU132" s="53">
        <v>0</v>
      </c>
      <c r="AV132" s="53"/>
      <c r="AW132" s="53">
        <v>0</v>
      </c>
      <c r="AX132" s="53"/>
      <c r="AY132" s="53">
        <f t="shared" si="41"/>
        <v>0</v>
      </c>
      <c r="AZ132" s="53"/>
      <c r="BA132" s="35" t="s">
        <v>157</v>
      </c>
      <c r="BC132" s="35" t="s">
        <v>33</v>
      </c>
      <c r="BD132" s="53"/>
      <c r="BE132" s="53"/>
      <c r="BF132" s="53"/>
      <c r="BG132" s="53"/>
      <c r="BH132" s="53"/>
      <c r="BI132" s="53"/>
      <c r="BJ132" s="53"/>
      <c r="BK132" s="53"/>
      <c r="BL132" s="53"/>
      <c r="BM132" s="53">
        <f t="shared" si="42"/>
        <v>0</v>
      </c>
      <c r="BN132" s="54" t="s">
        <v>347</v>
      </c>
      <c r="BR132" s="51"/>
      <c r="BS132" s="53"/>
      <c r="BT132" s="53"/>
      <c r="BU132" s="53"/>
      <c r="BV132" s="53"/>
      <c r="BW132" s="53"/>
      <c r="BX132" s="45"/>
      <c r="BY132" s="45"/>
      <c r="BZ132" s="53"/>
      <c r="CA132" s="53"/>
      <c r="CB132" s="53"/>
      <c r="CC132" s="53"/>
      <c r="CD132" s="53"/>
      <c r="CE132" s="53"/>
      <c r="CF132" s="35"/>
      <c r="CH132" s="35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4"/>
    </row>
    <row r="133" spans="1:98" s="55" customFormat="1" ht="12.75" customHeight="1" x14ac:dyDescent="0.2">
      <c r="A133" s="35" t="s">
        <v>158</v>
      </c>
      <c r="B133" s="51"/>
      <c r="C133" s="35" t="s">
        <v>159</v>
      </c>
      <c r="D133" s="44"/>
      <c r="E133" s="53">
        <f t="shared" si="46"/>
        <v>13155221</v>
      </c>
      <c r="F133" s="53"/>
      <c r="G133" s="53">
        <v>157019247</v>
      </c>
      <c r="H133" s="53"/>
      <c r="I133" s="53">
        <v>170174468</v>
      </c>
      <c r="J133" s="53"/>
      <c r="K133" s="53">
        <f t="shared" si="44"/>
        <v>1773244</v>
      </c>
      <c r="L133" s="53"/>
      <c r="M133" s="53">
        <v>144097064</v>
      </c>
      <c r="N133" s="53"/>
      <c r="O133" s="53">
        <v>145870308</v>
      </c>
      <c r="P133" s="53"/>
      <c r="Q133" s="53">
        <v>12455427</v>
      </c>
      <c r="R133" s="53"/>
      <c r="S133" s="53">
        <v>4589967</v>
      </c>
      <c r="T133" s="53"/>
      <c r="U133" s="53">
        <v>7258766</v>
      </c>
      <c r="V133" s="53"/>
      <c r="W133" s="53">
        <f t="shared" si="40"/>
        <v>24304160</v>
      </c>
      <c r="X133" s="53"/>
      <c r="Y133" s="35" t="s">
        <v>158</v>
      </c>
      <c r="AA133" s="35" t="s">
        <v>159</v>
      </c>
      <c r="AB133" s="35"/>
      <c r="AC133" s="53">
        <v>8620297</v>
      </c>
      <c r="AD133" s="53"/>
      <c r="AE133" s="53">
        <f>8440268-4330594</f>
        <v>4109674</v>
      </c>
      <c r="AF133" s="53"/>
      <c r="AG133" s="53">
        <v>4330594</v>
      </c>
      <c r="AH133" s="53"/>
      <c r="AI133" s="45">
        <f t="shared" si="45"/>
        <v>180029</v>
      </c>
      <c r="AJ133" s="45"/>
      <c r="AK133" s="53">
        <v>-4493143</v>
      </c>
      <c r="AL133" s="45"/>
      <c r="AM133" s="53">
        <v>0</v>
      </c>
      <c r="AN133" s="53"/>
      <c r="AO133" s="53">
        <v>0</v>
      </c>
      <c r="AP133" s="53"/>
      <c r="AQ133" s="53">
        <v>0</v>
      </c>
      <c r="AR133" s="53"/>
      <c r="AS133" s="45">
        <f t="shared" si="47"/>
        <v>-4313114</v>
      </c>
      <c r="AT133" s="45"/>
      <c r="AU133" s="53">
        <v>0</v>
      </c>
      <c r="AV133" s="53"/>
      <c r="AW133" s="53">
        <v>0</v>
      </c>
      <c r="AX133" s="53"/>
      <c r="AY133" s="53">
        <f t="shared" si="41"/>
        <v>11381977</v>
      </c>
      <c r="AZ133" s="53"/>
      <c r="BA133" s="35" t="s">
        <v>158</v>
      </c>
      <c r="BC133" s="35" t="s">
        <v>159</v>
      </c>
      <c r="BD133" s="53"/>
      <c r="BE133" s="53">
        <f>154186+147396</f>
        <v>301582</v>
      </c>
      <c r="BF133" s="53"/>
      <c r="BG133" s="53">
        <f>1149489+116582314</f>
        <v>117731803</v>
      </c>
      <c r="BH133" s="53"/>
      <c r="BI133" s="53">
        <f>17858+7927</f>
        <v>25785</v>
      </c>
      <c r="BJ133" s="53"/>
      <c r="BK133" s="53">
        <f>57778+780278+26504650+91722</f>
        <v>27434428</v>
      </c>
      <c r="BL133" s="53"/>
      <c r="BM133" s="53">
        <f t="shared" si="42"/>
        <v>145493598</v>
      </c>
      <c r="BN133" s="54" t="s">
        <v>347</v>
      </c>
      <c r="BR133" s="51"/>
      <c r="BS133" s="53"/>
      <c r="BT133" s="53"/>
      <c r="BU133" s="53"/>
      <c r="BV133" s="53"/>
      <c r="BW133" s="53"/>
      <c r="BX133" s="45"/>
      <c r="BY133" s="45"/>
      <c r="BZ133" s="53"/>
      <c r="CA133" s="53"/>
      <c r="CB133" s="53"/>
      <c r="CC133" s="53"/>
      <c r="CD133" s="53"/>
      <c r="CE133" s="53"/>
      <c r="CF133" s="35"/>
      <c r="CH133" s="35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4"/>
    </row>
    <row r="134" spans="1:98" s="55" customFormat="1" ht="12.75" customHeight="1" x14ac:dyDescent="0.2">
      <c r="A134" s="35" t="s">
        <v>160</v>
      </c>
      <c r="B134" s="51"/>
      <c r="C134" s="35" t="s">
        <v>111</v>
      </c>
      <c r="D134" s="44"/>
      <c r="E134" s="53">
        <f t="shared" si="46"/>
        <v>15004875</v>
      </c>
      <c r="F134" s="53"/>
      <c r="G134" s="53">
        <v>68948595</v>
      </c>
      <c r="H134" s="53"/>
      <c r="I134" s="53">
        <v>83953470</v>
      </c>
      <c r="J134" s="53"/>
      <c r="K134" s="53">
        <f t="shared" si="44"/>
        <v>1720027</v>
      </c>
      <c r="L134" s="53"/>
      <c r="M134" s="53">
        <v>28306973</v>
      </c>
      <c r="N134" s="53"/>
      <c r="O134" s="53">
        <v>30027000</v>
      </c>
      <c r="P134" s="53"/>
      <c r="Q134" s="53">
        <v>39535595</v>
      </c>
      <c r="R134" s="53"/>
      <c r="S134" s="53">
        <v>3353272</v>
      </c>
      <c r="T134" s="53"/>
      <c r="U134" s="53">
        <v>11037603</v>
      </c>
      <c r="V134" s="53"/>
      <c r="W134" s="53">
        <f t="shared" si="40"/>
        <v>53926470</v>
      </c>
      <c r="X134" s="53"/>
      <c r="Y134" s="35" t="s">
        <v>160</v>
      </c>
      <c r="AA134" s="35" t="s">
        <v>111</v>
      </c>
      <c r="AB134" s="35"/>
      <c r="AC134" s="53">
        <v>5457968</v>
      </c>
      <c r="AD134" s="53"/>
      <c r="AE134" s="53">
        <f>4987531-2240906</f>
        <v>2746625</v>
      </c>
      <c r="AF134" s="53"/>
      <c r="AG134" s="53">
        <v>2240906</v>
      </c>
      <c r="AH134" s="53"/>
      <c r="AI134" s="45">
        <f t="shared" si="45"/>
        <v>470437</v>
      </c>
      <c r="AJ134" s="45"/>
      <c r="AK134" s="53">
        <v>-1332151</v>
      </c>
      <c r="AL134" s="45"/>
      <c r="AM134" s="53">
        <v>6000</v>
      </c>
      <c r="AN134" s="53"/>
      <c r="AO134" s="53">
        <v>0</v>
      </c>
      <c r="AP134" s="53"/>
      <c r="AQ134" s="53">
        <v>403740</v>
      </c>
      <c r="AR134" s="53"/>
      <c r="AS134" s="45">
        <f t="shared" si="47"/>
        <v>-451974</v>
      </c>
      <c r="AT134" s="45"/>
      <c r="AU134" s="53">
        <v>0</v>
      </c>
      <c r="AV134" s="53"/>
      <c r="AW134" s="53">
        <v>0</v>
      </c>
      <c r="AX134" s="53"/>
      <c r="AY134" s="53">
        <f t="shared" si="41"/>
        <v>13284848</v>
      </c>
      <c r="AZ134" s="53"/>
      <c r="BA134" s="35" t="s">
        <v>160</v>
      </c>
      <c r="BC134" s="35" t="s">
        <v>111</v>
      </c>
      <c r="BD134" s="53"/>
      <c r="BE134" s="53">
        <f>28213000+1200000</f>
        <v>29413000</v>
      </c>
      <c r="BF134" s="53"/>
      <c r="BG134" s="53">
        <v>0</v>
      </c>
      <c r="BH134" s="53"/>
      <c r="BI134" s="53">
        <v>0</v>
      </c>
      <c r="BJ134" s="53"/>
      <c r="BK134" s="53">
        <f>93973+83691</f>
        <v>177664</v>
      </c>
      <c r="BL134" s="53"/>
      <c r="BM134" s="53">
        <f t="shared" si="42"/>
        <v>29590664</v>
      </c>
      <c r="BN134" s="54" t="s">
        <v>347</v>
      </c>
      <c r="BR134" s="51"/>
      <c r="BS134" s="53"/>
      <c r="BT134" s="53"/>
      <c r="BU134" s="53"/>
      <c r="BV134" s="53"/>
      <c r="BW134" s="53"/>
      <c r="BX134" s="45"/>
      <c r="BY134" s="45"/>
      <c r="BZ134" s="53"/>
      <c r="CA134" s="53"/>
      <c r="CB134" s="53"/>
      <c r="CC134" s="53"/>
      <c r="CD134" s="53"/>
      <c r="CE134" s="53"/>
      <c r="CF134" s="35"/>
      <c r="CH134" s="35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4"/>
    </row>
    <row r="135" spans="1:98" s="55" customFormat="1" ht="12.75" customHeight="1" x14ac:dyDescent="0.2">
      <c r="A135" s="35" t="s">
        <v>161</v>
      </c>
      <c r="C135" s="35" t="s">
        <v>15</v>
      </c>
      <c r="D135" s="44"/>
      <c r="E135" s="53">
        <f t="shared" si="46"/>
        <v>7445661</v>
      </c>
      <c r="F135" s="53"/>
      <c r="G135" s="53">
        <v>42973246</v>
      </c>
      <c r="H135" s="53"/>
      <c r="I135" s="53">
        <v>50418907</v>
      </c>
      <c r="J135" s="53"/>
      <c r="K135" s="53">
        <f t="shared" si="44"/>
        <v>2958975</v>
      </c>
      <c r="L135" s="53"/>
      <c r="M135" s="53">
        <v>26247951</v>
      </c>
      <c r="N135" s="53"/>
      <c r="O135" s="53">
        <v>29206926</v>
      </c>
      <c r="P135" s="53"/>
      <c r="Q135" s="53">
        <v>14854618</v>
      </c>
      <c r="R135" s="53"/>
      <c r="S135" s="53">
        <v>0</v>
      </c>
      <c r="T135" s="53"/>
      <c r="U135" s="53">
        <v>6357363</v>
      </c>
      <c r="V135" s="53"/>
      <c r="W135" s="53">
        <f t="shared" si="40"/>
        <v>21211981</v>
      </c>
      <c r="X135" s="53"/>
      <c r="Y135" s="35" t="s">
        <v>161</v>
      </c>
      <c r="AA135" s="35" t="s">
        <v>15</v>
      </c>
      <c r="AB135" s="35"/>
      <c r="AC135" s="53">
        <v>8774902</v>
      </c>
      <c r="AD135" s="53"/>
      <c r="AE135" s="53">
        <f>7055441-1513248</f>
        <v>5542193</v>
      </c>
      <c r="AF135" s="53"/>
      <c r="AG135" s="53">
        <v>1513248</v>
      </c>
      <c r="AH135" s="53"/>
      <c r="AI135" s="45">
        <f t="shared" si="45"/>
        <v>1719461</v>
      </c>
      <c r="AJ135" s="45"/>
      <c r="AK135" s="53">
        <v>162439</v>
      </c>
      <c r="AL135" s="45"/>
      <c r="AM135" s="53">
        <v>0</v>
      </c>
      <c r="AN135" s="53"/>
      <c r="AO135" s="53">
        <v>0</v>
      </c>
      <c r="AP135" s="53"/>
      <c r="AQ135" s="53">
        <v>0</v>
      </c>
      <c r="AR135" s="53"/>
      <c r="AS135" s="45">
        <f t="shared" si="47"/>
        <v>1881900</v>
      </c>
      <c r="AT135" s="45"/>
      <c r="AU135" s="53">
        <v>0</v>
      </c>
      <c r="AV135" s="53"/>
      <c r="AW135" s="53">
        <v>0</v>
      </c>
      <c r="AX135" s="53"/>
      <c r="AY135" s="53">
        <f t="shared" si="41"/>
        <v>4486686</v>
      </c>
      <c r="AZ135" s="53"/>
      <c r="BA135" s="35" t="s">
        <v>161</v>
      </c>
      <c r="BC135" s="35" t="s">
        <v>15</v>
      </c>
      <c r="BD135" s="53"/>
      <c r="BE135" s="53">
        <v>0</v>
      </c>
      <c r="BF135" s="53"/>
      <c r="BG135" s="53">
        <v>0</v>
      </c>
      <c r="BH135" s="53"/>
      <c r="BI135" s="53">
        <f>25977660+2140968</f>
        <v>28118628</v>
      </c>
      <c r="BJ135" s="53"/>
      <c r="BK135" s="53">
        <f>270291+13244</f>
        <v>283535</v>
      </c>
      <c r="BL135" s="53"/>
      <c r="BM135" s="53">
        <f t="shared" si="42"/>
        <v>28402163</v>
      </c>
      <c r="BN135" s="54" t="s">
        <v>347</v>
      </c>
      <c r="BR135" s="51"/>
      <c r="BS135" s="53"/>
      <c r="BT135" s="53"/>
      <c r="BU135" s="53"/>
      <c r="BV135" s="53"/>
      <c r="BW135" s="53"/>
      <c r="BX135" s="45"/>
      <c r="BY135" s="45"/>
      <c r="BZ135" s="53"/>
      <c r="CA135" s="53"/>
      <c r="CB135" s="53"/>
      <c r="CC135" s="53"/>
      <c r="CD135" s="53"/>
      <c r="CE135" s="53"/>
      <c r="CF135" s="35"/>
      <c r="CH135" s="35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4"/>
    </row>
    <row r="136" spans="1:98" s="55" customFormat="1" ht="12.75" customHeight="1" x14ac:dyDescent="0.2">
      <c r="A136" s="35" t="s">
        <v>162</v>
      </c>
      <c r="B136" s="51"/>
      <c r="C136" s="35" t="s">
        <v>163</v>
      </c>
      <c r="D136" s="44"/>
      <c r="E136" s="53">
        <f t="shared" si="46"/>
        <v>2718224</v>
      </c>
      <c r="F136" s="53"/>
      <c r="G136" s="53">
        <v>3772026</v>
      </c>
      <c r="H136" s="53"/>
      <c r="I136" s="53">
        <v>6490250</v>
      </c>
      <c r="J136" s="53"/>
      <c r="K136" s="53">
        <f t="shared" si="44"/>
        <v>201104</v>
      </c>
      <c r="L136" s="53"/>
      <c r="M136" s="53">
        <v>110803</v>
      </c>
      <c r="N136" s="53"/>
      <c r="O136" s="53">
        <v>311907</v>
      </c>
      <c r="P136" s="53"/>
      <c r="Q136" s="53">
        <v>3772026</v>
      </c>
      <c r="R136" s="53"/>
      <c r="S136" s="53">
        <v>0</v>
      </c>
      <c r="T136" s="53"/>
      <c r="U136" s="53">
        <v>2406317</v>
      </c>
      <c r="V136" s="53"/>
      <c r="W136" s="53">
        <f t="shared" si="40"/>
        <v>6178343</v>
      </c>
      <c r="X136" s="53"/>
      <c r="Y136" s="35" t="s">
        <v>162</v>
      </c>
      <c r="AA136" s="35" t="s">
        <v>163</v>
      </c>
      <c r="AB136" s="35"/>
      <c r="AC136" s="53">
        <v>2835042</v>
      </c>
      <c r="AD136" s="53"/>
      <c r="AE136" s="53">
        <f>1933847-318541</f>
        <v>1615306</v>
      </c>
      <c r="AF136" s="53"/>
      <c r="AG136" s="53">
        <v>318541</v>
      </c>
      <c r="AH136" s="53"/>
      <c r="AI136" s="45">
        <f t="shared" si="45"/>
        <v>901195</v>
      </c>
      <c r="AJ136" s="45"/>
      <c r="AK136" s="53">
        <v>-4068</v>
      </c>
      <c r="AL136" s="45"/>
      <c r="AM136" s="53">
        <v>0</v>
      </c>
      <c r="AN136" s="53"/>
      <c r="AO136" s="53">
        <v>133314</v>
      </c>
      <c r="AP136" s="53"/>
      <c r="AQ136" s="53">
        <v>0</v>
      </c>
      <c r="AR136" s="53"/>
      <c r="AS136" s="45">
        <f t="shared" si="47"/>
        <v>763813</v>
      </c>
      <c r="AT136" s="45"/>
      <c r="AU136" s="53">
        <v>0</v>
      </c>
      <c r="AV136" s="53"/>
      <c r="AW136" s="53">
        <v>0</v>
      </c>
      <c r="AX136" s="53"/>
      <c r="AY136" s="53">
        <f t="shared" si="41"/>
        <v>2517120</v>
      </c>
      <c r="AZ136" s="53"/>
      <c r="BA136" s="35" t="s">
        <v>162</v>
      </c>
      <c r="BC136" s="35" t="s">
        <v>163</v>
      </c>
      <c r="BD136" s="53"/>
      <c r="BE136" s="53">
        <v>0</v>
      </c>
      <c r="BF136" s="53"/>
      <c r="BG136" s="53">
        <v>0</v>
      </c>
      <c r="BH136" s="53"/>
      <c r="BI136" s="53">
        <v>0</v>
      </c>
      <c r="BJ136" s="53"/>
      <c r="BK136" s="53">
        <v>110803</v>
      </c>
      <c r="BL136" s="53"/>
      <c r="BM136" s="53">
        <f t="shared" si="42"/>
        <v>110803</v>
      </c>
      <c r="BN136" s="54" t="s">
        <v>347</v>
      </c>
      <c r="BO136" s="55" t="s">
        <v>407</v>
      </c>
      <c r="BR136" s="51"/>
      <c r="BS136" s="53"/>
      <c r="BT136" s="53"/>
      <c r="BU136" s="53"/>
      <c r="BV136" s="53"/>
      <c r="BW136" s="53"/>
      <c r="BX136" s="45"/>
      <c r="BY136" s="45"/>
      <c r="BZ136" s="53"/>
      <c r="CA136" s="53"/>
      <c r="CB136" s="53"/>
      <c r="CC136" s="53"/>
      <c r="CD136" s="53"/>
      <c r="CE136" s="53"/>
      <c r="CF136" s="35"/>
      <c r="CH136" s="35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4"/>
    </row>
    <row r="137" spans="1:98" s="140" customFormat="1" ht="12.75" hidden="1" customHeight="1" x14ac:dyDescent="0.2">
      <c r="A137" s="126" t="s">
        <v>164</v>
      </c>
      <c r="B137" s="124"/>
      <c r="C137" s="126" t="s">
        <v>27</v>
      </c>
      <c r="D137" s="121"/>
      <c r="E137" s="53">
        <f t="shared" si="46"/>
        <v>0</v>
      </c>
      <c r="F137" s="53"/>
      <c r="G137" s="53"/>
      <c r="H137" s="53"/>
      <c r="I137" s="53"/>
      <c r="J137" s="53"/>
      <c r="K137" s="53">
        <f t="shared" si="44"/>
        <v>0</v>
      </c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>
        <f t="shared" si="40"/>
        <v>0</v>
      </c>
      <c r="X137" s="137"/>
      <c r="Y137" s="126" t="s">
        <v>164</v>
      </c>
      <c r="AA137" s="126" t="s">
        <v>27</v>
      </c>
      <c r="AB137" s="126"/>
      <c r="AC137" s="53"/>
      <c r="AD137" s="53"/>
      <c r="AE137" s="53"/>
      <c r="AF137" s="53"/>
      <c r="AG137" s="53"/>
      <c r="AH137" s="53"/>
      <c r="AI137" s="45">
        <f t="shared" si="45"/>
        <v>0</v>
      </c>
      <c r="AJ137" s="45"/>
      <c r="AK137" s="53"/>
      <c r="AL137" s="45"/>
      <c r="AM137" s="53"/>
      <c r="AN137" s="53"/>
      <c r="AO137" s="53"/>
      <c r="AP137" s="53"/>
      <c r="AQ137" s="53"/>
      <c r="AR137" s="53"/>
      <c r="AS137" s="45">
        <f t="shared" si="47"/>
        <v>0</v>
      </c>
      <c r="AT137" s="45"/>
      <c r="AU137" s="53">
        <v>0</v>
      </c>
      <c r="AV137" s="53"/>
      <c r="AW137" s="53">
        <v>0</v>
      </c>
      <c r="AX137" s="53"/>
      <c r="AY137" s="53">
        <f t="shared" si="41"/>
        <v>0</v>
      </c>
      <c r="AZ137" s="53"/>
      <c r="BA137" s="126" t="s">
        <v>164</v>
      </c>
      <c r="BC137" s="126" t="s">
        <v>27</v>
      </c>
      <c r="BD137" s="137"/>
      <c r="BE137" s="53"/>
      <c r="BF137" s="53"/>
      <c r="BG137" s="53"/>
      <c r="BH137" s="53"/>
      <c r="BI137" s="53"/>
      <c r="BJ137" s="53"/>
      <c r="BK137" s="53"/>
      <c r="BL137" s="137"/>
      <c r="BM137" s="137">
        <f t="shared" si="42"/>
        <v>0</v>
      </c>
      <c r="BN137" s="139" t="s">
        <v>347</v>
      </c>
      <c r="BO137" s="126" t="s">
        <v>366</v>
      </c>
      <c r="BR137" s="124"/>
      <c r="BS137" s="137"/>
      <c r="BT137" s="137"/>
      <c r="BU137" s="137"/>
      <c r="BV137" s="137"/>
      <c r="BW137" s="137"/>
      <c r="BX137" s="127"/>
      <c r="BY137" s="127"/>
      <c r="BZ137" s="137"/>
      <c r="CA137" s="137"/>
      <c r="CB137" s="137"/>
      <c r="CC137" s="137"/>
      <c r="CD137" s="137"/>
      <c r="CE137" s="137"/>
      <c r="CF137" s="126"/>
      <c r="CH137" s="126"/>
      <c r="CI137" s="137"/>
      <c r="CJ137" s="137"/>
      <c r="CK137" s="137"/>
      <c r="CL137" s="137"/>
      <c r="CM137" s="137"/>
      <c r="CN137" s="137"/>
      <c r="CO137" s="137"/>
      <c r="CP137" s="137"/>
      <c r="CQ137" s="137"/>
      <c r="CR137" s="137"/>
      <c r="CS137" s="139"/>
      <c r="CT137" s="126"/>
    </row>
    <row r="138" spans="1:98" s="55" customFormat="1" ht="12.75" hidden="1" customHeight="1" x14ac:dyDescent="0.2">
      <c r="A138" s="35" t="s">
        <v>53</v>
      </c>
      <c r="B138" s="51"/>
      <c r="C138" s="35" t="s">
        <v>53</v>
      </c>
      <c r="D138" s="44"/>
      <c r="E138" s="53">
        <f t="shared" si="46"/>
        <v>0</v>
      </c>
      <c r="F138" s="53"/>
      <c r="G138" s="53"/>
      <c r="H138" s="53"/>
      <c r="I138" s="53"/>
      <c r="J138" s="53"/>
      <c r="K138" s="53">
        <f t="shared" si="44"/>
        <v>0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>
        <f t="shared" si="40"/>
        <v>0</v>
      </c>
      <c r="X138" s="53"/>
      <c r="Y138" s="35" t="s">
        <v>53</v>
      </c>
      <c r="AA138" s="35" t="s">
        <v>53</v>
      </c>
      <c r="AB138" s="35"/>
      <c r="AC138" s="53"/>
      <c r="AD138" s="53"/>
      <c r="AE138" s="53"/>
      <c r="AF138" s="53"/>
      <c r="AG138" s="53"/>
      <c r="AH138" s="53"/>
      <c r="AI138" s="45">
        <f t="shared" si="45"/>
        <v>0</v>
      </c>
      <c r="AJ138" s="45"/>
      <c r="AK138" s="53"/>
      <c r="AL138" s="45"/>
      <c r="AM138" s="53"/>
      <c r="AN138" s="53"/>
      <c r="AO138" s="53"/>
      <c r="AP138" s="53"/>
      <c r="AQ138" s="53"/>
      <c r="AR138" s="53"/>
      <c r="AS138" s="45">
        <f t="shared" si="47"/>
        <v>0</v>
      </c>
      <c r="AT138" s="45"/>
      <c r="AU138" s="53">
        <v>0</v>
      </c>
      <c r="AV138" s="53"/>
      <c r="AW138" s="53">
        <v>0</v>
      </c>
      <c r="AX138" s="53"/>
      <c r="AY138" s="53">
        <f t="shared" si="41"/>
        <v>0</v>
      </c>
      <c r="AZ138" s="53"/>
      <c r="BA138" s="35" t="s">
        <v>53</v>
      </c>
      <c r="BC138" s="35" t="s">
        <v>53</v>
      </c>
      <c r="BD138" s="53"/>
      <c r="BE138" s="53"/>
      <c r="BF138" s="53"/>
      <c r="BG138" s="53"/>
      <c r="BH138" s="53"/>
      <c r="BI138" s="53"/>
      <c r="BJ138" s="53"/>
      <c r="BK138" s="53"/>
      <c r="BL138" s="53"/>
      <c r="BM138" s="53">
        <f t="shared" si="42"/>
        <v>0</v>
      </c>
      <c r="BN138" s="54" t="s">
        <v>347</v>
      </c>
      <c r="BR138" s="51"/>
      <c r="BS138" s="53"/>
      <c r="BT138" s="53"/>
      <c r="BU138" s="53"/>
      <c r="BV138" s="53"/>
      <c r="BW138" s="53"/>
      <c r="BX138" s="45"/>
      <c r="BY138" s="45"/>
      <c r="BZ138" s="53"/>
      <c r="CA138" s="53"/>
      <c r="CB138" s="53"/>
      <c r="CC138" s="53"/>
      <c r="CD138" s="53"/>
      <c r="CE138" s="53"/>
      <c r="CF138" s="35"/>
      <c r="CH138" s="35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4"/>
    </row>
    <row r="139" spans="1:98" s="140" customFormat="1" ht="12.75" hidden="1" customHeight="1" x14ac:dyDescent="0.2">
      <c r="A139" s="126" t="s">
        <v>165</v>
      </c>
      <c r="B139" s="124"/>
      <c r="C139" s="126" t="s">
        <v>92</v>
      </c>
      <c r="D139" s="121"/>
      <c r="E139" s="53">
        <f t="shared" si="46"/>
        <v>0</v>
      </c>
      <c r="F139" s="53"/>
      <c r="G139" s="53"/>
      <c r="H139" s="53"/>
      <c r="I139" s="53"/>
      <c r="J139" s="53"/>
      <c r="K139" s="53">
        <f t="shared" si="44"/>
        <v>0</v>
      </c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>
        <f t="shared" si="40"/>
        <v>0</v>
      </c>
      <c r="X139" s="137"/>
      <c r="Y139" s="126" t="s">
        <v>165</v>
      </c>
      <c r="AA139" s="126" t="s">
        <v>92</v>
      </c>
      <c r="AB139" s="126"/>
      <c r="AC139" s="53"/>
      <c r="AD139" s="53"/>
      <c r="AE139" s="53"/>
      <c r="AF139" s="53"/>
      <c r="AG139" s="53"/>
      <c r="AH139" s="53"/>
      <c r="AI139" s="45">
        <f t="shared" si="45"/>
        <v>0</v>
      </c>
      <c r="AJ139" s="45"/>
      <c r="AK139" s="53"/>
      <c r="AL139" s="45"/>
      <c r="AM139" s="53"/>
      <c r="AN139" s="53"/>
      <c r="AO139" s="53"/>
      <c r="AP139" s="53"/>
      <c r="AQ139" s="53"/>
      <c r="AR139" s="53"/>
      <c r="AS139" s="45">
        <f t="shared" si="47"/>
        <v>0</v>
      </c>
      <c r="AT139" s="45"/>
      <c r="AU139" s="53">
        <v>0</v>
      </c>
      <c r="AV139" s="53"/>
      <c r="AW139" s="53">
        <v>0</v>
      </c>
      <c r="AX139" s="53"/>
      <c r="AY139" s="53">
        <f t="shared" si="41"/>
        <v>0</v>
      </c>
      <c r="AZ139" s="53"/>
      <c r="BA139" s="126" t="s">
        <v>165</v>
      </c>
      <c r="BC139" s="126" t="s">
        <v>92</v>
      </c>
      <c r="BD139" s="137"/>
      <c r="BE139" s="53"/>
      <c r="BF139" s="53"/>
      <c r="BG139" s="53"/>
      <c r="BH139" s="53"/>
      <c r="BI139" s="53"/>
      <c r="BJ139" s="53"/>
      <c r="BK139" s="53"/>
      <c r="BL139" s="137"/>
      <c r="BM139" s="137">
        <f t="shared" si="42"/>
        <v>0</v>
      </c>
      <c r="BN139" s="139" t="s">
        <v>347</v>
      </c>
      <c r="BR139" s="124"/>
      <c r="BS139" s="137"/>
      <c r="BT139" s="137"/>
      <c r="BU139" s="137"/>
      <c r="BV139" s="137"/>
      <c r="BW139" s="137"/>
      <c r="BX139" s="127"/>
      <c r="BY139" s="127"/>
      <c r="BZ139" s="137"/>
      <c r="CA139" s="137"/>
      <c r="CB139" s="137"/>
      <c r="CC139" s="137"/>
      <c r="CD139" s="137"/>
      <c r="CE139" s="137"/>
      <c r="CF139" s="126"/>
      <c r="CH139" s="126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9"/>
    </row>
    <row r="140" spans="1:98" s="140" customFormat="1" ht="12.75" hidden="1" customHeight="1" x14ac:dyDescent="0.2">
      <c r="A140" s="126" t="s">
        <v>166</v>
      </c>
      <c r="B140" s="124"/>
      <c r="C140" s="126" t="s">
        <v>92</v>
      </c>
      <c r="D140" s="121"/>
      <c r="E140" s="53">
        <f t="shared" si="46"/>
        <v>0</v>
      </c>
      <c r="F140" s="53"/>
      <c r="G140" s="53"/>
      <c r="H140" s="53"/>
      <c r="I140" s="53"/>
      <c r="J140" s="53"/>
      <c r="K140" s="53">
        <f t="shared" si="44"/>
        <v>0</v>
      </c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>
        <f t="shared" si="40"/>
        <v>0</v>
      </c>
      <c r="X140" s="137"/>
      <c r="Y140" s="126" t="s">
        <v>166</v>
      </c>
      <c r="AA140" s="126" t="s">
        <v>92</v>
      </c>
      <c r="AB140" s="126"/>
      <c r="AC140" s="53"/>
      <c r="AD140" s="53"/>
      <c r="AE140" s="53"/>
      <c r="AF140" s="53"/>
      <c r="AG140" s="53"/>
      <c r="AH140" s="53"/>
      <c r="AI140" s="45">
        <f t="shared" si="45"/>
        <v>0</v>
      </c>
      <c r="AJ140" s="45"/>
      <c r="AK140" s="53"/>
      <c r="AL140" s="45"/>
      <c r="AM140" s="53"/>
      <c r="AN140" s="53"/>
      <c r="AO140" s="53"/>
      <c r="AP140" s="53"/>
      <c r="AQ140" s="53"/>
      <c r="AR140" s="53"/>
      <c r="AS140" s="45">
        <f t="shared" si="47"/>
        <v>0</v>
      </c>
      <c r="AT140" s="45"/>
      <c r="AU140" s="53">
        <v>0</v>
      </c>
      <c r="AV140" s="53"/>
      <c r="AW140" s="53">
        <v>0</v>
      </c>
      <c r="AX140" s="53"/>
      <c r="AY140" s="53">
        <f t="shared" si="41"/>
        <v>0</v>
      </c>
      <c r="AZ140" s="53"/>
      <c r="BA140" s="126" t="s">
        <v>166</v>
      </c>
      <c r="BC140" s="126" t="s">
        <v>92</v>
      </c>
      <c r="BD140" s="137"/>
      <c r="BE140" s="53"/>
      <c r="BF140" s="53"/>
      <c r="BG140" s="53"/>
      <c r="BH140" s="53"/>
      <c r="BI140" s="53"/>
      <c r="BJ140" s="53"/>
      <c r="BK140" s="53"/>
      <c r="BL140" s="137"/>
      <c r="BM140" s="137">
        <f t="shared" si="42"/>
        <v>0</v>
      </c>
      <c r="BN140" s="139"/>
      <c r="BR140" s="124"/>
      <c r="BS140" s="137"/>
      <c r="BT140" s="137"/>
      <c r="BU140" s="137"/>
      <c r="BV140" s="137"/>
      <c r="BW140" s="137"/>
      <c r="BX140" s="127"/>
      <c r="BY140" s="127"/>
      <c r="BZ140" s="137"/>
      <c r="CA140" s="137"/>
      <c r="CB140" s="137"/>
      <c r="CC140" s="137"/>
      <c r="CD140" s="137"/>
      <c r="CE140" s="137"/>
      <c r="CF140" s="126"/>
      <c r="CH140" s="126"/>
      <c r="CI140" s="137"/>
      <c r="CJ140" s="137"/>
      <c r="CK140" s="137"/>
      <c r="CL140" s="137"/>
      <c r="CM140" s="137"/>
      <c r="CN140" s="137"/>
      <c r="CO140" s="137"/>
      <c r="CP140" s="137"/>
      <c r="CQ140" s="137"/>
      <c r="CR140" s="137"/>
      <c r="CS140" s="139"/>
    </row>
    <row r="141" spans="1:98" s="55" customFormat="1" ht="12.75" customHeight="1" x14ac:dyDescent="0.2">
      <c r="A141" s="35" t="s">
        <v>167</v>
      </c>
      <c r="B141" s="51"/>
      <c r="C141" s="35" t="s">
        <v>66</v>
      </c>
      <c r="D141" s="44"/>
      <c r="E141" s="53">
        <f t="shared" si="46"/>
        <v>2929954</v>
      </c>
      <c r="F141" s="53"/>
      <c r="G141" s="53">
        <v>13628682</v>
      </c>
      <c r="H141" s="53"/>
      <c r="I141" s="53">
        <v>16558636</v>
      </c>
      <c r="J141" s="53"/>
      <c r="K141" s="53">
        <f t="shared" si="44"/>
        <v>565906</v>
      </c>
      <c r="L141" s="53"/>
      <c r="M141" s="53">
        <v>4241889</v>
      </c>
      <c r="N141" s="53"/>
      <c r="O141" s="53">
        <v>4807795</v>
      </c>
      <c r="P141" s="53"/>
      <c r="Q141" s="53">
        <v>9002494</v>
      </c>
      <c r="R141" s="53"/>
      <c r="S141" s="53">
        <v>551527</v>
      </c>
      <c r="T141" s="53"/>
      <c r="U141" s="53">
        <v>2196820</v>
      </c>
      <c r="V141" s="53"/>
      <c r="W141" s="53">
        <f t="shared" si="40"/>
        <v>11750841</v>
      </c>
      <c r="X141" s="53"/>
      <c r="Y141" s="35" t="s">
        <v>167</v>
      </c>
      <c r="AA141" s="35" t="s">
        <v>66</v>
      </c>
      <c r="AB141" s="35"/>
      <c r="AC141" s="53">
        <v>2201627</v>
      </c>
      <c r="AD141" s="53"/>
      <c r="AE141" s="53">
        <f>2661711-423260</f>
        <v>2238451</v>
      </c>
      <c r="AF141" s="53"/>
      <c r="AG141" s="53">
        <v>423260</v>
      </c>
      <c r="AH141" s="53"/>
      <c r="AI141" s="45">
        <f t="shared" si="45"/>
        <v>-460084</v>
      </c>
      <c r="AJ141" s="45"/>
      <c r="AK141" s="53">
        <v>699858</v>
      </c>
      <c r="AL141" s="45"/>
      <c r="AM141" s="53">
        <v>0</v>
      </c>
      <c r="AN141" s="53"/>
      <c r="AO141" s="53">
        <v>0</v>
      </c>
      <c r="AP141" s="53"/>
      <c r="AQ141" s="53">
        <v>44952</v>
      </c>
      <c r="AR141" s="53"/>
      <c r="AS141" s="45">
        <f t="shared" si="47"/>
        <v>284726</v>
      </c>
      <c r="AT141" s="45"/>
      <c r="AU141" s="53">
        <v>0</v>
      </c>
      <c r="AV141" s="53"/>
      <c r="AW141" s="53">
        <v>0</v>
      </c>
      <c r="AX141" s="53"/>
      <c r="AY141" s="53">
        <f t="shared" si="41"/>
        <v>2364048</v>
      </c>
      <c r="AZ141" s="53"/>
      <c r="BA141" s="35" t="s">
        <v>167</v>
      </c>
      <c r="BC141" s="35" t="s">
        <v>66</v>
      </c>
      <c r="BD141" s="53"/>
      <c r="BE141" s="53">
        <f>4235625+390563</f>
        <v>4626188</v>
      </c>
      <c r="BF141" s="53"/>
      <c r="BG141" s="53">
        <v>0</v>
      </c>
      <c r="BH141" s="53"/>
      <c r="BI141" s="53">
        <v>0</v>
      </c>
      <c r="BJ141" s="53"/>
      <c r="BK141" s="53">
        <f>6264+42174</f>
        <v>48438</v>
      </c>
      <c r="BL141" s="53"/>
      <c r="BM141" s="53">
        <f t="shared" si="42"/>
        <v>4674626</v>
      </c>
      <c r="BN141" s="54" t="s">
        <v>347</v>
      </c>
      <c r="BR141" s="51"/>
      <c r="BS141" s="53"/>
      <c r="BT141" s="53"/>
      <c r="BU141" s="53"/>
      <c r="BV141" s="53"/>
      <c r="BW141" s="53"/>
      <c r="BX141" s="45"/>
      <c r="BY141" s="45"/>
      <c r="BZ141" s="53"/>
      <c r="CA141" s="53"/>
      <c r="CB141" s="53"/>
      <c r="CC141" s="53"/>
      <c r="CD141" s="53"/>
      <c r="CE141" s="53"/>
      <c r="CF141" s="35"/>
      <c r="CH141" s="35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4"/>
    </row>
    <row r="142" spans="1:98" s="140" customFormat="1" ht="12.75" hidden="1" customHeight="1" x14ac:dyDescent="0.2">
      <c r="A142" s="121" t="s">
        <v>168</v>
      </c>
      <c r="B142" s="124"/>
      <c r="C142" s="121" t="s">
        <v>27</v>
      </c>
      <c r="D142" s="121"/>
      <c r="E142" s="53">
        <f t="shared" si="46"/>
        <v>0</v>
      </c>
      <c r="F142" s="53"/>
      <c r="G142" s="53"/>
      <c r="H142" s="53"/>
      <c r="I142" s="53"/>
      <c r="J142" s="53"/>
      <c r="K142" s="53">
        <f t="shared" si="44"/>
        <v>0</v>
      </c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>
        <f t="shared" si="40"/>
        <v>0</v>
      </c>
      <c r="X142" s="137"/>
      <c r="Y142" s="121" t="s">
        <v>168</v>
      </c>
      <c r="AA142" s="121" t="s">
        <v>27</v>
      </c>
      <c r="AB142" s="121"/>
      <c r="AC142" s="53"/>
      <c r="AD142" s="53"/>
      <c r="AE142" s="53"/>
      <c r="AF142" s="53"/>
      <c r="AG142" s="53"/>
      <c r="AH142" s="53"/>
      <c r="AI142" s="45">
        <f t="shared" si="45"/>
        <v>0</v>
      </c>
      <c r="AJ142" s="45"/>
      <c r="AK142" s="53"/>
      <c r="AL142" s="45"/>
      <c r="AM142" s="53"/>
      <c r="AN142" s="53"/>
      <c r="AO142" s="53"/>
      <c r="AP142" s="53"/>
      <c r="AQ142" s="53"/>
      <c r="AR142" s="53"/>
      <c r="AS142" s="45">
        <f t="shared" si="47"/>
        <v>0</v>
      </c>
      <c r="AT142" s="45"/>
      <c r="AU142" s="53">
        <v>0</v>
      </c>
      <c r="AV142" s="53"/>
      <c r="AW142" s="53">
        <v>0</v>
      </c>
      <c r="AX142" s="53"/>
      <c r="AY142" s="53">
        <f t="shared" si="41"/>
        <v>0</v>
      </c>
      <c r="AZ142" s="53"/>
      <c r="BA142" s="121" t="s">
        <v>168</v>
      </c>
      <c r="BC142" s="121" t="s">
        <v>27</v>
      </c>
      <c r="BD142" s="137"/>
      <c r="BE142" s="53"/>
      <c r="BF142" s="53"/>
      <c r="BG142" s="53"/>
      <c r="BH142" s="53"/>
      <c r="BI142" s="53"/>
      <c r="BJ142" s="53"/>
      <c r="BK142" s="53"/>
      <c r="BL142" s="137"/>
      <c r="BM142" s="137">
        <f t="shared" si="42"/>
        <v>0</v>
      </c>
      <c r="BN142" s="139" t="s">
        <v>347</v>
      </c>
      <c r="BR142" s="124"/>
      <c r="BS142" s="137"/>
      <c r="BT142" s="137"/>
      <c r="BU142" s="137"/>
      <c r="BV142" s="137"/>
      <c r="BW142" s="137"/>
      <c r="BX142" s="127"/>
      <c r="BY142" s="127"/>
      <c r="BZ142" s="137"/>
      <c r="CA142" s="137"/>
      <c r="CB142" s="137"/>
      <c r="CC142" s="137"/>
      <c r="CD142" s="137"/>
      <c r="CE142" s="137"/>
      <c r="CF142" s="126"/>
      <c r="CH142" s="126"/>
      <c r="CI142" s="137"/>
      <c r="CJ142" s="137"/>
      <c r="CK142" s="137"/>
      <c r="CL142" s="137"/>
      <c r="CM142" s="137"/>
      <c r="CN142" s="137"/>
      <c r="CO142" s="137"/>
      <c r="CP142" s="137"/>
      <c r="CQ142" s="137"/>
      <c r="CR142" s="137"/>
      <c r="CS142" s="139"/>
    </row>
    <row r="143" spans="1:98" s="55" customFormat="1" ht="12.75" customHeight="1" x14ac:dyDescent="0.2">
      <c r="A143" s="35" t="s">
        <v>169</v>
      </c>
      <c r="B143" s="51"/>
      <c r="C143" s="35" t="s">
        <v>103</v>
      </c>
      <c r="D143" s="44"/>
      <c r="E143" s="53">
        <f t="shared" si="46"/>
        <v>5448587</v>
      </c>
      <c r="F143" s="53"/>
      <c r="G143" s="53">
        <v>32978395</v>
      </c>
      <c r="H143" s="53"/>
      <c r="I143" s="53">
        <v>38426982</v>
      </c>
      <c r="J143" s="53"/>
      <c r="K143" s="53">
        <f t="shared" si="44"/>
        <v>1120458</v>
      </c>
      <c r="L143" s="53"/>
      <c r="M143" s="53">
        <v>8518220</v>
      </c>
      <c r="N143" s="53"/>
      <c r="O143" s="53">
        <v>9638678</v>
      </c>
      <c r="P143" s="53"/>
      <c r="Q143" s="53">
        <v>23709258</v>
      </c>
      <c r="R143" s="53"/>
      <c r="S143" s="53">
        <v>718872</v>
      </c>
      <c r="T143" s="53"/>
      <c r="U143" s="53">
        <v>4360174</v>
      </c>
      <c r="V143" s="53"/>
      <c r="W143" s="53">
        <f t="shared" si="40"/>
        <v>28788304</v>
      </c>
      <c r="X143" s="53"/>
      <c r="Y143" s="35" t="s">
        <v>169</v>
      </c>
      <c r="AA143" s="35" t="s">
        <v>103</v>
      </c>
      <c r="AB143" s="35"/>
      <c r="AC143" s="53">
        <v>7684862</v>
      </c>
      <c r="AD143" s="53"/>
      <c r="AE143" s="53">
        <f>6841643-1630091</f>
        <v>5211552</v>
      </c>
      <c r="AF143" s="53"/>
      <c r="AG143" s="53">
        <v>1630091</v>
      </c>
      <c r="AH143" s="53"/>
      <c r="AI143" s="45">
        <f t="shared" si="45"/>
        <v>843219</v>
      </c>
      <c r="AJ143" s="45"/>
      <c r="AK143" s="53">
        <v>-340477</v>
      </c>
      <c r="AL143" s="45"/>
      <c r="AM143" s="53">
        <v>0</v>
      </c>
      <c r="AN143" s="53"/>
      <c r="AO143" s="53">
        <v>30839</v>
      </c>
      <c r="AP143" s="53"/>
      <c r="AQ143" s="53">
        <v>0</v>
      </c>
      <c r="AR143" s="53"/>
      <c r="AS143" s="45">
        <f t="shared" si="47"/>
        <v>471903</v>
      </c>
      <c r="AT143" s="45"/>
      <c r="AU143" s="53">
        <v>0</v>
      </c>
      <c r="AV143" s="53"/>
      <c r="AW143" s="53">
        <v>0</v>
      </c>
      <c r="AX143" s="53"/>
      <c r="AY143" s="53">
        <f t="shared" si="41"/>
        <v>4328129</v>
      </c>
      <c r="AZ143" s="53"/>
      <c r="BA143" s="35" t="s">
        <v>169</v>
      </c>
      <c r="BC143" s="35" t="s">
        <v>103</v>
      </c>
      <c r="BD143" s="53"/>
      <c r="BE143" s="53">
        <f>315000+6415000+141601</f>
        <v>6871601</v>
      </c>
      <c r="BF143" s="53"/>
      <c r="BG143" s="53">
        <v>0</v>
      </c>
      <c r="BH143" s="53"/>
      <c r="BI143" s="53">
        <v>0</v>
      </c>
      <c r="BJ143" s="53"/>
      <c r="BK143" s="53">
        <f>1852063+56361+53195+403872+114777</f>
        <v>2480268</v>
      </c>
      <c r="BL143" s="53"/>
      <c r="BM143" s="53">
        <f t="shared" si="42"/>
        <v>9351869</v>
      </c>
      <c r="BN143" s="54" t="s">
        <v>347</v>
      </c>
      <c r="BR143" s="51"/>
      <c r="BS143" s="53"/>
      <c r="BT143" s="53"/>
      <c r="BU143" s="53"/>
      <c r="BV143" s="53"/>
      <c r="BW143" s="53"/>
      <c r="BX143" s="45"/>
      <c r="BY143" s="45"/>
      <c r="BZ143" s="53"/>
      <c r="CA143" s="53"/>
      <c r="CB143" s="53"/>
      <c r="CC143" s="53"/>
      <c r="CD143" s="53"/>
      <c r="CE143" s="53"/>
      <c r="CF143" s="35"/>
      <c r="CH143" s="35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4"/>
    </row>
    <row r="144" spans="1:98" s="55" customFormat="1" ht="12.75" customHeight="1" x14ac:dyDescent="0.2">
      <c r="A144" s="35" t="s">
        <v>170</v>
      </c>
      <c r="B144" s="51"/>
      <c r="C144" s="35" t="s">
        <v>171</v>
      </c>
      <c r="D144" s="44"/>
      <c r="E144" s="53">
        <f t="shared" si="46"/>
        <v>3064022</v>
      </c>
      <c r="F144" s="53"/>
      <c r="G144" s="53">
        <v>10028557</v>
      </c>
      <c r="H144" s="53"/>
      <c r="I144" s="53">
        <v>13092579</v>
      </c>
      <c r="J144" s="53"/>
      <c r="K144" s="53">
        <f t="shared" si="44"/>
        <v>263089</v>
      </c>
      <c r="L144" s="53"/>
      <c r="M144" s="53">
        <v>3335076</v>
      </c>
      <c r="N144" s="53"/>
      <c r="O144" s="53">
        <v>3598165</v>
      </c>
      <c r="P144" s="53"/>
      <c r="Q144" s="53">
        <v>6476144</v>
      </c>
      <c r="R144" s="53"/>
      <c r="S144" s="53">
        <v>0</v>
      </c>
      <c r="T144" s="53"/>
      <c r="U144" s="53">
        <v>3018270</v>
      </c>
      <c r="V144" s="53"/>
      <c r="W144" s="53">
        <f t="shared" si="40"/>
        <v>9494414</v>
      </c>
      <c r="X144" s="53"/>
      <c r="Y144" s="35" t="s">
        <v>170</v>
      </c>
      <c r="AA144" s="35" t="s">
        <v>171</v>
      </c>
      <c r="AB144" s="35"/>
      <c r="AC144" s="53">
        <v>930231</v>
      </c>
      <c r="AD144" s="53"/>
      <c r="AE144" s="53">
        <f>1052026-487273</f>
        <v>564753</v>
      </c>
      <c r="AF144" s="53"/>
      <c r="AG144" s="53">
        <v>487273</v>
      </c>
      <c r="AH144" s="53"/>
      <c r="AI144" s="45">
        <f t="shared" si="45"/>
        <v>-121795</v>
      </c>
      <c r="AJ144" s="45"/>
      <c r="AK144" s="53">
        <v>2639</v>
      </c>
      <c r="AL144" s="45"/>
      <c r="AM144" s="53">
        <v>0</v>
      </c>
      <c r="AN144" s="53"/>
      <c r="AO144" s="53">
        <v>0</v>
      </c>
      <c r="AP144" s="53"/>
      <c r="AQ144" s="53">
        <v>0</v>
      </c>
      <c r="AR144" s="53"/>
      <c r="AS144" s="45">
        <f t="shared" si="47"/>
        <v>-119156</v>
      </c>
      <c r="AT144" s="45"/>
      <c r="AU144" s="53">
        <v>0</v>
      </c>
      <c r="AV144" s="53"/>
      <c r="AW144" s="53">
        <v>0</v>
      </c>
      <c r="AX144" s="53"/>
      <c r="AY144" s="53">
        <f t="shared" si="41"/>
        <v>2800933</v>
      </c>
      <c r="AZ144" s="53"/>
      <c r="BA144" s="35" t="s">
        <v>170</v>
      </c>
      <c r="BC144" s="35" t="s">
        <v>171</v>
      </c>
      <c r="BD144" s="53"/>
      <c r="BE144" s="53">
        <v>0</v>
      </c>
      <c r="BF144" s="53"/>
      <c r="BG144" s="53">
        <v>0</v>
      </c>
      <c r="BH144" s="53"/>
      <c r="BI144" s="53">
        <f>2324543+1002627+142037+83206</f>
        <v>3552413</v>
      </c>
      <c r="BJ144" s="53"/>
      <c r="BK144" s="53">
        <f>7906+9664</f>
        <v>17570</v>
      </c>
      <c r="BL144" s="53"/>
      <c r="BM144" s="53">
        <f t="shared" si="42"/>
        <v>3569983</v>
      </c>
      <c r="BN144" s="54" t="s">
        <v>347</v>
      </c>
      <c r="BR144" s="51"/>
      <c r="BS144" s="53"/>
      <c r="BT144" s="53"/>
      <c r="BU144" s="53"/>
      <c r="BV144" s="53"/>
      <c r="BW144" s="53"/>
      <c r="BX144" s="45"/>
      <c r="BY144" s="45"/>
      <c r="BZ144" s="53"/>
      <c r="CA144" s="53"/>
      <c r="CB144" s="53"/>
      <c r="CC144" s="53"/>
      <c r="CD144" s="53"/>
      <c r="CE144" s="53"/>
      <c r="CF144" s="35"/>
      <c r="CH144" s="35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4"/>
    </row>
    <row r="145" spans="1:97" s="55" customFormat="1" ht="12.75" customHeight="1" x14ac:dyDescent="0.2">
      <c r="A145" s="35" t="s">
        <v>172</v>
      </c>
      <c r="B145" s="51"/>
      <c r="C145" s="35" t="s">
        <v>103</v>
      </c>
      <c r="D145" s="44"/>
      <c r="E145" s="53">
        <f t="shared" si="46"/>
        <v>757967</v>
      </c>
      <c r="F145" s="53"/>
      <c r="G145" s="53">
        <v>0</v>
      </c>
      <c r="H145" s="53"/>
      <c r="I145" s="53">
        <v>757967</v>
      </c>
      <c r="J145" s="53"/>
      <c r="K145" s="53">
        <f t="shared" si="44"/>
        <v>261391</v>
      </c>
      <c r="L145" s="53"/>
      <c r="M145" s="53">
        <v>0</v>
      </c>
      <c r="N145" s="53"/>
      <c r="O145" s="53">
        <v>261391</v>
      </c>
      <c r="P145" s="53"/>
      <c r="Q145" s="53">
        <v>0</v>
      </c>
      <c r="R145" s="53"/>
      <c r="S145" s="53">
        <v>0</v>
      </c>
      <c r="T145" s="53"/>
      <c r="U145" s="53">
        <v>496576</v>
      </c>
      <c r="V145" s="53"/>
      <c r="W145" s="53">
        <f t="shared" si="40"/>
        <v>496576</v>
      </c>
      <c r="X145" s="53"/>
      <c r="Y145" s="35" t="s">
        <v>172</v>
      </c>
      <c r="AA145" s="35" t="s">
        <v>103</v>
      </c>
      <c r="AB145" s="35"/>
      <c r="AC145" s="53">
        <v>1173338</v>
      </c>
      <c r="AD145" s="53"/>
      <c r="AE145" s="53">
        <f>1083566-0</f>
        <v>1083566</v>
      </c>
      <c r="AF145" s="53"/>
      <c r="AG145" s="53">
        <v>0</v>
      </c>
      <c r="AH145" s="53"/>
      <c r="AI145" s="45">
        <f t="shared" si="45"/>
        <v>89772</v>
      </c>
      <c r="AJ145" s="45"/>
      <c r="AK145" s="53">
        <v>0</v>
      </c>
      <c r="AL145" s="45"/>
      <c r="AM145" s="53">
        <v>0</v>
      </c>
      <c r="AN145" s="53"/>
      <c r="AO145" s="53">
        <v>0</v>
      </c>
      <c r="AP145" s="53"/>
      <c r="AQ145" s="53">
        <v>0</v>
      </c>
      <c r="AR145" s="53"/>
      <c r="AS145" s="45">
        <f t="shared" si="47"/>
        <v>89772</v>
      </c>
      <c r="AT145" s="45"/>
      <c r="AU145" s="53">
        <v>0</v>
      </c>
      <c r="AV145" s="53"/>
      <c r="AW145" s="53">
        <v>0</v>
      </c>
      <c r="AX145" s="53"/>
      <c r="AY145" s="53">
        <f t="shared" si="41"/>
        <v>496576</v>
      </c>
      <c r="AZ145" s="53"/>
      <c r="BA145" s="35" t="s">
        <v>172</v>
      </c>
      <c r="BC145" s="35" t="s">
        <v>103</v>
      </c>
      <c r="BD145" s="53"/>
      <c r="BE145" s="53">
        <v>0</v>
      </c>
      <c r="BF145" s="53"/>
      <c r="BG145" s="53">
        <v>0</v>
      </c>
      <c r="BH145" s="53"/>
      <c r="BI145" s="53">
        <v>0</v>
      </c>
      <c r="BJ145" s="53"/>
      <c r="BK145" s="53">
        <v>0</v>
      </c>
      <c r="BL145" s="53"/>
      <c r="BM145" s="53">
        <f t="shared" si="42"/>
        <v>0</v>
      </c>
      <c r="BN145" s="54" t="s">
        <v>347</v>
      </c>
      <c r="BR145" s="51"/>
      <c r="BS145" s="53"/>
      <c r="BT145" s="53"/>
      <c r="BU145" s="53"/>
      <c r="BV145" s="53"/>
      <c r="BW145" s="53"/>
      <c r="BX145" s="45"/>
      <c r="BY145" s="45"/>
      <c r="BZ145" s="53"/>
      <c r="CA145" s="53"/>
      <c r="CB145" s="53"/>
      <c r="CC145" s="53"/>
      <c r="CD145" s="53"/>
      <c r="CE145" s="53"/>
      <c r="CF145" s="35"/>
      <c r="CH145" s="35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4"/>
    </row>
    <row r="146" spans="1:97" s="55" customFormat="1" ht="12.75" hidden="1" customHeight="1" x14ac:dyDescent="0.2">
      <c r="A146" s="35" t="s">
        <v>66</v>
      </c>
      <c r="B146" s="51"/>
      <c r="C146" s="35" t="s">
        <v>45</v>
      </c>
      <c r="D146" s="44"/>
      <c r="E146" s="53">
        <f t="shared" si="46"/>
        <v>0</v>
      </c>
      <c r="F146" s="53"/>
      <c r="G146" s="53"/>
      <c r="H146" s="53"/>
      <c r="I146" s="53"/>
      <c r="J146" s="53"/>
      <c r="K146" s="53">
        <f t="shared" si="44"/>
        <v>0</v>
      </c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>
        <f t="shared" si="40"/>
        <v>0</v>
      </c>
      <c r="X146" s="53"/>
      <c r="Y146" s="35" t="s">
        <v>66</v>
      </c>
      <c r="AA146" s="35" t="s">
        <v>45</v>
      </c>
      <c r="AB146" s="35"/>
      <c r="AC146" s="53"/>
      <c r="AD146" s="53"/>
      <c r="AE146" s="53"/>
      <c r="AF146" s="53"/>
      <c r="AG146" s="53"/>
      <c r="AH146" s="53"/>
      <c r="AI146" s="45">
        <f t="shared" si="45"/>
        <v>0</v>
      </c>
      <c r="AJ146" s="45"/>
      <c r="AK146" s="53"/>
      <c r="AL146" s="45"/>
      <c r="AM146" s="53"/>
      <c r="AN146" s="53"/>
      <c r="AO146" s="53"/>
      <c r="AP146" s="53"/>
      <c r="AQ146" s="53"/>
      <c r="AR146" s="53"/>
      <c r="AS146" s="45">
        <f t="shared" si="47"/>
        <v>0</v>
      </c>
      <c r="AT146" s="45"/>
      <c r="AU146" s="53">
        <v>0</v>
      </c>
      <c r="AV146" s="53"/>
      <c r="AW146" s="53">
        <v>0</v>
      </c>
      <c r="AX146" s="53"/>
      <c r="AY146" s="53">
        <f t="shared" si="41"/>
        <v>0</v>
      </c>
      <c r="AZ146" s="53"/>
      <c r="BA146" s="35" t="s">
        <v>66</v>
      </c>
      <c r="BC146" s="35" t="s">
        <v>45</v>
      </c>
      <c r="BD146" s="53"/>
      <c r="BE146" s="53"/>
      <c r="BF146" s="53"/>
      <c r="BG146" s="53"/>
      <c r="BH146" s="53"/>
      <c r="BI146" s="53"/>
      <c r="BJ146" s="53"/>
      <c r="BK146" s="53"/>
      <c r="BL146" s="53"/>
      <c r="BM146" s="53">
        <f t="shared" si="42"/>
        <v>0</v>
      </c>
      <c r="BN146" s="54" t="s">
        <v>347</v>
      </c>
      <c r="BR146" s="51"/>
      <c r="BS146" s="53"/>
      <c r="BT146" s="53"/>
      <c r="BU146" s="53"/>
      <c r="BV146" s="53"/>
      <c r="BW146" s="53"/>
      <c r="BX146" s="45"/>
      <c r="BY146" s="45"/>
      <c r="BZ146" s="53"/>
      <c r="CA146" s="53"/>
      <c r="CB146" s="53"/>
      <c r="CC146" s="53"/>
      <c r="CD146" s="53"/>
      <c r="CE146" s="53"/>
      <c r="CF146" s="35"/>
      <c r="CH146" s="35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4"/>
    </row>
    <row r="147" spans="1:97" s="140" customFormat="1" ht="12.75" hidden="1" customHeight="1" x14ac:dyDescent="0.2">
      <c r="A147" s="126" t="s">
        <v>173</v>
      </c>
      <c r="B147" s="124"/>
      <c r="C147" s="126" t="s">
        <v>66</v>
      </c>
      <c r="D147" s="121"/>
      <c r="E147" s="53">
        <f t="shared" si="46"/>
        <v>0</v>
      </c>
      <c r="F147" s="53"/>
      <c r="G147" s="53"/>
      <c r="H147" s="53"/>
      <c r="I147" s="53"/>
      <c r="J147" s="53"/>
      <c r="K147" s="53">
        <f t="shared" si="44"/>
        <v>0</v>
      </c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>
        <f t="shared" si="40"/>
        <v>0</v>
      </c>
      <c r="X147" s="137"/>
      <c r="Y147" s="126" t="s">
        <v>173</v>
      </c>
      <c r="AA147" s="126" t="s">
        <v>66</v>
      </c>
      <c r="AB147" s="126"/>
      <c r="AC147" s="53"/>
      <c r="AD147" s="53"/>
      <c r="AE147" s="53"/>
      <c r="AF147" s="53"/>
      <c r="AG147" s="53"/>
      <c r="AH147" s="53"/>
      <c r="AI147" s="45">
        <f t="shared" si="45"/>
        <v>0</v>
      </c>
      <c r="AJ147" s="45"/>
      <c r="AK147" s="53"/>
      <c r="AL147" s="45"/>
      <c r="AM147" s="53"/>
      <c r="AN147" s="53"/>
      <c r="AO147" s="53"/>
      <c r="AP147" s="53"/>
      <c r="AQ147" s="53"/>
      <c r="AR147" s="53"/>
      <c r="AS147" s="45">
        <f t="shared" si="47"/>
        <v>0</v>
      </c>
      <c r="AT147" s="45"/>
      <c r="AU147" s="53">
        <v>0</v>
      </c>
      <c r="AV147" s="53"/>
      <c r="AW147" s="53">
        <v>0</v>
      </c>
      <c r="AX147" s="53"/>
      <c r="AY147" s="53">
        <f t="shared" si="41"/>
        <v>0</v>
      </c>
      <c r="AZ147" s="53"/>
      <c r="BA147" s="126" t="s">
        <v>173</v>
      </c>
      <c r="BC147" s="126" t="s">
        <v>66</v>
      </c>
      <c r="BD147" s="137"/>
      <c r="BE147" s="53"/>
      <c r="BF147" s="53"/>
      <c r="BG147" s="53"/>
      <c r="BH147" s="53"/>
      <c r="BI147" s="53"/>
      <c r="BJ147" s="53"/>
      <c r="BK147" s="53"/>
      <c r="BL147" s="137"/>
      <c r="BM147" s="137">
        <f t="shared" ref="BM147:BM213" si="51">SUM(BE147:BK147)</f>
        <v>0</v>
      </c>
      <c r="BN147" s="139" t="s">
        <v>347</v>
      </c>
      <c r="BR147" s="124"/>
      <c r="BS147" s="137"/>
      <c r="BT147" s="137"/>
      <c r="BU147" s="137"/>
      <c r="BV147" s="137"/>
      <c r="BW147" s="137"/>
      <c r="BX147" s="127"/>
      <c r="BY147" s="127"/>
      <c r="BZ147" s="137"/>
      <c r="CA147" s="137"/>
      <c r="CB147" s="137"/>
      <c r="CC147" s="137"/>
      <c r="CD147" s="137"/>
      <c r="CE147" s="137"/>
      <c r="CF147" s="126"/>
      <c r="CH147" s="126"/>
      <c r="CI147" s="137"/>
      <c r="CJ147" s="137"/>
      <c r="CK147" s="137"/>
      <c r="CL147" s="137"/>
      <c r="CM147" s="137"/>
      <c r="CN147" s="137"/>
      <c r="CO147" s="137"/>
      <c r="CP147" s="137"/>
      <c r="CQ147" s="137"/>
      <c r="CR147" s="137"/>
      <c r="CS147" s="139"/>
    </row>
    <row r="148" spans="1:97" s="140" customFormat="1" ht="12.75" hidden="1" customHeight="1" x14ac:dyDescent="0.2">
      <c r="A148" s="126" t="s">
        <v>174</v>
      </c>
      <c r="B148" s="124"/>
      <c r="C148" s="126" t="s">
        <v>45</v>
      </c>
      <c r="D148" s="121"/>
      <c r="E148" s="53">
        <f t="shared" si="46"/>
        <v>0</v>
      </c>
      <c r="F148" s="53"/>
      <c r="G148" s="53"/>
      <c r="H148" s="53"/>
      <c r="I148" s="53"/>
      <c r="J148" s="53"/>
      <c r="K148" s="53">
        <f t="shared" ref="K148:K179" si="52">O148-M148</f>
        <v>0</v>
      </c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>
        <f t="shared" ref="W148:W179" si="53">SUM(Q148:U148)</f>
        <v>0</v>
      </c>
      <c r="X148" s="137"/>
      <c r="Y148" s="126" t="s">
        <v>174</v>
      </c>
      <c r="AA148" s="126" t="s">
        <v>45</v>
      </c>
      <c r="AB148" s="126"/>
      <c r="AC148" s="53"/>
      <c r="AD148" s="53"/>
      <c r="AE148" s="53"/>
      <c r="AF148" s="53"/>
      <c r="AG148" s="53"/>
      <c r="AH148" s="53"/>
      <c r="AI148" s="45">
        <f t="shared" ref="AI148:AI179" si="54">+AC148-AE148-AG148</f>
        <v>0</v>
      </c>
      <c r="AJ148" s="45"/>
      <c r="AK148" s="53"/>
      <c r="AL148" s="45"/>
      <c r="AM148" s="53"/>
      <c r="AN148" s="53"/>
      <c r="AO148" s="53"/>
      <c r="AP148" s="53"/>
      <c r="AQ148" s="53"/>
      <c r="AR148" s="53"/>
      <c r="AS148" s="45">
        <f t="shared" si="47"/>
        <v>0</v>
      </c>
      <c r="AT148" s="45"/>
      <c r="AU148" s="53">
        <v>0</v>
      </c>
      <c r="AV148" s="53"/>
      <c r="AW148" s="53">
        <v>0</v>
      </c>
      <c r="AX148" s="53"/>
      <c r="AY148" s="53">
        <f t="shared" ref="AY148:AY179" si="55">+E148-K148</f>
        <v>0</v>
      </c>
      <c r="AZ148" s="53"/>
      <c r="BA148" s="126" t="s">
        <v>174</v>
      </c>
      <c r="BC148" s="126" t="s">
        <v>45</v>
      </c>
      <c r="BD148" s="137"/>
      <c r="BE148" s="53"/>
      <c r="BF148" s="53"/>
      <c r="BG148" s="53"/>
      <c r="BH148" s="53"/>
      <c r="BI148" s="53"/>
      <c r="BJ148" s="53"/>
      <c r="BK148" s="53"/>
      <c r="BL148" s="137"/>
      <c r="BM148" s="137">
        <f t="shared" si="51"/>
        <v>0</v>
      </c>
      <c r="BN148" s="139" t="s">
        <v>347</v>
      </c>
      <c r="BO148" s="140" t="s">
        <v>406</v>
      </c>
      <c r="BR148" s="124"/>
      <c r="BS148" s="137"/>
      <c r="BT148" s="137"/>
      <c r="BU148" s="137"/>
      <c r="BV148" s="137"/>
      <c r="BW148" s="137"/>
      <c r="BX148" s="127"/>
      <c r="BY148" s="127"/>
      <c r="BZ148" s="137"/>
      <c r="CA148" s="137"/>
      <c r="CB148" s="137"/>
      <c r="CC148" s="137"/>
      <c r="CD148" s="137"/>
      <c r="CE148" s="137"/>
      <c r="CF148" s="126"/>
      <c r="CH148" s="126"/>
      <c r="CI148" s="137"/>
      <c r="CJ148" s="137"/>
      <c r="CK148" s="137"/>
      <c r="CL148" s="137"/>
      <c r="CM148" s="137"/>
      <c r="CN148" s="137"/>
      <c r="CO148" s="137"/>
      <c r="CP148" s="137"/>
      <c r="CQ148" s="137"/>
      <c r="CR148" s="137"/>
      <c r="CS148" s="139"/>
    </row>
    <row r="149" spans="1:97" s="55" customFormat="1" ht="12.75" customHeight="1" x14ac:dyDescent="0.2">
      <c r="A149" s="35" t="s">
        <v>175</v>
      </c>
      <c r="B149" s="51"/>
      <c r="C149" s="35" t="s">
        <v>176</v>
      </c>
      <c r="D149" s="44"/>
      <c r="E149" s="53">
        <f t="shared" si="46"/>
        <v>3569448</v>
      </c>
      <c r="F149" s="53"/>
      <c r="G149" s="53">
        <v>17992345</v>
      </c>
      <c r="H149" s="53"/>
      <c r="I149" s="53">
        <v>21561793</v>
      </c>
      <c r="J149" s="53"/>
      <c r="K149" s="53">
        <f t="shared" si="52"/>
        <v>1270171</v>
      </c>
      <c r="L149" s="53"/>
      <c r="M149" s="53">
        <v>8898191</v>
      </c>
      <c r="N149" s="53"/>
      <c r="O149" s="53">
        <v>10168362</v>
      </c>
      <c r="P149" s="53"/>
      <c r="Q149" s="53">
        <v>8763640</v>
      </c>
      <c r="R149" s="53"/>
      <c r="S149" s="53">
        <v>951503</v>
      </c>
      <c r="T149" s="53"/>
      <c r="U149" s="53">
        <v>1678288</v>
      </c>
      <c r="V149" s="53"/>
      <c r="W149" s="53">
        <f t="shared" si="53"/>
        <v>11393431</v>
      </c>
      <c r="X149" s="53"/>
      <c r="Y149" s="35" t="s">
        <v>175</v>
      </c>
      <c r="AA149" s="35" t="s">
        <v>176</v>
      </c>
      <c r="AB149" s="35"/>
      <c r="AC149" s="53">
        <v>3439090</v>
      </c>
      <c r="AD149" s="53"/>
      <c r="AE149" s="53">
        <f>2696060-532415</f>
        <v>2163645</v>
      </c>
      <c r="AF149" s="53"/>
      <c r="AG149" s="53">
        <v>532415</v>
      </c>
      <c r="AH149" s="53"/>
      <c r="AI149" s="45">
        <f t="shared" si="54"/>
        <v>743030</v>
      </c>
      <c r="AJ149" s="45"/>
      <c r="AK149" s="53">
        <v>-294349</v>
      </c>
      <c r="AL149" s="45"/>
      <c r="AM149" s="53">
        <v>0</v>
      </c>
      <c r="AN149" s="53"/>
      <c r="AO149" s="53">
        <v>0</v>
      </c>
      <c r="AP149" s="53"/>
      <c r="AQ149" s="53">
        <v>0</v>
      </c>
      <c r="AR149" s="53"/>
      <c r="AS149" s="45">
        <f t="shared" si="47"/>
        <v>448681</v>
      </c>
      <c r="AT149" s="45"/>
      <c r="AU149" s="53">
        <v>0</v>
      </c>
      <c r="AV149" s="53"/>
      <c r="AW149" s="53">
        <v>0</v>
      </c>
      <c r="AX149" s="53"/>
      <c r="AY149" s="53">
        <f t="shared" si="55"/>
        <v>2299277</v>
      </c>
      <c r="AZ149" s="53"/>
      <c r="BA149" s="35" t="s">
        <v>175</v>
      </c>
      <c r="BC149" s="35" t="s">
        <v>176</v>
      </c>
      <c r="BD149" s="53"/>
      <c r="BE149" s="53">
        <f>6465867+454475</f>
        <v>6920342</v>
      </c>
      <c r="BF149" s="53"/>
      <c r="BG149" s="53">
        <v>0</v>
      </c>
      <c r="BH149" s="53"/>
      <c r="BI149" s="53">
        <v>2303347</v>
      </c>
      <c r="BJ149" s="53"/>
      <c r="BK149" s="53">
        <f>128977+61014</f>
        <v>189991</v>
      </c>
      <c r="BL149" s="53"/>
      <c r="BM149" s="53">
        <f t="shared" si="51"/>
        <v>9413680</v>
      </c>
      <c r="BN149" s="54" t="s">
        <v>347</v>
      </c>
      <c r="BO149" s="55" t="s">
        <v>406</v>
      </c>
      <c r="BR149" s="51"/>
      <c r="BS149" s="53"/>
      <c r="BT149" s="53"/>
      <c r="BU149" s="53"/>
      <c r="BV149" s="53"/>
      <c r="BW149" s="53"/>
      <c r="BX149" s="45"/>
      <c r="BY149" s="45"/>
      <c r="BZ149" s="53"/>
      <c r="CA149" s="53"/>
      <c r="CB149" s="53"/>
      <c r="CC149" s="53"/>
      <c r="CD149" s="53"/>
      <c r="CE149" s="53"/>
      <c r="CF149" s="35"/>
      <c r="CH149" s="35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4"/>
    </row>
    <row r="150" spans="1:97" s="140" customFormat="1" ht="12.75" hidden="1" customHeight="1" x14ac:dyDescent="0.2">
      <c r="A150" s="126" t="s">
        <v>177</v>
      </c>
      <c r="B150" s="124"/>
      <c r="C150" s="126" t="s">
        <v>13</v>
      </c>
      <c r="D150" s="121"/>
      <c r="E150" s="53">
        <f t="shared" si="46"/>
        <v>0</v>
      </c>
      <c r="F150" s="53"/>
      <c r="G150" s="53"/>
      <c r="H150" s="53"/>
      <c r="I150" s="53"/>
      <c r="J150" s="53"/>
      <c r="K150" s="53">
        <f t="shared" si="52"/>
        <v>0</v>
      </c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>
        <f t="shared" si="53"/>
        <v>0</v>
      </c>
      <c r="X150" s="137"/>
      <c r="Y150" s="126" t="s">
        <v>177</v>
      </c>
      <c r="AA150" s="126" t="s">
        <v>13</v>
      </c>
      <c r="AB150" s="126"/>
      <c r="AC150" s="53"/>
      <c r="AD150" s="53"/>
      <c r="AE150" s="53"/>
      <c r="AF150" s="53"/>
      <c r="AG150" s="53"/>
      <c r="AH150" s="53"/>
      <c r="AI150" s="45">
        <f t="shared" si="54"/>
        <v>0</v>
      </c>
      <c r="AJ150" s="45"/>
      <c r="AK150" s="53"/>
      <c r="AL150" s="45"/>
      <c r="AM150" s="53"/>
      <c r="AN150" s="53"/>
      <c r="AO150" s="53"/>
      <c r="AP150" s="53"/>
      <c r="AQ150" s="53"/>
      <c r="AR150" s="53"/>
      <c r="AS150" s="45">
        <f t="shared" si="47"/>
        <v>0</v>
      </c>
      <c r="AT150" s="45"/>
      <c r="AU150" s="53">
        <v>0</v>
      </c>
      <c r="AV150" s="53"/>
      <c r="AW150" s="53">
        <v>0</v>
      </c>
      <c r="AX150" s="53"/>
      <c r="AY150" s="53">
        <f t="shared" si="55"/>
        <v>0</v>
      </c>
      <c r="AZ150" s="53"/>
      <c r="BA150" s="126" t="s">
        <v>177</v>
      </c>
      <c r="BC150" s="126" t="s">
        <v>13</v>
      </c>
      <c r="BD150" s="137"/>
      <c r="BE150" s="53"/>
      <c r="BF150" s="53"/>
      <c r="BG150" s="53"/>
      <c r="BH150" s="53"/>
      <c r="BI150" s="53"/>
      <c r="BJ150" s="53"/>
      <c r="BK150" s="53"/>
      <c r="BL150" s="137"/>
      <c r="BM150" s="137">
        <f t="shared" si="51"/>
        <v>0</v>
      </c>
      <c r="BN150" s="139" t="s">
        <v>347</v>
      </c>
      <c r="BR150" s="124"/>
      <c r="BS150" s="137"/>
      <c r="BT150" s="137"/>
      <c r="BU150" s="137"/>
      <c r="BV150" s="137"/>
      <c r="BW150" s="137"/>
      <c r="BX150" s="127"/>
      <c r="BY150" s="127"/>
      <c r="BZ150" s="137"/>
      <c r="CA150" s="137"/>
      <c r="CB150" s="137"/>
      <c r="CC150" s="137"/>
      <c r="CD150" s="137"/>
      <c r="CE150" s="137"/>
      <c r="CF150" s="126"/>
      <c r="CH150" s="126"/>
      <c r="CI150" s="137"/>
      <c r="CJ150" s="137"/>
      <c r="CK150" s="137"/>
      <c r="CL150" s="137"/>
      <c r="CM150" s="137"/>
      <c r="CN150" s="137"/>
      <c r="CO150" s="137"/>
      <c r="CP150" s="137"/>
      <c r="CQ150" s="137"/>
      <c r="CR150" s="137"/>
      <c r="CS150" s="139"/>
    </row>
    <row r="151" spans="1:97" s="55" customFormat="1" ht="12.75" customHeight="1" x14ac:dyDescent="0.2">
      <c r="A151" s="35" t="s">
        <v>178</v>
      </c>
      <c r="B151" s="51"/>
      <c r="C151" s="35" t="s">
        <v>179</v>
      </c>
      <c r="D151" s="44"/>
      <c r="E151" s="53">
        <f t="shared" si="46"/>
        <v>6710034</v>
      </c>
      <c r="F151" s="53"/>
      <c r="G151" s="53">
        <v>18790179</v>
      </c>
      <c r="H151" s="53"/>
      <c r="I151" s="53">
        <v>25500213</v>
      </c>
      <c r="J151" s="53"/>
      <c r="K151" s="53">
        <f t="shared" si="52"/>
        <v>1382276</v>
      </c>
      <c r="L151" s="53"/>
      <c r="M151" s="53">
        <v>15241906</v>
      </c>
      <c r="N151" s="53"/>
      <c r="O151" s="53">
        <v>16624182</v>
      </c>
      <c r="P151" s="53"/>
      <c r="Q151" s="53">
        <v>5822828</v>
      </c>
      <c r="R151" s="53"/>
      <c r="S151" s="53">
        <v>0</v>
      </c>
      <c r="T151" s="53"/>
      <c r="U151" s="53">
        <v>3053203</v>
      </c>
      <c r="V151" s="53"/>
      <c r="W151" s="53">
        <f>SUM(Q151:U151)</f>
        <v>8876031</v>
      </c>
      <c r="X151" s="53"/>
      <c r="Y151" s="35" t="s">
        <v>178</v>
      </c>
      <c r="AA151" s="35" t="s">
        <v>179</v>
      </c>
      <c r="AB151" s="35"/>
      <c r="AC151" s="53">
        <v>3412565</v>
      </c>
      <c r="AD151" s="53"/>
      <c r="AE151" s="53">
        <f>2433402-571033</f>
        <v>1862369</v>
      </c>
      <c r="AF151" s="53"/>
      <c r="AG151" s="53">
        <v>571033</v>
      </c>
      <c r="AH151" s="53"/>
      <c r="AI151" s="45">
        <f t="shared" si="54"/>
        <v>979163</v>
      </c>
      <c r="AJ151" s="45"/>
      <c r="AK151" s="53">
        <v>-416049</v>
      </c>
      <c r="AL151" s="45"/>
      <c r="AM151" s="53">
        <v>495021</v>
      </c>
      <c r="AN151" s="53"/>
      <c r="AO151" s="53">
        <v>32480</v>
      </c>
      <c r="AP151" s="53"/>
      <c r="AQ151" s="53">
        <v>67019</v>
      </c>
      <c r="AR151" s="53"/>
      <c r="AS151" s="45">
        <f t="shared" si="47"/>
        <v>1092674</v>
      </c>
      <c r="AT151" s="45"/>
      <c r="AU151" s="53">
        <v>0</v>
      </c>
      <c r="AV151" s="53"/>
      <c r="AW151" s="53">
        <v>0</v>
      </c>
      <c r="AX151" s="53"/>
      <c r="AY151" s="53">
        <f t="shared" si="55"/>
        <v>5327758</v>
      </c>
      <c r="AZ151" s="53"/>
      <c r="BA151" s="35" t="s">
        <v>178</v>
      </c>
      <c r="BC151" s="35" t="s">
        <v>179</v>
      </c>
      <c r="BD151" s="53"/>
      <c r="BE151" s="53">
        <v>0</v>
      </c>
      <c r="BF151" s="53"/>
      <c r="BG151" s="53">
        <f>5625000+295000</f>
        <v>5920000</v>
      </c>
      <c r="BH151" s="53"/>
      <c r="BI151" s="53">
        <f>1024371+425791+242884+6813164+28684+420894+438422</f>
        <v>9394210</v>
      </c>
      <c r="BJ151" s="53"/>
      <c r="BK151" s="53">
        <f>51650+996000+63046+6400+28203</f>
        <v>1145299</v>
      </c>
      <c r="BL151" s="53"/>
      <c r="BM151" s="53">
        <f t="shared" si="51"/>
        <v>16459509</v>
      </c>
      <c r="BN151" s="54" t="s">
        <v>347</v>
      </c>
      <c r="BR151" s="51"/>
      <c r="BS151" s="53"/>
      <c r="BT151" s="53"/>
      <c r="BU151" s="53"/>
      <c r="BV151" s="53"/>
      <c r="BW151" s="53"/>
      <c r="BX151" s="45"/>
      <c r="BY151" s="45"/>
      <c r="BZ151" s="53"/>
      <c r="CA151" s="53"/>
      <c r="CB151" s="53"/>
      <c r="CC151" s="53"/>
      <c r="CD151" s="53"/>
      <c r="CE151" s="53"/>
      <c r="CF151" s="35"/>
      <c r="CH151" s="35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4"/>
    </row>
    <row r="152" spans="1:97" s="55" customFormat="1" ht="12.75" customHeight="1" x14ac:dyDescent="0.2">
      <c r="A152" s="35" t="s">
        <v>180</v>
      </c>
      <c r="B152" s="51"/>
      <c r="C152" s="35" t="s">
        <v>20</v>
      </c>
      <c r="D152" s="44"/>
      <c r="E152" s="53">
        <f t="shared" si="46"/>
        <v>939237</v>
      </c>
      <c r="F152" s="53"/>
      <c r="G152" s="53">
        <v>3426201</v>
      </c>
      <c r="H152" s="53"/>
      <c r="I152" s="53">
        <v>4365438</v>
      </c>
      <c r="J152" s="53"/>
      <c r="K152" s="53">
        <f t="shared" si="52"/>
        <v>304832</v>
      </c>
      <c r="L152" s="53"/>
      <c r="M152" s="53">
        <v>1163654</v>
      </c>
      <c r="N152" s="53"/>
      <c r="O152" s="53">
        <v>1468486</v>
      </c>
      <c r="P152" s="53"/>
      <c r="Q152" s="53">
        <v>2074853</v>
      </c>
      <c r="R152" s="53"/>
      <c r="S152" s="53">
        <v>0</v>
      </c>
      <c r="T152" s="53"/>
      <c r="U152" s="53">
        <v>822099</v>
      </c>
      <c r="V152" s="53"/>
      <c r="W152" s="53">
        <f t="shared" si="53"/>
        <v>2896952</v>
      </c>
      <c r="X152" s="53"/>
      <c r="Y152" s="35" t="s">
        <v>180</v>
      </c>
      <c r="AA152" s="35" t="s">
        <v>20</v>
      </c>
      <c r="AB152" s="35"/>
      <c r="AC152" s="53">
        <v>1021832</v>
      </c>
      <c r="AD152" s="53"/>
      <c r="AE152" s="53">
        <f>853217-222098</f>
        <v>631119</v>
      </c>
      <c r="AF152" s="53"/>
      <c r="AG152" s="53">
        <v>222098</v>
      </c>
      <c r="AH152" s="53"/>
      <c r="AI152" s="45">
        <f t="shared" si="54"/>
        <v>168615</v>
      </c>
      <c r="AJ152" s="45"/>
      <c r="AK152" s="53">
        <v>-43845</v>
      </c>
      <c r="AL152" s="45"/>
      <c r="AM152" s="53">
        <v>0</v>
      </c>
      <c r="AN152" s="53"/>
      <c r="AO152" s="53">
        <v>0</v>
      </c>
      <c r="AP152" s="53"/>
      <c r="AQ152" s="53">
        <v>1230</v>
      </c>
      <c r="AR152" s="53"/>
      <c r="AS152" s="45">
        <f t="shared" si="47"/>
        <v>126000</v>
      </c>
      <c r="AT152" s="45"/>
      <c r="AU152" s="53">
        <v>0</v>
      </c>
      <c r="AV152" s="53"/>
      <c r="AW152" s="53">
        <v>0</v>
      </c>
      <c r="AX152" s="53"/>
      <c r="AY152" s="53">
        <f t="shared" si="55"/>
        <v>634405</v>
      </c>
      <c r="AZ152" s="53"/>
      <c r="BA152" s="35" t="s">
        <v>180</v>
      </c>
      <c r="BC152" s="35" t="s">
        <v>20</v>
      </c>
      <c r="BD152" s="53"/>
      <c r="BE152" s="53">
        <v>0</v>
      </c>
      <c r="BF152" s="53"/>
      <c r="BG152" s="53">
        <v>0</v>
      </c>
      <c r="BH152" s="53"/>
      <c r="BI152" s="53">
        <f>1051766+97605+192736+9251</f>
        <v>1351358</v>
      </c>
      <c r="BJ152" s="53"/>
      <c r="BK152" s="53">
        <f>6780+14283</f>
        <v>21063</v>
      </c>
      <c r="BL152" s="53"/>
      <c r="BM152" s="53">
        <f t="shared" si="51"/>
        <v>1372421</v>
      </c>
      <c r="BN152" s="54" t="s">
        <v>347</v>
      </c>
      <c r="BR152" s="51"/>
      <c r="BS152" s="53"/>
      <c r="BT152" s="53"/>
      <c r="BU152" s="53"/>
      <c r="BV152" s="53"/>
      <c r="BW152" s="53"/>
      <c r="BX152" s="45"/>
      <c r="BY152" s="45"/>
      <c r="BZ152" s="53"/>
      <c r="CA152" s="53"/>
      <c r="CB152" s="53"/>
      <c r="CC152" s="53"/>
      <c r="CD152" s="53"/>
      <c r="CE152" s="53"/>
      <c r="CF152" s="35"/>
      <c r="CH152" s="35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4"/>
    </row>
    <row r="153" spans="1:97" s="55" customFormat="1" ht="12.75" hidden="1" customHeight="1" x14ac:dyDescent="0.2">
      <c r="A153" s="44" t="s">
        <v>508</v>
      </c>
      <c r="B153" s="47"/>
      <c r="C153" s="44" t="s">
        <v>43</v>
      </c>
      <c r="D153" s="44"/>
      <c r="E153" s="53">
        <f t="shared" si="46"/>
        <v>0</v>
      </c>
      <c r="F153" s="53"/>
      <c r="G153" s="53"/>
      <c r="H153" s="53"/>
      <c r="I153" s="53"/>
      <c r="J153" s="53"/>
      <c r="K153" s="53">
        <f t="shared" si="52"/>
        <v>0</v>
      </c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>
        <f t="shared" si="53"/>
        <v>0</v>
      </c>
      <c r="X153" s="53"/>
      <c r="Y153" s="44" t="s">
        <v>508</v>
      </c>
      <c r="Z153" s="47"/>
      <c r="AA153" s="44" t="s">
        <v>43</v>
      </c>
      <c r="AB153" s="35"/>
      <c r="AC153" s="53"/>
      <c r="AD153" s="53"/>
      <c r="AE153" s="53"/>
      <c r="AF153" s="53"/>
      <c r="AG153" s="53"/>
      <c r="AH153" s="53"/>
      <c r="AI153" s="45">
        <f t="shared" si="54"/>
        <v>0</v>
      </c>
      <c r="AJ153" s="45"/>
      <c r="AK153" s="53"/>
      <c r="AL153" s="45"/>
      <c r="AM153" s="53"/>
      <c r="AN153" s="53"/>
      <c r="AO153" s="53"/>
      <c r="AP153" s="53"/>
      <c r="AQ153" s="53"/>
      <c r="AR153" s="53"/>
      <c r="AS153" s="45">
        <f t="shared" si="47"/>
        <v>0</v>
      </c>
      <c r="AT153" s="45"/>
      <c r="AU153" s="53"/>
      <c r="AV153" s="53"/>
      <c r="AW153" s="53"/>
      <c r="AX153" s="53"/>
      <c r="AY153" s="53">
        <f t="shared" si="55"/>
        <v>0</v>
      </c>
      <c r="AZ153" s="53"/>
      <c r="BA153" s="44" t="s">
        <v>508</v>
      </c>
      <c r="BB153" s="47"/>
      <c r="BC153" s="44" t="s">
        <v>43</v>
      </c>
      <c r="BD153" s="53"/>
      <c r="BE153" s="53"/>
      <c r="BF153" s="53"/>
      <c r="BG153" s="53"/>
      <c r="BH153" s="53"/>
      <c r="BI153" s="53"/>
      <c r="BJ153" s="53"/>
      <c r="BK153" s="53"/>
      <c r="BL153" s="53"/>
      <c r="BM153" s="53">
        <f t="shared" si="51"/>
        <v>0</v>
      </c>
      <c r="BN153" s="54"/>
      <c r="BR153" s="51"/>
      <c r="BS153" s="53"/>
      <c r="BT153" s="53"/>
      <c r="BU153" s="53"/>
      <c r="BV153" s="53"/>
      <c r="BW153" s="53"/>
      <c r="BX153" s="45"/>
      <c r="BY153" s="45"/>
      <c r="BZ153" s="53"/>
      <c r="CA153" s="53"/>
      <c r="CB153" s="53"/>
      <c r="CC153" s="53"/>
      <c r="CD153" s="53"/>
      <c r="CE153" s="53"/>
      <c r="CF153" s="35"/>
      <c r="CH153" s="35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4"/>
    </row>
    <row r="154" spans="1:97" s="55" customFormat="1" ht="12.75" customHeight="1" x14ac:dyDescent="0.2">
      <c r="A154" s="35" t="s">
        <v>182</v>
      </c>
      <c r="C154" s="35" t="s">
        <v>183</v>
      </c>
      <c r="D154" s="44"/>
      <c r="E154" s="53">
        <f t="shared" si="46"/>
        <v>469849</v>
      </c>
      <c r="F154" s="53"/>
      <c r="G154" s="53">
        <v>550272</v>
      </c>
      <c r="H154" s="53"/>
      <c r="I154" s="53">
        <v>1020121</v>
      </c>
      <c r="J154" s="53"/>
      <c r="K154" s="53">
        <f t="shared" si="52"/>
        <v>200581</v>
      </c>
      <c r="L154" s="53"/>
      <c r="M154" s="53">
        <v>658416</v>
      </c>
      <c r="N154" s="53"/>
      <c r="O154" s="53">
        <v>858997</v>
      </c>
      <c r="P154" s="53"/>
      <c r="Q154" s="53">
        <v>0</v>
      </c>
      <c r="R154" s="53"/>
      <c r="S154" s="53">
        <v>0</v>
      </c>
      <c r="T154" s="53"/>
      <c r="U154" s="53">
        <v>161124</v>
      </c>
      <c r="V154" s="53"/>
      <c r="W154" s="53">
        <f t="shared" si="53"/>
        <v>161124</v>
      </c>
      <c r="X154" s="53"/>
      <c r="Y154" s="35" t="s">
        <v>182</v>
      </c>
      <c r="AA154" s="35" t="s">
        <v>183</v>
      </c>
      <c r="AB154" s="35"/>
      <c r="AC154" s="53">
        <v>788107</v>
      </c>
      <c r="AD154" s="53"/>
      <c r="AE154" s="53">
        <f>1173593-488549</f>
        <v>685044</v>
      </c>
      <c r="AF154" s="53"/>
      <c r="AG154" s="53">
        <v>488549</v>
      </c>
      <c r="AH154" s="53"/>
      <c r="AI154" s="45">
        <f t="shared" si="54"/>
        <v>-385486</v>
      </c>
      <c r="AJ154" s="45"/>
      <c r="AK154" s="53">
        <v>-37013</v>
      </c>
      <c r="AL154" s="45"/>
      <c r="AM154" s="53">
        <v>0</v>
      </c>
      <c r="AN154" s="53"/>
      <c r="AO154" s="53">
        <v>0</v>
      </c>
      <c r="AP154" s="53"/>
      <c r="AQ154" s="53">
        <v>0</v>
      </c>
      <c r="AR154" s="53"/>
      <c r="AS154" s="45">
        <f t="shared" si="47"/>
        <v>-422499</v>
      </c>
      <c r="AT154" s="45"/>
      <c r="AU154" s="53">
        <v>0</v>
      </c>
      <c r="AV154" s="53"/>
      <c r="AW154" s="53">
        <v>0</v>
      </c>
      <c r="AX154" s="53"/>
      <c r="AY154" s="53">
        <f t="shared" si="55"/>
        <v>269268</v>
      </c>
      <c r="AZ154" s="53"/>
      <c r="BA154" s="35" t="s">
        <v>182</v>
      </c>
      <c r="BC154" s="35" t="s">
        <v>183</v>
      </c>
      <c r="BD154" s="53"/>
      <c r="BE154" s="53">
        <v>0</v>
      </c>
      <c r="BF154" s="53"/>
      <c r="BG154" s="53">
        <v>0</v>
      </c>
      <c r="BH154" s="53"/>
      <c r="BI154" s="53">
        <f>623274+172559</f>
        <v>795833</v>
      </c>
      <c r="BJ154" s="53"/>
      <c r="BK154" s="53">
        <f>5758+35142</f>
        <v>40900</v>
      </c>
      <c r="BL154" s="53"/>
      <c r="BM154" s="53">
        <f t="shared" si="51"/>
        <v>836733</v>
      </c>
      <c r="BN154" s="54" t="s">
        <v>347</v>
      </c>
      <c r="BR154" s="51"/>
      <c r="BS154" s="53"/>
      <c r="BT154" s="53"/>
      <c r="BU154" s="53"/>
      <c r="BV154" s="53"/>
      <c r="BW154" s="53"/>
      <c r="BX154" s="45"/>
      <c r="BY154" s="45"/>
      <c r="BZ154" s="53"/>
      <c r="CA154" s="53"/>
      <c r="CB154" s="53"/>
      <c r="CC154" s="53"/>
      <c r="CD154" s="53"/>
      <c r="CE154" s="53"/>
      <c r="CF154" s="35"/>
      <c r="CH154" s="35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4"/>
    </row>
    <row r="155" spans="1:97" s="55" customFormat="1" ht="12.75" customHeight="1" x14ac:dyDescent="0.2">
      <c r="A155" s="35" t="s">
        <v>184</v>
      </c>
      <c r="B155" s="51"/>
      <c r="C155" s="35" t="s">
        <v>89</v>
      </c>
      <c r="D155" s="44"/>
      <c r="E155" s="53">
        <f t="shared" si="46"/>
        <v>1319493</v>
      </c>
      <c r="F155" s="53"/>
      <c r="G155" s="53">
        <v>12018050</v>
      </c>
      <c r="H155" s="53"/>
      <c r="I155" s="53">
        <v>13337543</v>
      </c>
      <c r="J155" s="53"/>
      <c r="K155" s="53">
        <f t="shared" si="52"/>
        <v>832434</v>
      </c>
      <c r="L155" s="53"/>
      <c r="M155" s="53">
        <v>6482076</v>
      </c>
      <c r="N155" s="53"/>
      <c r="O155" s="53">
        <v>7314510</v>
      </c>
      <c r="P155" s="53"/>
      <c r="Q155" s="53">
        <v>6007618</v>
      </c>
      <c r="R155" s="53"/>
      <c r="S155" s="53">
        <v>0</v>
      </c>
      <c r="T155" s="53"/>
      <c r="U155" s="53">
        <v>15415</v>
      </c>
      <c r="V155" s="53"/>
      <c r="W155" s="53">
        <f t="shared" si="53"/>
        <v>6023033</v>
      </c>
      <c r="X155" s="53"/>
      <c r="Y155" s="35" t="s">
        <v>184</v>
      </c>
      <c r="AA155" s="35" t="s">
        <v>89</v>
      </c>
      <c r="AB155" s="35"/>
      <c r="AC155" s="53">
        <v>2179661</v>
      </c>
      <c r="AD155" s="53"/>
      <c r="AE155" s="53">
        <f>1879805-512681</f>
        <v>1367124</v>
      </c>
      <c r="AF155" s="53"/>
      <c r="AG155" s="53">
        <v>512681</v>
      </c>
      <c r="AH155" s="53"/>
      <c r="AI155" s="45">
        <f t="shared" si="54"/>
        <v>299856</v>
      </c>
      <c r="AJ155" s="45"/>
      <c r="AK155" s="53">
        <v>89209</v>
      </c>
      <c r="AL155" s="45"/>
      <c r="AM155" s="53">
        <v>0</v>
      </c>
      <c r="AN155" s="53"/>
      <c r="AO155" s="53">
        <v>0</v>
      </c>
      <c r="AP155" s="53"/>
      <c r="AQ155" s="53">
        <v>136488</v>
      </c>
      <c r="AR155" s="53"/>
      <c r="AS155" s="45">
        <f t="shared" si="47"/>
        <v>525553</v>
      </c>
      <c r="AT155" s="45"/>
      <c r="AU155" s="53">
        <v>0</v>
      </c>
      <c r="AV155" s="53"/>
      <c r="AW155" s="53">
        <v>0</v>
      </c>
      <c r="AX155" s="53"/>
      <c r="AY155" s="53">
        <f t="shared" si="55"/>
        <v>487059</v>
      </c>
      <c r="AZ155" s="53"/>
      <c r="BA155" s="35" t="s">
        <v>184</v>
      </c>
      <c r="BC155" s="35" t="s">
        <v>89</v>
      </c>
      <c r="BD155" s="53"/>
      <c r="BE155" s="53">
        <v>0</v>
      </c>
      <c r="BF155" s="53"/>
      <c r="BG155" s="53">
        <v>0</v>
      </c>
      <c r="BH155" s="53"/>
      <c r="BI155" s="53">
        <f>245682+6189540+21540+541150</f>
        <v>6997912</v>
      </c>
      <c r="BJ155" s="53"/>
      <c r="BK155" s="53">
        <f>12204+46854</f>
        <v>59058</v>
      </c>
      <c r="BL155" s="53"/>
      <c r="BM155" s="53">
        <f t="shared" si="51"/>
        <v>7056970</v>
      </c>
      <c r="BN155" s="54" t="s">
        <v>347</v>
      </c>
      <c r="BR155" s="51"/>
      <c r="BS155" s="53"/>
      <c r="BT155" s="53"/>
      <c r="BU155" s="53"/>
      <c r="BV155" s="53"/>
      <c r="BW155" s="53"/>
      <c r="BX155" s="45"/>
      <c r="BY155" s="45"/>
      <c r="BZ155" s="53"/>
      <c r="CA155" s="53"/>
      <c r="CB155" s="53"/>
      <c r="CC155" s="53"/>
      <c r="CD155" s="53"/>
      <c r="CE155" s="53"/>
      <c r="CF155" s="35"/>
      <c r="CH155" s="35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4"/>
    </row>
    <row r="156" spans="1:97" s="55" customFormat="1" ht="12.75" customHeight="1" x14ac:dyDescent="0.2">
      <c r="A156" s="35" t="s">
        <v>181</v>
      </c>
      <c r="B156" s="51"/>
      <c r="C156" s="35" t="s">
        <v>125</v>
      </c>
      <c r="D156" s="44"/>
      <c r="E156" s="53">
        <f t="shared" si="46"/>
        <v>5526311</v>
      </c>
      <c r="F156" s="53"/>
      <c r="G156" s="53">
        <v>31802142</v>
      </c>
      <c r="H156" s="53"/>
      <c r="I156" s="53">
        <v>37328453</v>
      </c>
      <c r="J156" s="53"/>
      <c r="K156" s="53">
        <f t="shared" si="52"/>
        <v>1790712</v>
      </c>
      <c r="L156" s="53"/>
      <c r="M156" s="53">
        <v>22435125</v>
      </c>
      <c r="N156" s="53"/>
      <c r="O156" s="53">
        <v>24225837</v>
      </c>
      <c r="P156" s="53"/>
      <c r="Q156" s="53">
        <v>8230949</v>
      </c>
      <c r="R156" s="53"/>
      <c r="S156" s="53">
        <v>0</v>
      </c>
      <c r="T156" s="53"/>
      <c r="U156" s="53">
        <v>4871667</v>
      </c>
      <c r="V156" s="53"/>
      <c r="W156" s="53">
        <f t="shared" si="53"/>
        <v>13102616</v>
      </c>
      <c r="X156" s="53"/>
      <c r="Y156" s="35" t="s">
        <v>181</v>
      </c>
      <c r="AA156" s="35" t="s">
        <v>125</v>
      </c>
      <c r="AB156" s="35"/>
      <c r="AC156" s="53">
        <v>6600685</v>
      </c>
      <c r="AD156" s="53"/>
      <c r="AE156" s="53">
        <f>5320223-582018</f>
        <v>4738205</v>
      </c>
      <c r="AF156" s="53"/>
      <c r="AG156" s="53">
        <v>582018</v>
      </c>
      <c r="AH156" s="53"/>
      <c r="AI156" s="45">
        <f t="shared" si="54"/>
        <v>1280462</v>
      </c>
      <c r="AJ156" s="45"/>
      <c r="AK156" s="53">
        <v>-247154</v>
      </c>
      <c r="AL156" s="45"/>
      <c r="AM156" s="53">
        <v>15612</v>
      </c>
      <c r="AN156" s="53"/>
      <c r="AO156" s="53">
        <v>0</v>
      </c>
      <c r="AP156" s="53"/>
      <c r="AQ156" s="53">
        <v>0</v>
      </c>
      <c r="AR156" s="53"/>
      <c r="AS156" s="45">
        <f t="shared" si="47"/>
        <v>1048920</v>
      </c>
      <c r="AT156" s="45"/>
      <c r="AU156" s="53">
        <v>0</v>
      </c>
      <c r="AV156" s="53"/>
      <c r="AW156" s="53">
        <v>0</v>
      </c>
      <c r="AX156" s="53"/>
      <c r="AY156" s="53">
        <f t="shared" si="55"/>
        <v>3735599</v>
      </c>
      <c r="AZ156" s="53"/>
      <c r="BA156" s="35" t="s">
        <v>181</v>
      </c>
      <c r="BC156" s="35" t="s">
        <v>125</v>
      </c>
      <c r="BD156" s="53"/>
      <c r="BE156" s="53">
        <v>0</v>
      </c>
      <c r="BF156" s="53"/>
      <c r="BG156" s="53">
        <v>0</v>
      </c>
      <c r="BH156" s="53"/>
      <c r="BI156" s="53">
        <f>910822+21335505+1226202+69571</f>
        <v>23542100</v>
      </c>
      <c r="BJ156" s="53"/>
      <c r="BK156" s="53">
        <f>164833+10260+13705+5128+86633</f>
        <v>280559</v>
      </c>
      <c r="BL156" s="53"/>
      <c r="BM156" s="53">
        <f t="shared" si="51"/>
        <v>23822659</v>
      </c>
      <c r="BN156" s="54" t="s">
        <v>347</v>
      </c>
      <c r="BR156" s="51"/>
      <c r="BS156" s="53"/>
      <c r="BT156" s="53"/>
      <c r="BU156" s="53"/>
      <c r="BV156" s="53"/>
      <c r="BW156" s="53"/>
      <c r="BX156" s="45"/>
      <c r="BY156" s="45"/>
      <c r="BZ156" s="53"/>
      <c r="CA156" s="53"/>
      <c r="CB156" s="53"/>
      <c r="CC156" s="53"/>
      <c r="CD156" s="53"/>
      <c r="CE156" s="53"/>
      <c r="CF156" s="35"/>
      <c r="CH156" s="35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4"/>
    </row>
    <row r="157" spans="1:97" s="55" customFormat="1" ht="12.75" customHeight="1" x14ac:dyDescent="0.2">
      <c r="A157" s="35" t="s">
        <v>185</v>
      </c>
      <c r="B157" s="51"/>
      <c r="C157" s="35" t="s">
        <v>80</v>
      </c>
      <c r="D157" s="44"/>
      <c r="E157" s="53">
        <f t="shared" si="46"/>
        <v>1859573</v>
      </c>
      <c r="F157" s="53"/>
      <c r="G157" s="53">
        <v>6378178</v>
      </c>
      <c r="H157" s="53"/>
      <c r="I157" s="53">
        <v>8237751</v>
      </c>
      <c r="J157" s="53"/>
      <c r="K157" s="53">
        <f t="shared" si="52"/>
        <v>1452770</v>
      </c>
      <c r="L157" s="53"/>
      <c r="M157" s="53">
        <v>3156980</v>
      </c>
      <c r="N157" s="53"/>
      <c r="O157" s="53">
        <v>4609750</v>
      </c>
      <c r="P157" s="53"/>
      <c r="Q157" s="53">
        <v>2981506</v>
      </c>
      <c r="R157" s="53"/>
      <c r="S157" s="53">
        <v>0</v>
      </c>
      <c r="T157" s="53"/>
      <c r="U157" s="53">
        <v>646495</v>
      </c>
      <c r="V157" s="53"/>
      <c r="W157" s="53">
        <f t="shared" si="53"/>
        <v>3628001</v>
      </c>
      <c r="X157" s="53"/>
      <c r="Y157" s="35" t="s">
        <v>185</v>
      </c>
      <c r="AA157" s="35" t="s">
        <v>80</v>
      </c>
      <c r="AB157" s="35"/>
      <c r="AC157" s="53">
        <v>4762027</v>
      </c>
      <c r="AD157" s="53"/>
      <c r="AE157" s="53">
        <f>3366584-207397</f>
        <v>3159187</v>
      </c>
      <c r="AF157" s="53"/>
      <c r="AG157" s="53">
        <v>207397</v>
      </c>
      <c r="AH157" s="53"/>
      <c r="AI157" s="45">
        <f t="shared" si="54"/>
        <v>1395443</v>
      </c>
      <c r="AJ157" s="45"/>
      <c r="AK157" s="53">
        <v>-135124</v>
      </c>
      <c r="AL157" s="45"/>
      <c r="AM157" s="53">
        <v>0</v>
      </c>
      <c r="AN157" s="53"/>
      <c r="AO157" s="53">
        <v>0</v>
      </c>
      <c r="AP157" s="53"/>
      <c r="AQ157" s="53">
        <v>0</v>
      </c>
      <c r="AR157" s="53"/>
      <c r="AS157" s="45">
        <f t="shared" si="47"/>
        <v>1260319</v>
      </c>
      <c r="AT157" s="45"/>
      <c r="AU157" s="53">
        <v>0</v>
      </c>
      <c r="AV157" s="53"/>
      <c r="AW157" s="53">
        <v>0</v>
      </c>
      <c r="AX157" s="53"/>
      <c r="AY157" s="53">
        <f t="shared" si="55"/>
        <v>406803</v>
      </c>
      <c r="AZ157" s="53"/>
      <c r="BA157" s="35" t="s">
        <v>185</v>
      </c>
      <c r="BC157" s="35" t="s">
        <v>80</v>
      </c>
      <c r="BD157" s="53"/>
      <c r="BE157" s="53">
        <f>3025000+24141+115000+1276</f>
        <v>3165417</v>
      </c>
      <c r="BF157" s="53"/>
      <c r="BG157" s="53">
        <v>0</v>
      </c>
      <c r="BH157" s="53"/>
      <c r="BI157" s="53">
        <f>37511+37511</f>
        <v>75022</v>
      </c>
      <c r="BJ157" s="53"/>
      <c r="BK157" s="53">
        <f>70328+7090</f>
        <v>77418</v>
      </c>
      <c r="BL157" s="53"/>
      <c r="BM157" s="53">
        <f t="shared" si="51"/>
        <v>3317857</v>
      </c>
      <c r="BN157" s="54" t="s">
        <v>347</v>
      </c>
      <c r="BR157" s="51"/>
      <c r="BS157" s="53"/>
      <c r="BT157" s="53"/>
      <c r="BU157" s="53"/>
      <c r="BV157" s="53"/>
      <c r="BW157" s="53"/>
      <c r="BX157" s="45"/>
      <c r="BY157" s="45"/>
      <c r="BZ157" s="53"/>
      <c r="CA157" s="53"/>
      <c r="CB157" s="53"/>
      <c r="CC157" s="53"/>
      <c r="CD157" s="53"/>
      <c r="CE157" s="53"/>
      <c r="CF157" s="35"/>
      <c r="CH157" s="35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4"/>
    </row>
    <row r="158" spans="1:97" s="55" customFormat="1" ht="12.75" customHeight="1" x14ac:dyDescent="0.2">
      <c r="A158" s="35" t="s">
        <v>186</v>
      </c>
      <c r="B158" s="51"/>
      <c r="C158" s="35" t="s">
        <v>15</v>
      </c>
      <c r="D158" s="44"/>
      <c r="E158" s="53">
        <f t="shared" si="46"/>
        <v>2165486</v>
      </c>
      <c r="F158" s="53"/>
      <c r="G158" s="53">
        <v>6718725</v>
      </c>
      <c r="H158" s="53"/>
      <c r="I158" s="53">
        <v>8884211</v>
      </c>
      <c r="J158" s="53"/>
      <c r="K158" s="53">
        <f t="shared" si="52"/>
        <v>-12756</v>
      </c>
      <c r="L158" s="53"/>
      <c r="M158" s="53">
        <v>162186</v>
      </c>
      <c r="N158" s="53"/>
      <c r="O158" s="53">
        <v>149430</v>
      </c>
      <c r="P158" s="53"/>
      <c r="Q158" s="53">
        <v>6556539</v>
      </c>
      <c r="R158" s="53"/>
      <c r="S158" s="53">
        <v>0</v>
      </c>
      <c r="T158" s="53"/>
      <c r="U158" s="53">
        <v>2016056</v>
      </c>
      <c r="V158" s="53"/>
      <c r="W158" s="53">
        <f t="shared" si="53"/>
        <v>8572595</v>
      </c>
      <c r="X158" s="53"/>
      <c r="Y158" s="35" t="s">
        <v>186</v>
      </c>
      <c r="AA158" s="35" t="s">
        <v>15</v>
      </c>
      <c r="AB158" s="35"/>
      <c r="AC158" s="53">
        <v>2737038</v>
      </c>
      <c r="AD158" s="53"/>
      <c r="AE158" s="53">
        <f>2304399-309741</f>
        <v>1994658</v>
      </c>
      <c r="AF158" s="53"/>
      <c r="AG158" s="53">
        <v>309741</v>
      </c>
      <c r="AH158" s="53"/>
      <c r="AI158" s="45">
        <f t="shared" si="54"/>
        <v>432639</v>
      </c>
      <c r="AJ158" s="45"/>
      <c r="AK158" s="53">
        <v>-7114</v>
      </c>
      <c r="AL158" s="45"/>
      <c r="AM158" s="53">
        <v>0</v>
      </c>
      <c r="AN158" s="53"/>
      <c r="AO158" s="53">
        <v>25000</v>
      </c>
      <c r="AP158" s="53"/>
      <c r="AQ158" s="53">
        <v>0</v>
      </c>
      <c r="AR158" s="53"/>
      <c r="AS158" s="45">
        <f t="shared" si="47"/>
        <v>400525</v>
      </c>
      <c r="AT158" s="45"/>
      <c r="AU158" s="53">
        <v>0</v>
      </c>
      <c r="AV158" s="53"/>
      <c r="AW158" s="53">
        <v>0</v>
      </c>
      <c r="AX158" s="53"/>
      <c r="AY158" s="53">
        <f t="shared" si="55"/>
        <v>2178242</v>
      </c>
      <c r="AZ158" s="53"/>
      <c r="BA158" s="35" t="s">
        <v>186</v>
      </c>
      <c r="BC158" s="35" t="s">
        <v>15</v>
      </c>
      <c r="BD158" s="53"/>
      <c r="BE158" s="53">
        <v>0</v>
      </c>
      <c r="BF158" s="53"/>
      <c r="BG158" s="53">
        <v>0</v>
      </c>
      <c r="BH158" s="53"/>
      <c r="BI158" s="53">
        <v>162186</v>
      </c>
      <c r="BJ158" s="53"/>
      <c r="BK158" s="53">
        <v>0</v>
      </c>
      <c r="BL158" s="53"/>
      <c r="BM158" s="53">
        <f t="shared" si="51"/>
        <v>162186</v>
      </c>
      <c r="BN158" s="54" t="s">
        <v>347</v>
      </c>
      <c r="BR158" s="51"/>
      <c r="BS158" s="53"/>
      <c r="BT158" s="53"/>
      <c r="BU158" s="53"/>
      <c r="BV158" s="53"/>
      <c r="BW158" s="53"/>
      <c r="BX158" s="45"/>
      <c r="BY158" s="45"/>
      <c r="BZ158" s="53"/>
      <c r="CA158" s="53"/>
      <c r="CB158" s="53"/>
      <c r="CC158" s="53"/>
      <c r="CD158" s="53"/>
      <c r="CE158" s="53"/>
      <c r="CF158" s="35"/>
      <c r="CH158" s="35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4"/>
    </row>
    <row r="159" spans="1:97" s="55" customFormat="1" ht="12.75" customHeight="1" x14ac:dyDescent="0.2">
      <c r="A159" s="35" t="s">
        <v>187</v>
      </c>
      <c r="B159" s="51"/>
      <c r="C159" s="35" t="s">
        <v>27</v>
      </c>
      <c r="D159" s="44"/>
      <c r="E159" s="53">
        <f t="shared" ref="E159:E178" si="56">I159-G159</f>
        <v>4177990</v>
      </c>
      <c r="F159" s="53"/>
      <c r="G159" s="53">
        <v>21527426</v>
      </c>
      <c r="H159" s="53"/>
      <c r="I159" s="53">
        <v>25705416</v>
      </c>
      <c r="J159" s="53"/>
      <c r="K159" s="53">
        <f t="shared" si="52"/>
        <v>2048945</v>
      </c>
      <c r="L159" s="53"/>
      <c r="M159" s="53">
        <v>8403858</v>
      </c>
      <c r="N159" s="53"/>
      <c r="O159" s="53">
        <v>10452803</v>
      </c>
      <c r="P159" s="53"/>
      <c r="Q159" s="53">
        <v>11996732</v>
      </c>
      <c r="R159" s="53"/>
      <c r="S159" s="53">
        <v>0</v>
      </c>
      <c r="T159" s="53"/>
      <c r="U159" s="53">
        <v>3255881</v>
      </c>
      <c r="V159" s="53"/>
      <c r="W159" s="53">
        <f t="shared" si="53"/>
        <v>15252613</v>
      </c>
      <c r="X159" s="53"/>
      <c r="Y159" s="35" t="s">
        <v>187</v>
      </c>
      <c r="AA159" s="35" t="s">
        <v>27</v>
      </c>
      <c r="AB159" s="35"/>
      <c r="AC159" s="53">
        <v>6668770</v>
      </c>
      <c r="AD159" s="53"/>
      <c r="AE159" s="53">
        <f>5625855-1388455</f>
        <v>4237400</v>
      </c>
      <c r="AF159" s="53"/>
      <c r="AG159" s="53">
        <v>1388455</v>
      </c>
      <c r="AH159" s="53"/>
      <c r="AI159" s="45">
        <f t="shared" si="54"/>
        <v>1042915</v>
      </c>
      <c r="AJ159" s="45"/>
      <c r="AK159" s="53">
        <v>-398209</v>
      </c>
      <c r="AL159" s="45"/>
      <c r="AM159" s="53">
        <v>0</v>
      </c>
      <c r="AN159" s="53"/>
      <c r="AO159" s="53">
        <v>54215</v>
      </c>
      <c r="AP159" s="53"/>
      <c r="AQ159" s="53">
        <v>187887</v>
      </c>
      <c r="AR159" s="53"/>
      <c r="AS159" s="45">
        <f t="shared" si="47"/>
        <v>778378</v>
      </c>
      <c r="AT159" s="45"/>
      <c r="AU159" s="53">
        <v>0</v>
      </c>
      <c r="AV159" s="53"/>
      <c r="AW159" s="53">
        <v>0</v>
      </c>
      <c r="AX159" s="53"/>
      <c r="AY159" s="53">
        <f t="shared" si="55"/>
        <v>2129045</v>
      </c>
      <c r="AZ159" s="53"/>
      <c r="BA159" s="35" t="s">
        <v>187</v>
      </c>
      <c r="BC159" s="35" t="s">
        <v>27</v>
      </c>
      <c r="BD159" s="53"/>
      <c r="BE159" s="53">
        <f>5642094+1198000</f>
        <v>6840094</v>
      </c>
      <c r="BF159" s="53"/>
      <c r="BG159" s="53">
        <v>0</v>
      </c>
      <c r="BH159" s="53"/>
      <c r="BI159" s="53">
        <f>2040728+391002+73434+130333</f>
        <v>2635497</v>
      </c>
      <c r="BJ159" s="53"/>
      <c r="BK159" s="53">
        <f>98010+230186+1838+815+174759</f>
        <v>505608</v>
      </c>
      <c r="BL159" s="53"/>
      <c r="BM159" s="53">
        <f t="shared" si="51"/>
        <v>9981199</v>
      </c>
      <c r="BN159" s="54" t="s">
        <v>347</v>
      </c>
      <c r="BR159" s="51"/>
      <c r="BS159" s="53"/>
      <c r="BT159" s="53"/>
      <c r="BU159" s="53"/>
      <c r="BV159" s="53"/>
      <c r="BW159" s="53"/>
      <c r="BX159" s="45"/>
      <c r="BY159" s="45"/>
      <c r="BZ159" s="53"/>
      <c r="CA159" s="53"/>
      <c r="CB159" s="53"/>
      <c r="CC159" s="53"/>
      <c r="CD159" s="53"/>
      <c r="CE159" s="53"/>
      <c r="CF159" s="35"/>
      <c r="CH159" s="35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4"/>
    </row>
    <row r="160" spans="1:97" s="55" customFormat="1" ht="11.25" customHeight="1" x14ac:dyDescent="0.2">
      <c r="A160" s="35" t="s">
        <v>189</v>
      </c>
      <c r="B160" s="51"/>
      <c r="C160" s="35" t="s">
        <v>17</v>
      </c>
      <c r="D160" s="44"/>
      <c r="E160" s="53">
        <f t="shared" si="56"/>
        <v>11592978</v>
      </c>
      <c r="F160" s="53"/>
      <c r="G160" s="53">
        <v>55650447</v>
      </c>
      <c r="H160" s="53"/>
      <c r="I160" s="53">
        <v>67243425</v>
      </c>
      <c r="J160" s="53"/>
      <c r="K160" s="53">
        <f t="shared" si="52"/>
        <v>2900923</v>
      </c>
      <c r="L160" s="53"/>
      <c r="M160" s="53">
        <v>15867145</v>
      </c>
      <c r="N160" s="53"/>
      <c r="O160" s="53">
        <v>18768068</v>
      </c>
      <c r="P160" s="53"/>
      <c r="Q160" s="53">
        <v>35139636</v>
      </c>
      <c r="R160" s="53"/>
      <c r="S160" s="53">
        <v>0</v>
      </c>
      <c r="T160" s="53"/>
      <c r="U160" s="53">
        <v>13335721</v>
      </c>
      <c r="V160" s="53"/>
      <c r="W160" s="53">
        <f t="shared" si="53"/>
        <v>48475357</v>
      </c>
      <c r="X160" s="53"/>
      <c r="Y160" s="35" t="s">
        <v>189</v>
      </c>
      <c r="AA160" s="35" t="s">
        <v>17</v>
      </c>
      <c r="AB160" s="35"/>
      <c r="AC160" s="53">
        <v>5836069</v>
      </c>
      <c r="AD160" s="53"/>
      <c r="AE160" s="53">
        <f>6020892-1931552</f>
        <v>4089340</v>
      </c>
      <c r="AF160" s="53"/>
      <c r="AG160" s="53">
        <v>1931552</v>
      </c>
      <c r="AH160" s="53"/>
      <c r="AI160" s="45">
        <f t="shared" si="54"/>
        <v>-184823</v>
      </c>
      <c r="AJ160" s="45"/>
      <c r="AK160" s="53">
        <v>-774288</v>
      </c>
      <c r="AL160" s="45"/>
      <c r="AM160" s="53">
        <v>0</v>
      </c>
      <c r="AN160" s="53"/>
      <c r="AO160" s="53">
        <v>0</v>
      </c>
      <c r="AP160" s="53"/>
      <c r="AQ160" s="53">
        <v>1657384</v>
      </c>
      <c r="AR160" s="53"/>
      <c r="AS160" s="45">
        <f t="shared" si="47"/>
        <v>698273</v>
      </c>
      <c r="AT160" s="45"/>
      <c r="AU160" s="53">
        <v>0</v>
      </c>
      <c r="AV160" s="53"/>
      <c r="AW160" s="53">
        <v>0</v>
      </c>
      <c r="AX160" s="53"/>
      <c r="AY160" s="53">
        <f t="shared" si="55"/>
        <v>8692055</v>
      </c>
      <c r="AZ160" s="53"/>
      <c r="BA160" s="35" t="s">
        <v>189</v>
      </c>
      <c r="BC160" s="35" t="s">
        <v>17</v>
      </c>
      <c r="BD160" s="53"/>
      <c r="BE160" s="53">
        <f>13420000+985000</f>
        <v>14405000</v>
      </c>
      <c r="BF160" s="53"/>
      <c r="BG160" s="53">
        <v>0</v>
      </c>
      <c r="BH160" s="53"/>
      <c r="BI160" s="53">
        <f>63380+8451</f>
        <v>71831</v>
      </c>
      <c r="BJ160" s="53"/>
      <c r="BK160" s="53">
        <f>2073+907+1960000+100000+421692</f>
        <v>2484672</v>
      </c>
      <c r="BL160" s="53"/>
      <c r="BM160" s="53">
        <f t="shared" si="51"/>
        <v>16961503</v>
      </c>
      <c r="BN160" s="54" t="s">
        <v>347</v>
      </c>
      <c r="BR160" s="51"/>
      <c r="BS160" s="53"/>
      <c r="BT160" s="53"/>
      <c r="BU160" s="53"/>
      <c r="BV160" s="53"/>
      <c r="BW160" s="53"/>
      <c r="BX160" s="45"/>
      <c r="BY160" s="45"/>
      <c r="BZ160" s="53"/>
      <c r="CA160" s="53"/>
      <c r="CB160" s="53"/>
      <c r="CC160" s="53"/>
      <c r="CD160" s="53"/>
      <c r="CE160" s="53"/>
      <c r="CF160" s="35"/>
      <c r="CH160" s="35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4"/>
    </row>
    <row r="161" spans="1:98" s="55" customFormat="1" ht="12.75" customHeight="1" x14ac:dyDescent="0.2">
      <c r="A161" s="35" t="s">
        <v>188</v>
      </c>
      <c r="B161" s="51"/>
      <c r="C161" s="35" t="s">
        <v>27</v>
      </c>
      <c r="D161" s="44"/>
      <c r="E161" s="53">
        <f t="shared" si="56"/>
        <v>1304468</v>
      </c>
      <c r="F161" s="53"/>
      <c r="G161" s="53">
        <v>29177707</v>
      </c>
      <c r="H161" s="53"/>
      <c r="I161" s="53">
        <v>30482175</v>
      </c>
      <c r="J161" s="53"/>
      <c r="K161" s="53">
        <f t="shared" si="52"/>
        <v>2794778</v>
      </c>
      <c r="L161" s="53"/>
      <c r="M161" s="53">
        <v>6257415</v>
      </c>
      <c r="N161" s="53"/>
      <c r="O161" s="53">
        <v>9052193</v>
      </c>
      <c r="P161" s="53"/>
      <c r="Q161" s="53">
        <v>21543976</v>
      </c>
      <c r="R161" s="53"/>
      <c r="S161" s="53">
        <v>0</v>
      </c>
      <c r="T161" s="53"/>
      <c r="U161" s="53">
        <v>-113994</v>
      </c>
      <c r="V161" s="53"/>
      <c r="W161" s="53">
        <f t="shared" si="53"/>
        <v>21429982</v>
      </c>
      <c r="X161" s="53"/>
      <c r="Y161" s="35" t="s">
        <v>188</v>
      </c>
      <c r="AA161" s="35" t="s">
        <v>27</v>
      </c>
      <c r="AB161" s="35"/>
      <c r="AC161" s="53">
        <v>5013377</v>
      </c>
      <c r="AD161" s="53"/>
      <c r="AE161" s="53">
        <f>4612337-1136208</f>
        <v>3476129</v>
      </c>
      <c r="AF161" s="53"/>
      <c r="AG161" s="53">
        <v>1136208</v>
      </c>
      <c r="AH161" s="53"/>
      <c r="AI161" s="45">
        <f t="shared" si="54"/>
        <v>401040</v>
      </c>
      <c r="AJ161" s="45"/>
      <c r="AK161" s="53">
        <v>-410633</v>
      </c>
      <c r="AL161" s="45"/>
      <c r="AM161" s="53">
        <v>25000</v>
      </c>
      <c r="AN161" s="53"/>
      <c r="AO161" s="53">
        <v>15000</v>
      </c>
      <c r="AP161" s="53"/>
      <c r="AQ161" s="53">
        <v>121671</v>
      </c>
      <c r="AR161" s="53"/>
      <c r="AS161" s="45">
        <f t="shared" ref="AS161:AS179" si="57">+AI161+AK161+AM161-AO161+AQ161</f>
        <v>122078</v>
      </c>
      <c r="AT161" s="45"/>
      <c r="AU161" s="53">
        <v>0</v>
      </c>
      <c r="AV161" s="53"/>
      <c r="AW161" s="53">
        <v>0</v>
      </c>
      <c r="AX161" s="53"/>
      <c r="AY161" s="53">
        <f t="shared" si="55"/>
        <v>-1490310</v>
      </c>
      <c r="AZ161" s="53"/>
      <c r="BA161" s="35" t="s">
        <v>188</v>
      </c>
      <c r="BC161" s="35" t="s">
        <v>27</v>
      </c>
      <c r="BD161" s="53"/>
      <c r="BE161" s="53">
        <v>0</v>
      </c>
      <c r="BF161" s="53"/>
      <c r="BG161" s="53">
        <v>0</v>
      </c>
      <c r="BH161" s="53"/>
      <c r="BI161" s="53">
        <f>5766678+299074+1508167+59812</f>
        <v>7633731</v>
      </c>
      <c r="BJ161" s="53"/>
      <c r="BK161" s="53">
        <f>191663+100691</f>
        <v>292354</v>
      </c>
      <c r="BL161" s="53"/>
      <c r="BM161" s="53">
        <f t="shared" si="51"/>
        <v>7926085</v>
      </c>
      <c r="BN161" s="54" t="s">
        <v>347</v>
      </c>
      <c r="BR161" s="51"/>
      <c r="BS161" s="53"/>
      <c r="BT161" s="53"/>
      <c r="BU161" s="53"/>
      <c r="BV161" s="53"/>
      <c r="BW161" s="53"/>
      <c r="BX161" s="45"/>
      <c r="BY161" s="45"/>
      <c r="BZ161" s="53"/>
      <c r="CA161" s="53"/>
      <c r="CB161" s="53"/>
      <c r="CC161" s="53"/>
      <c r="CD161" s="53"/>
      <c r="CE161" s="53"/>
      <c r="CF161" s="35"/>
      <c r="CH161" s="35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4"/>
    </row>
    <row r="162" spans="1:98" s="140" customFormat="1" ht="12.75" hidden="1" customHeight="1" x14ac:dyDescent="0.2">
      <c r="A162" s="126" t="s">
        <v>190</v>
      </c>
      <c r="B162" s="124"/>
      <c r="C162" s="126" t="s">
        <v>47</v>
      </c>
      <c r="D162" s="121"/>
      <c r="E162" s="53">
        <f t="shared" si="56"/>
        <v>0</v>
      </c>
      <c r="F162" s="53"/>
      <c r="G162" s="53"/>
      <c r="H162" s="53"/>
      <c r="I162" s="53"/>
      <c r="J162" s="53"/>
      <c r="K162" s="53">
        <f t="shared" si="52"/>
        <v>0</v>
      </c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>
        <f t="shared" si="53"/>
        <v>0</v>
      </c>
      <c r="X162" s="137"/>
      <c r="Y162" s="126" t="s">
        <v>190</v>
      </c>
      <c r="AA162" s="126" t="s">
        <v>47</v>
      </c>
      <c r="AB162" s="126"/>
      <c r="AC162" s="53"/>
      <c r="AD162" s="53"/>
      <c r="AE162" s="53"/>
      <c r="AF162" s="53"/>
      <c r="AG162" s="53"/>
      <c r="AH162" s="53"/>
      <c r="AI162" s="45">
        <f t="shared" si="54"/>
        <v>0</v>
      </c>
      <c r="AJ162" s="45"/>
      <c r="AK162" s="53"/>
      <c r="AL162" s="45"/>
      <c r="AM162" s="53"/>
      <c r="AN162" s="53"/>
      <c r="AO162" s="53"/>
      <c r="AP162" s="53"/>
      <c r="AQ162" s="53"/>
      <c r="AR162" s="53"/>
      <c r="AS162" s="45">
        <f t="shared" si="57"/>
        <v>0</v>
      </c>
      <c r="AT162" s="45"/>
      <c r="AU162" s="53">
        <v>0</v>
      </c>
      <c r="AV162" s="53"/>
      <c r="AW162" s="53">
        <v>0</v>
      </c>
      <c r="AX162" s="53"/>
      <c r="AY162" s="53">
        <f t="shared" si="55"/>
        <v>0</v>
      </c>
      <c r="AZ162" s="53"/>
      <c r="BA162" s="126" t="s">
        <v>190</v>
      </c>
      <c r="BC162" s="126" t="s">
        <v>47</v>
      </c>
      <c r="BD162" s="137"/>
      <c r="BE162" s="53"/>
      <c r="BF162" s="53"/>
      <c r="BG162" s="53"/>
      <c r="BH162" s="53"/>
      <c r="BI162" s="53"/>
      <c r="BJ162" s="53"/>
      <c r="BK162" s="53"/>
      <c r="BL162" s="137"/>
      <c r="BM162" s="137">
        <f t="shared" si="51"/>
        <v>0</v>
      </c>
      <c r="BN162" s="139" t="s">
        <v>347</v>
      </c>
      <c r="BR162" s="124"/>
      <c r="BS162" s="137" t="s">
        <v>450</v>
      </c>
      <c r="BT162" s="137"/>
      <c r="BU162" s="137"/>
      <c r="BV162" s="137"/>
      <c r="BW162" s="137"/>
      <c r="BX162" s="127"/>
      <c r="BY162" s="127"/>
      <c r="BZ162" s="137"/>
      <c r="CA162" s="137"/>
      <c r="CB162" s="137"/>
      <c r="CC162" s="137"/>
      <c r="CD162" s="137"/>
      <c r="CE162" s="137"/>
      <c r="CF162" s="126"/>
      <c r="CH162" s="126"/>
      <c r="CI162" s="137"/>
      <c r="CJ162" s="137"/>
      <c r="CK162" s="137"/>
      <c r="CL162" s="137"/>
      <c r="CM162" s="137"/>
      <c r="CN162" s="137"/>
      <c r="CO162" s="137"/>
      <c r="CP162" s="137"/>
      <c r="CQ162" s="137"/>
      <c r="CR162" s="137"/>
      <c r="CS162" s="139"/>
    </row>
    <row r="163" spans="1:98" s="140" customFormat="1" ht="12.75" hidden="1" customHeight="1" x14ac:dyDescent="0.2">
      <c r="A163" s="126" t="s">
        <v>191</v>
      </c>
      <c r="B163" s="124"/>
      <c r="C163" s="126" t="s">
        <v>13</v>
      </c>
      <c r="D163" s="121"/>
      <c r="E163" s="53">
        <f t="shared" si="56"/>
        <v>0</v>
      </c>
      <c r="F163" s="53"/>
      <c r="G163" s="53"/>
      <c r="H163" s="53"/>
      <c r="I163" s="53"/>
      <c r="J163" s="53"/>
      <c r="K163" s="53">
        <f t="shared" si="52"/>
        <v>0</v>
      </c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>
        <f t="shared" si="53"/>
        <v>0</v>
      </c>
      <c r="X163" s="137"/>
      <c r="Y163" s="126" t="s">
        <v>191</v>
      </c>
      <c r="AA163" s="126" t="s">
        <v>13</v>
      </c>
      <c r="AB163" s="126"/>
      <c r="AC163" s="53"/>
      <c r="AD163" s="53"/>
      <c r="AE163" s="53"/>
      <c r="AF163" s="53"/>
      <c r="AG163" s="53"/>
      <c r="AH163" s="53"/>
      <c r="AI163" s="45">
        <f t="shared" si="54"/>
        <v>0</v>
      </c>
      <c r="AJ163" s="45"/>
      <c r="AK163" s="53"/>
      <c r="AL163" s="45"/>
      <c r="AM163" s="53"/>
      <c r="AN163" s="53"/>
      <c r="AO163" s="53"/>
      <c r="AP163" s="53"/>
      <c r="AQ163" s="53"/>
      <c r="AR163" s="53"/>
      <c r="AS163" s="45">
        <f t="shared" si="57"/>
        <v>0</v>
      </c>
      <c r="AT163" s="45"/>
      <c r="AU163" s="53">
        <v>0</v>
      </c>
      <c r="AV163" s="53"/>
      <c r="AW163" s="53">
        <v>0</v>
      </c>
      <c r="AX163" s="53"/>
      <c r="AY163" s="53">
        <f t="shared" si="55"/>
        <v>0</v>
      </c>
      <c r="AZ163" s="53"/>
      <c r="BA163" s="126" t="s">
        <v>191</v>
      </c>
      <c r="BC163" s="126" t="s">
        <v>13</v>
      </c>
      <c r="BD163" s="137"/>
      <c r="BE163" s="53"/>
      <c r="BF163" s="53"/>
      <c r="BG163" s="53"/>
      <c r="BH163" s="53"/>
      <c r="BI163" s="53"/>
      <c r="BJ163" s="53"/>
      <c r="BK163" s="53"/>
      <c r="BL163" s="137"/>
      <c r="BM163" s="137">
        <f t="shared" si="51"/>
        <v>0</v>
      </c>
      <c r="BN163" s="139" t="s">
        <v>347</v>
      </c>
      <c r="BO163" s="140" t="s">
        <v>404</v>
      </c>
      <c r="BR163" s="124"/>
      <c r="BS163" s="137"/>
      <c r="BT163" s="137"/>
      <c r="BU163" s="137"/>
      <c r="BV163" s="137"/>
      <c r="BW163" s="137"/>
      <c r="BX163" s="127"/>
      <c r="BY163" s="127"/>
      <c r="BZ163" s="137"/>
      <c r="CA163" s="137"/>
      <c r="CB163" s="137"/>
      <c r="CC163" s="137"/>
      <c r="CD163" s="137"/>
      <c r="CE163" s="137"/>
      <c r="CF163" s="126"/>
      <c r="CH163" s="126"/>
      <c r="CI163" s="137"/>
      <c r="CJ163" s="137"/>
      <c r="CK163" s="137"/>
      <c r="CL163" s="137"/>
      <c r="CM163" s="137"/>
      <c r="CN163" s="137"/>
      <c r="CO163" s="137"/>
      <c r="CP163" s="137"/>
      <c r="CQ163" s="137"/>
      <c r="CR163" s="137"/>
      <c r="CS163" s="139"/>
    </row>
    <row r="164" spans="1:98" s="55" customFormat="1" ht="12.75" customHeight="1" x14ac:dyDescent="0.2">
      <c r="A164" s="35"/>
      <c r="C164" s="35"/>
      <c r="D164" s="44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 t="s">
        <v>484</v>
      </c>
      <c r="X164" s="53"/>
      <c r="Y164" s="35"/>
      <c r="AA164" s="35"/>
      <c r="AB164" s="35"/>
      <c r="AC164" s="53"/>
      <c r="AD164" s="53"/>
      <c r="AE164" s="53"/>
      <c r="AF164" s="53"/>
      <c r="AG164" s="53"/>
      <c r="AH164" s="53"/>
      <c r="AI164" s="45"/>
      <c r="AJ164" s="45"/>
      <c r="AK164" s="53"/>
      <c r="AL164" s="45"/>
      <c r="AM164" s="53"/>
      <c r="AN164" s="53"/>
      <c r="AO164" s="53"/>
      <c r="AP164" s="53"/>
      <c r="AQ164" s="53"/>
      <c r="AR164" s="53"/>
      <c r="AS164" s="45"/>
      <c r="AT164" s="45"/>
      <c r="AU164" s="53"/>
      <c r="AV164" s="53"/>
      <c r="AW164" s="53"/>
      <c r="AX164" s="53"/>
      <c r="AY164" s="53" t="s">
        <v>484</v>
      </c>
      <c r="AZ164" s="53"/>
      <c r="BA164" s="35"/>
      <c r="BC164" s="35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 t="s">
        <v>484</v>
      </c>
      <c r="BN164" s="54"/>
      <c r="BR164" s="51"/>
      <c r="BS164" s="53"/>
      <c r="BT164" s="53"/>
      <c r="BU164" s="53"/>
      <c r="BV164" s="53"/>
      <c r="BW164" s="53"/>
      <c r="BX164" s="45"/>
      <c r="BY164" s="45"/>
      <c r="BZ164" s="53"/>
      <c r="CA164" s="53"/>
      <c r="CB164" s="53"/>
      <c r="CC164" s="53"/>
      <c r="CD164" s="53"/>
      <c r="CE164" s="53"/>
      <c r="CF164" s="35"/>
      <c r="CH164" s="35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4"/>
    </row>
    <row r="165" spans="1:98" s="90" customFormat="1" ht="12.75" customHeight="1" x14ac:dyDescent="0.2">
      <c r="A165" s="64" t="s">
        <v>192</v>
      </c>
      <c r="C165" s="64" t="s">
        <v>38</v>
      </c>
      <c r="D165" s="46"/>
      <c r="E165" s="79">
        <f t="shared" si="56"/>
        <v>1281230</v>
      </c>
      <c r="F165" s="79"/>
      <c r="G165" s="79">
        <v>8913978</v>
      </c>
      <c r="H165" s="79"/>
      <c r="I165" s="79">
        <v>10195208</v>
      </c>
      <c r="J165" s="79"/>
      <c r="K165" s="79">
        <f t="shared" si="52"/>
        <v>503214</v>
      </c>
      <c r="L165" s="79"/>
      <c r="M165" s="79">
        <v>1815616</v>
      </c>
      <c r="N165" s="79"/>
      <c r="O165" s="79">
        <v>2318830</v>
      </c>
      <c r="P165" s="79"/>
      <c r="Q165" s="79">
        <v>6897760</v>
      </c>
      <c r="R165" s="79"/>
      <c r="S165" s="79">
        <v>0</v>
      </c>
      <c r="T165" s="79"/>
      <c r="U165" s="79">
        <v>978618</v>
      </c>
      <c r="V165" s="79"/>
      <c r="W165" s="79">
        <f t="shared" si="53"/>
        <v>7876378</v>
      </c>
      <c r="X165" s="79"/>
      <c r="Y165" s="64" t="s">
        <v>192</v>
      </c>
      <c r="AA165" s="64" t="s">
        <v>38</v>
      </c>
      <c r="AB165" s="64"/>
      <c r="AC165" s="79">
        <v>2868379</v>
      </c>
      <c r="AD165" s="79"/>
      <c r="AE165" s="79">
        <f>2803142-721552</f>
        <v>2081590</v>
      </c>
      <c r="AF165" s="79"/>
      <c r="AG165" s="79">
        <v>721552</v>
      </c>
      <c r="AH165" s="79"/>
      <c r="AI165" s="94">
        <f t="shared" si="54"/>
        <v>65237</v>
      </c>
      <c r="AJ165" s="94"/>
      <c r="AK165" s="79">
        <v>-292191</v>
      </c>
      <c r="AL165" s="94"/>
      <c r="AM165" s="79">
        <v>0</v>
      </c>
      <c r="AN165" s="79"/>
      <c r="AO165" s="79">
        <v>0</v>
      </c>
      <c r="AP165" s="79"/>
      <c r="AQ165" s="79">
        <v>0</v>
      </c>
      <c r="AR165" s="79"/>
      <c r="AS165" s="94">
        <f t="shared" si="57"/>
        <v>-226954</v>
      </c>
      <c r="AT165" s="94"/>
      <c r="AU165" s="79">
        <v>0</v>
      </c>
      <c r="AV165" s="79"/>
      <c r="AW165" s="79">
        <v>0</v>
      </c>
      <c r="AX165" s="79"/>
      <c r="AY165" s="79">
        <f t="shared" si="55"/>
        <v>778016</v>
      </c>
      <c r="AZ165" s="79"/>
      <c r="BA165" s="64" t="s">
        <v>192</v>
      </c>
      <c r="BC165" s="64" t="s">
        <v>38</v>
      </c>
      <c r="BD165" s="79"/>
      <c r="BE165" s="79">
        <v>0</v>
      </c>
      <c r="BF165" s="79"/>
      <c r="BG165" s="79">
        <v>0</v>
      </c>
      <c r="BH165" s="79"/>
      <c r="BI165" s="79">
        <f>115601+8273157+14450+562606</f>
        <v>8965814</v>
      </c>
      <c r="BJ165" s="79"/>
      <c r="BK165" s="79">
        <f>179315+71661</f>
        <v>250976</v>
      </c>
      <c r="BL165" s="79"/>
      <c r="BM165" s="79">
        <f t="shared" si="51"/>
        <v>9216790</v>
      </c>
      <c r="BN165" s="91" t="s">
        <v>347</v>
      </c>
      <c r="BR165" s="66"/>
      <c r="BS165" s="79"/>
      <c r="BT165" s="79"/>
      <c r="BU165" s="79"/>
      <c r="BV165" s="79"/>
      <c r="BW165" s="79"/>
      <c r="BX165" s="94"/>
      <c r="BY165" s="94"/>
      <c r="BZ165" s="79"/>
      <c r="CA165" s="79"/>
      <c r="CB165" s="79"/>
      <c r="CC165" s="79"/>
      <c r="CD165" s="79"/>
      <c r="CE165" s="79"/>
      <c r="CF165" s="64"/>
      <c r="CH165" s="64"/>
      <c r="CI165" s="79"/>
      <c r="CJ165" s="79"/>
      <c r="CK165" s="79"/>
      <c r="CL165" s="79"/>
      <c r="CM165" s="79"/>
      <c r="CN165" s="79"/>
      <c r="CO165" s="79"/>
      <c r="CP165" s="79"/>
      <c r="CQ165" s="79"/>
      <c r="CR165" s="79"/>
      <c r="CS165" s="91"/>
    </row>
    <row r="166" spans="1:98" s="140" customFormat="1" ht="12.75" hidden="1" customHeight="1" x14ac:dyDescent="0.2">
      <c r="A166" s="126" t="s">
        <v>193</v>
      </c>
      <c r="B166" s="124"/>
      <c r="C166" s="126" t="s">
        <v>45</v>
      </c>
      <c r="D166" s="121"/>
      <c r="E166" s="53">
        <f t="shared" si="56"/>
        <v>0</v>
      </c>
      <c r="F166" s="53"/>
      <c r="G166" s="53"/>
      <c r="H166" s="53"/>
      <c r="I166" s="53"/>
      <c r="J166" s="53"/>
      <c r="K166" s="53">
        <f t="shared" si="52"/>
        <v>0</v>
      </c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>
        <f t="shared" si="53"/>
        <v>0</v>
      </c>
      <c r="X166" s="137"/>
      <c r="Y166" s="126" t="s">
        <v>193</v>
      </c>
      <c r="AA166" s="126" t="s">
        <v>45</v>
      </c>
      <c r="AB166" s="126"/>
      <c r="AC166" s="53"/>
      <c r="AD166" s="53"/>
      <c r="AE166" s="53"/>
      <c r="AF166" s="53"/>
      <c r="AG166" s="53"/>
      <c r="AH166" s="53"/>
      <c r="AI166" s="45">
        <f t="shared" si="54"/>
        <v>0</v>
      </c>
      <c r="AJ166" s="45"/>
      <c r="AK166" s="53"/>
      <c r="AL166" s="45"/>
      <c r="AM166" s="53"/>
      <c r="AN166" s="53"/>
      <c r="AO166" s="53"/>
      <c r="AP166" s="53"/>
      <c r="AQ166" s="53"/>
      <c r="AR166" s="53"/>
      <c r="AS166" s="45">
        <f t="shared" si="57"/>
        <v>0</v>
      </c>
      <c r="AT166" s="45"/>
      <c r="AU166" s="53">
        <v>0</v>
      </c>
      <c r="AV166" s="53"/>
      <c r="AW166" s="53">
        <v>0</v>
      </c>
      <c r="AX166" s="53"/>
      <c r="AY166" s="53">
        <f t="shared" si="55"/>
        <v>0</v>
      </c>
      <c r="AZ166" s="53"/>
      <c r="BA166" s="126" t="s">
        <v>193</v>
      </c>
      <c r="BC166" s="126" t="s">
        <v>45</v>
      </c>
      <c r="BD166" s="137"/>
      <c r="BE166" s="53"/>
      <c r="BF166" s="53"/>
      <c r="BG166" s="53"/>
      <c r="BH166" s="53"/>
      <c r="BI166" s="53"/>
      <c r="BJ166" s="53"/>
      <c r="BK166" s="53"/>
      <c r="BL166" s="137"/>
      <c r="BM166" s="137">
        <f t="shared" si="51"/>
        <v>0</v>
      </c>
      <c r="BN166" s="139" t="s">
        <v>347</v>
      </c>
      <c r="BR166" s="124"/>
      <c r="BS166" s="137"/>
      <c r="BT166" s="137"/>
      <c r="BU166" s="137"/>
      <c r="BV166" s="127"/>
      <c r="BW166" s="127"/>
      <c r="BX166" s="127"/>
      <c r="BY166" s="127"/>
      <c r="BZ166" s="137"/>
      <c r="CA166" s="137"/>
      <c r="CB166" s="137"/>
      <c r="CC166" s="137"/>
      <c r="CD166" s="137"/>
      <c r="CE166" s="137"/>
      <c r="CF166" s="126"/>
      <c r="CH166" s="126"/>
      <c r="CI166" s="137"/>
      <c r="CJ166" s="137"/>
      <c r="CK166" s="137"/>
      <c r="CL166" s="137"/>
      <c r="CM166" s="137"/>
      <c r="CN166" s="137"/>
      <c r="CO166" s="137"/>
      <c r="CP166" s="137"/>
      <c r="CQ166" s="137"/>
      <c r="CR166" s="137"/>
      <c r="CS166" s="139"/>
    </row>
    <row r="167" spans="1:98" s="55" customFormat="1" ht="12.75" customHeight="1" x14ac:dyDescent="0.2">
      <c r="A167" s="35" t="s">
        <v>194</v>
      </c>
      <c r="B167" s="51"/>
      <c r="C167" s="35" t="s">
        <v>66</v>
      </c>
      <c r="D167" s="44"/>
      <c r="E167" s="53">
        <f t="shared" si="56"/>
        <v>1002249</v>
      </c>
      <c r="F167" s="53"/>
      <c r="G167" s="53">
        <v>1043633</v>
      </c>
      <c r="H167" s="53"/>
      <c r="I167" s="53">
        <v>2045882</v>
      </c>
      <c r="J167" s="53"/>
      <c r="K167" s="53">
        <f t="shared" si="52"/>
        <v>338026</v>
      </c>
      <c r="L167" s="53"/>
      <c r="M167" s="53">
        <v>123768</v>
      </c>
      <c r="N167" s="53"/>
      <c r="O167" s="53">
        <v>461794</v>
      </c>
      <c r="P167" s="53"/>
      <c r="Q167" s="53">
        <v>927268</v>
      </c>
      <c r="R167" s="53"/>
      <c r="S167" s="53">
        <v>0</v>
      </c>
      <c r="T167" s="53"/>
      <c r="U167" s="53">
        <v>656820</v>
      </c>
      <c r="V167" s="53"/>
      <c r="W167" s="53">
        <f t="shared" si="53"/>
        <v>1584088</v>
      </c>
      <c r="X167" s="53"/>
      <c r="Y167" s="35" t="s">
        <v>194</v>
      </c>
      <c r="AA167" s="35" t="s">
        <v>66</v>
      </c>
      <c r="AB167" s="35"/>
      <c r="AC167" s="53">
        <v>1527179</v>
      </c>
      <c r="AD167" s="53"/>
      <c r="AE167" s="53">
        <f>1361553-27459</f>
        <v>1334094</v>
      </c>
      <c r="AF167" s="53"/>
      <c r="AG167" s="53">
        <v>27459</v>
      </c>
      <c r="AH167" s="53"/>
      <c r="AI167" s="45">
        <f t="shared" si="54"/>
        <v>165626</v>
      </c>
      <c r="AJ167" s="45"/>
      <c r="AK167" s="53">
        <v>8331</v>
      </c>
      <c r="AL167" s="45"/>
      <c r="AM167" s="53">
        <v>0</v>
      </c>
      <c r="AN167" s="53"/>
      <c r="AO167" s="53">
        <v>0</v>
      </c>
      <c r="AP167" s="53"/>
      <c r="AQ167" s="53">
        <v>0</v>
      </c>
      <c r="AR167" s="53"/>
      <c r="AS167" s="45">
        <f t="shared" si="57"/>
        <v>173957</v>
      </c>
      <c r="AT167" s="45"/>
      <c r="AU167" s="53">
        <v>0</v>
      </c>
      <c r="AV167" s="53"/>
      <c r="AW167" s="53">
        <v>0</v>
      </c>
      <c r="AX167" s="53"/>
      <c r="AY167" s="53">
        <f t="shared" si="55"/>
        <v>664223</v>
      </c>
      <c r="AZ167" s="53"/>
      <c r="BA167" s="35" t="s">
        <v>194</v>
      </c>
      <c r="BC167" s="35" t="s">
        <v>66</v>
      </c>
      <c r="BD167" s="53"/>
      <c r="BE167" s="53">
        <v>0</v>
      </c>
      <c r="BF167" s="53"/>
      <c r="BG167" s="53">
        <v>0</v>
      </c>
      <c r="BH167" s="53"/>
      <c r="BI167" s="53">
        <f>90506+25859</f>
        <v>116365</v>
      </c>
      <c r="BJ167" s="53"/>
      <c r="BK167" s="53">
        <f>8316+33262</f>
        <v>41578</v>
      </c>
      <c r="BL167" s="53"/>
      <c r="BM167" s="53">
        <f>SUM(BE167:BK167)</f>
        <v>157943</v>
      </c>
      <c r="BN167" s="54" t="s">
        <v>347</v>
      </c>
      <c r="BR167" s="51"/>
      <c r="BS167" s="53"/>
      <c r="BT167" s="53"/>
      <c r="BU167" s="53"/>
      <c r="BV167" s="53"/>
      <c r="BW167" s="53"/>
      <c r="BX167" s="45"/>
      <c r="BY167" s="45"/>
      <c r="BZ167" s="53"/>
      <c r="CA167" s="53"/>
      <c r="CB167" s="53"/>
      <c r="CC167" s="53"/>
      <c r="CD167" s="53"/>
      <c r="CE167" s="53"/>
      <c r="CF167" s="35"/>
      <c r="CH167" s="35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4"/>
    </row>
    <row r="168" spans="1:98" s="55" customFormat="1" ht="12.75" customHeight="1" x14ac:dyDescent="0.2">
      <c r="A168" s="35" t="s">
        <v>195</v>
      </c>
      <c r="B168" s="51"/>
      <c r="C168" s="35" t="s">
        <v>17</v>
      </c>
      <c r="D168" s="44"/>
      <c r="E168" s="53">
        <f t="shared" si="56"/>
        <v>4695771</v>
      </c>
      <c r="F168" s="53"/>
      <c r="G168" s="53">
        <v>7409118</v>
      </c>
      <c r="H168" s="53"/>
      <c r="I168" s="53">
        <v>12104889</v>
      </c>
      <c r="J168" s="53"/>
      <c r="K168" s="53">
        <f t="shared" si="52"/>
        <v>526491</v>
      </c>
      <c r="L168" s="53"/>
      <c r="M168" s="53">
        <f>35366+643963</f>
        <v>679329</v>
      </c>
      <c r="N168" s="53"/>
      <c r="O168" s="53">
        <v>1205820</v>
      </c>
      <c r="P168" s="53"/>
      <c r="Q168" s="53">
        <v>6364020</v>
      </c>
      <c r="R168" s="53"/>
      <c r="S168" s="53">
        <v>0</v>
      </c>
      <c r="T168" s="53"/>
      <c r="U168" s="53">
        <v>4535049</v>
      </c>
      <c r="V168" s="53"/>
      <c r="W168" s="53">
        <f t="shared" si="53"/>
        <v>10899069</v>
      </c>
      <c r="X168" s="53"/>
      <c r="Y168" s="35" t="s">
        <v>195</v>
      </c>
      <c r="AA168" s="35" t="s">
        <v>17</v>
      </c>
      <c r="AB168" s="35"/>
      <c r="AC168" s="53">
        <v>1954442</v>
      </c>
      <c r="AD168" s="53"/>
      <c r="AE168" s="53">
        <f>1434351-414768</f>
        <v>1019583</v>
      </c>
      <c r="AF168" s="53"/>
      <c r="AG168" s="53">
        <v>414768</v>
      </c>
      <c r="AH168" s="53"/>
      <c r="AI168" s="45">
        <f t="shared" si="54"/>
        <v>520091</v>
      </c>
      <c r="AJ168" s="45"/>
      <c r="AK168" s="53">
        <v>-72467</v>
      </c>
      <c r="AL168" s="45"/>
      <c r="AM168" s="53">
        <v>0</v>
      </c>
      <c r="AN168" s="53"/>
      <c r="AO168" s="53">
        <v>24676</v>
      </c>
      <c r="AP168" s="53"/>
      <c r="AQ168" s="53">
        <v>0</v>
      </c>
      <c r="AR168" s="53"/>
      <c r="AS168" s="45">
        <f t="shared" si="57"/>
        <v>422948</v>
      </c>
      <c r="AT168" s="45"/>
      <c r="AU168" s="53">
        <v>0</v>
      </c>
      <c r="AV168" s="53"/>
      <c r="AW168" s="53">
        <v>0</v>
      </c>
      <c r="AX168" s="53"/>
      <c r="AY168" s="53">
        <f t="shared" si="55"/>
        <v>4169280</v>
      </c>
      <c r="AZ168" s="53"/>
      <c r="BA168" s="35" t="s">
        <v>195</v>
      </c>
      <c r="BC168" s="35" t="s">
        <v>17</v>
      </c>
      <c r="BD168" s="53"/>
      <c r="BE168" s="53">
        <v>0</v>
      </c>
      <c r="BF168" s="53"/>
      <c r="BG168" s="53">
        <v>0</v>
      </c>
      <c r="BH168" s="53"/>
      <c r="BI168" s="53">
        <f>643963+401135</f>
        <v>1045098</v>
      </c>
      <c r="BJ168" s="53"/>
      <c r="BK168" s="53">
        <f>24609+35366</f>
        <v>59975</v>
      </c>
      <c r="BL168" s="53"/>
      <c r="BM168" s="53">
        <f t="shared" si="51"/>
        <v>1105073</v>
      </c>
      <c r="BN168" s="54" t="s">
        <v>347</v>
      </c>
      <c r="BR168" s="51"/>
      <c r="BS168" s="53"/>
      <c r="BT168" s="53"/>
      <c r="BU168" s="53"/>
      <c r="BV168" s="53"/>
      <c r="BW168" s="53"/>
      <c r="BX168" s="45"/>
      <c r="BY168" s="45"/>
      <c r="BZ168" s="53"/>
      <c r="CA168" s="53"/>
      <c r="CB168" s="53"/>
      <c r="CC168" s="53"/>
      <c r="CD168" s="53"/>
      <c r="CE168" s="53"/>
      <c r="CF168" s="35"/>
      <c r="CH168" s="35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4"/>
    </row>
    <row r="169" spans="1:98" s="140" customFormat="1" ht="12.75" hidden="1" customHeight="1" x14ac:dyDescent="0.2">
      <c r="A169" s="126" t="s">
        <v>196</v>
      </c>
      <c r="B169" s="124"/>
      <c r="C169" s="126" t="s">
        <v>27</v>
      </c>
      <c r="D169" s="121"/>
      <c r="E169" s="53">
        <f t="shared" si="56"/>
        <v>0</v>
      </c>
      <c r="F169" s="53"/>
      <c r="G169" s="53"/>
      <c r="H169" s="53"/>
      <c r="I169" s="53"/>
      <c r="J169" s="53"/>
      <c r="K169" s="53">
        <f t="shared" si="52"/>
        <v>0</v>
      </c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>
        <f t="shared" si="53"/>
        <v>0</v>
      </c>
      <c r="X169" s="137"/>
      <c r="Y169" s="126" t="s">
        <v>196</v>
      </c>
      <c r="AA169" s="126" t="s">
        <v>27</v>
      </c>
      <c r="AB169" s="126"/>
      <c r="AC169" s="53"/>
      <c r="AD169" s="53"/>
      <c r="AE169" s="53"/>
      <c r="AF169" s="53"/>
      <c r="AG169" s="53"/>
      <c r="AH169" s="53"/>
      <c r="AI169" s="45">
        <f t="shared" si="54"/>
        <v>0</v>
      </c>
      <c r="AJ169" s="45"/>
      <c r="AK169" s="53"/>
      <c r="AL169" s="45"/>
      <c r="AM169" s="53"/>
      <c r="AN169" s="53"/>
      <c r="AO169" s="53"/>
      <c r="AP169" s="53"/>
      <c r="AQ169" s="53"/>
      <c r="AR169" s="53"/>
      <c r="AS169" s="45">
        <f t="shared" si="57"/>
        <v>0</v>
      </c>
      <c r="AT169" s="45"/>
      <c r="AU169" s="53">
        <v>0</v>
      </c>
      <c r="AV169" s="53"/>
      <c r="AW169" s="53">
        <v>0</v>
      </c>
      <c r="AX169" s="53"/>
      <c r="AY169" s="53">
        <f t="shared" si="55"/>
        <v>0</v>
      </c>
      <c r="AZ169" s="53"/>
      <c r="BA169" s="126" t="s">
        <v>196</v>
      </c>
      <c r="BC169" s="126" t="s">
        <v>27</v>
      </c>
      <c r="BD169" s="137"/>
      <c r="BE169" s="53"/>
      <c r="BF169" s="53"/>
      <c r="BG169" s="53"/>
      <c r="BH169" s="53"/>
      <c r="BI169" s="53"/>
      <c r="BJ169" s="53"/>
      <c r="BK169" s="53"/>
      <c r="BL169" s="137"/>
      <c r="BM169" s="137">
        <f t="shared" si="51"/>
        <v>0</v>
      </c>
      <c r="BN169" s="139" t="s">
        <v>347</v>
      </c>
      <c r="BR169" s="124"/>
      <c r="BS169" s="137"/>
      <c r="BT169" s="137"/>
      <c r="BU169" s="137"/>
      <c r="BV169" s="137"/>
      <c r="BW169" s="137"/>
      <c r="BX169" s="127"/>
      <c r="BY169" s="127"/>
      <c r="BZ169" s="137"/>
      <c r="CA169" s="137"/>
      <c r="CB169" s="137"/>
      <c r="CC169" s="137"/>
      <c r="CD169" s="137"/>
      <c r="CE169" s="137"/>
      <c r="CF169" s="126"/>
      <c r="CH169" s="126"/>
      <c r="CI169" s="137"/>
      <c r="CJ169" s="137"/>
      <c r="CK169" s="137"/>
      <c r="CL169" s="137"/>
      <c r="CM169" s="137"/>
      <c r="CN169" s="137"/>
      <c r="CO169" s="137"/>
      <c r="CP169" s="137"/>
      <c r="CQ169" s="137"/>
      <c r="CR169" s="137"/>
      <c r="CS169" s="139"/>
    </row>
    <row r="170" spans="1:98" s="55" customFormat="1" ht="12.75" customHeight="1" x14ac:dyDescent="0.2">
      <c r="A170" s="35" t="s">
        <v>402</v>
      </c>
      <c r="B170" s="51"/>
      <c r="C170" s="35" t="s">
        <v>153</v>
      </c>
      <c r="D170" s="44"/>
      <c r="E170" s="53">
        <f t="shared" si="56"/>
        <v>1248436</v>
      </c>
      <c r="F170" s="53"/>
      <c r="G170" s="53">
        <v>8152205</v>
      </c>
      <c r="H170" s="53"/>
      <c r="I170" s="53">
        <v>9400641</v>
      </c>
      <c r="J170" s="53"/>
      <c r="K170" s="53">
        <f t="shared" si="52"/>
        <v>27194</v>
      </c>
      <c r="L170" s="53"/>
      <c r="M170" s="53">
        <v>817759</v>
      </c>
      <c r="N170" s="53"/>
      <c r="O170" s="53">
        <v>844953</v>
      </c>
      <c r="P170" s="53"/>
      <c r="Q170" s="53">
        <v>7336099</v>
      </c>
      <c r="R170" s="53"/>
      <c r="S170" s="53">
        <v>0</v>
      </c>
      <c r="T170" s="53"/>
      <c r="U170" s="53">
        <v>1219589</v>
      </c>
      <c r="V170" s="53"/>
      <c r="W170" s="53">
        <f t="shared" si="53"/>
        <v>8555688</v>
      </c>
      <c r="X170" s="53"/>
      <c r="Y170" s="35" t="s">
        <v>386</v>
      </c>
      <c r="AA170" s="35" t="s">
        <v>153</v>
      </c>
      <c r="AB170" s="35"/>
      <c r="AC170" s="53">
        <v>949764</v>
      </c>
      <c r="AD170" s="53"/>
      <c r="AE170" s="53">
        <f>1192740-272750</f>
        <v>919990</v>
      </c>
      <c r="AF170" s="53"/>
      <c r="AG170" s="53">
        <v>272750</v>
      </c>
      <c r="AH170" s="53"/>
      <c r="AI170" s="45">
        <f t="shared" si="54"/>
        <v>-242976</v>
      </c>
      <c r="AJ170" s="45"/>
      <c r="AK170" s="53">
        <v>0</v>
      </c>
      <c r="AL170" s="45"/>
      <c r="AM170" s="53">
        <v>45882</v>
      </c>
      <c r="AN170" s="53"/>
      <c r="AO170" s="53">
        <v>0</v>
      </c>
      <c r="AP170" s="53"/>
      <c r="AQ170" s="53">
        <v>19013</v>
      </c>
      <c r="AR170" s="53"/>
      <c r="AS170" s="45">
        <f t="shared" si="57"/>
        <v>-178081</v>
      </c>
      <c r="AT170" s="45"/>
      <c r="AU170" s="53">
        <v>0</v>
      </c>
      <c r="AV170" s="53"/>
      <c r="AW170" s="53">
        <v>0</v>
      </c>
      <c r="AX170" s="53"/>
      <c r="AY170" s="53">
        <f t="shared" si="55"/>
        <v>1221242</v>
      </c>
      <c r="AZ170" s="53"/>
      <c r="BA170" s="35" t="s">
        <v>386</v>
      </c>
      <c r="BC170" s="35" t="s">
        <v>153</v>
      </c>
      <c r="BD170" s="53"/>
      <c r="BE170" s="53">
        <v>0</v>
      </c>
      <c r="BF170" s="53"/>
      <c r="BG170" s="53">
        <v>0</v>
      </c>
      <c r="BH170" s="53"/>
      <c r="BI170" s="53">
        <f>801085+15021</f>
        <v>816106</v>
      </c>
      <c r="BJ170" s="53"/>
      <c r="BK170" s="53">
        <f>2686+16674</f>
        <v>19360</v>
      </c>
      <c r="BL170" s="53"/>
      <c r="BM170" s="53">
        <f t="shared" si="51"/>
        <v>835466</v>
      </c>
      <c r="BN170" s="54" t="s">
        <v>347</v>
      </c>
      <c r="BO170" s="55" t="s">
        <v>404</v>
      </c>
      <c r="BR170" s="51"/>
      <c r="BS170" s="53"/>
      <c r="BT170" s="53"/>
      <c r="BU170" s="53"/>
      <c r="BV170" s="53"/>
      <c r="BW170" s="53"/>
      <c r="BX170" s="45"/>
      <c r="BY170" s="45"/>
      <c r="BZ170" s="53"/>
      <c r="CA170" s="53"/>
      <c r="CB170" s="53"/>
      <c r="CC170" s="53"/>
      <c r="CD170" s="53"/>
      <c r="CE170" s="53"/>
      <c r="CF170" s="35"/>
      <c r="CH170" s="35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4"/>
    </row>
    <row r="171" spans="1:98" s="55" customFormat="1" ht="12.75" customHeight="1" x14ac:dyDescent="0.2">
      <c r="A171" s="35" t="s">
        <v>197</v>
      </c>
      <c r="B171" s="51"/>
      <c r="C171" s="35" t="s">
        <v>163</v>
      </c>
      <c r="D171" s="44"/>
      <c r="E171" s="53">
        <f t="shared" si="56"/>
        <v>4429543</v>
      </c>
      <c r="F171" s="53"/>
      <c r="G171" s="53">
        <v>23435423</v>
      </c>
      <c r="H171" s="53"/>
      <c r="I171" s="53">
        <v>27864966</v>
      </c>
      <c r="J171" s="53"/>
      <c r="K171" s="53">
        <f t="shared" si="52"/>
        <v>815301</v>
      </c>
      <c r="L171" s="53"/>
      <c r="M171" s="53">
        <v>8297592</v>
      </c>
      <c r="N171" s="53"/>
      <c r="O171" s="53">
        <v>9112893</v>
      </c>
      <c r="P171" s="53"/>
      <c r="Q171" s="53">
        <v>14719930</v>
      </c>
      <c r="R171" s="53"/>
      <c r="S171" s="53">
        <v>0</v>
      </c>
      <c r="T171" s="53"/>
      <c r="U171" s="53">
        <v>4032143</v>
      </c>
      <c r="V171" s="53"/>
      <c r="W171" s="53">
        <f t="shared" si="53"/>
        <v>18752073</v>
      </c>
      <c r="X171" s="53"/>
      <c r="Y171" s="35" t="s">
        <v>197</v>
      </c>
      <c r="AA171" s="35" t="s">
        <v>163</v>
      </c>
      <c r="AB171" s="35"/>
      <c r="AC171" s="53">
        <v>4549228</v>
      </c>
      <c r="AD171" s="53"/>
      <c r="AE171" s="53">
        <f>4320978-1951050</f>
        <v>2369928</v>
      </c>
      <c r="AF171" s="53"/>
      <c r="AG171" s="53">
        <v>1951050</v>
      </c>
      <c r="AH171" s="53"/>
      <c r="AI171" s="45">
        <f t="shared" si="54"/>
        <v>228250</v>
      </c>
      <c r="AJ171" s="45"/>
      <c r="AK171" s="53">
        <v>-159724</v>
      </c>
      <c r="AL171" s="45"/>
      <c r="AM171" s="53">
        <v>359640</v>
      </c>
      <c r="AN171" s="53"/>
      <c r="AO171" s="53">
        <v>493356</v>
      </c>
      <c r="AP171" s="53"/>
      <c r="AQ171" s="53">
        <v>0</v>
      </c>
      <c r="AR171" s="53"/>
      <c r="AS171" s="45">
        <f t="shared" si="57"/>
        <v>-65190</v>
      </c>
      <c r="AT171" s="45"/>
      <c r="AU171" s="53">
        <v>0</v>
      </c>
      <c r="AV171" s="53"/>
      <c r="AW171" s="53">
        <v>0</v>
      </c>
      <c r="AX171" s="53"/>
      <c r="AY171" s="53">
        <f t="shared" si="55"/>
        <v>3614242</v>
      </c>
      <c r="AZ171" s="53"/>
      <c r="BA171" s="35" t="s">
        <v>197</v>
      </c>
      <c r="BC171" s="35" t="s">
        <v>163</v>
      </c>
      <c r="BD171" s="53"/>
      <c r="BE171" s="53">
        <f>1295000+180000</f>
        <v>1475000</v>
      </c>
      <c r="BF171" s="53"/>
      <c r="BG171" s="53">
        <v>0</v>
      </c>
      <c r="BH171" s="53"/>
      <c r="BI171" s="53">
        <f>6573020+130538+527265+9670</f>
        <v>7240493</v>
      </c>
      <c r="BJ171" s="53"/>
      <c r="BK171" s="53">
        <v>299034</v>
      </c>
      <c r="BL171" s="53"/>
      <c r="BM171" s="53">
        <f t="shared" si="51"/>
        <v>9014527</v>
      </c>
      <c r="BN171" s="54" t="s">
        <v>347</v>
      </c>
      <c r="BR171" s="51"/>
      <c r="BS171" s="53"/>
      <c r="BT171" s="53"/>
      <c r="BU171" s="53"/>
      <c r="BV171" s="53"/>
      <c r="BW171" s="53"/>
      <c r="BX171" s="45"/>
      <c r="BY171" s="45"/>
      <c r="BZ171" s="53"/>
      <c r="CA171" s="53"/>
      <c r="CB171" s="53"/>
      <c r="CC171" s="53"/>
      <c r="CD171" s="53"/>
      <c r="CE171" s="53"/>
      <c r="CF171" s="35"/>
      <c r="CH171" s="35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4"/>
    </row>
    <row r="172" spans="1:98" s="55" customFormat="1" ht="12.75" customHeight="1" x14ac:dyDescent="0.2">
      <c r="A172" s="35" t="s">
        <v>198</v>
      </c>
      <c r="B172" s="51"/>
      <c r="C172" s="35" t="s">
        <v>199</v>
      </c>
      <c r="D172" s="44"/>
      <c r="E172" s="53">
        <f t="shared" si="56"/>
        <v>3955507</v>
      </c>
      <c r="F172" s="53"/>
      <c r="G172" s="53">
        <v>5908917</v>
      </c>
      <c r="H172" s="53"/>
      <c r="I172" s="53">
        <v>9864424</v>
      </c>
      <c r="J172" s="53"/>
      <c r="K172" s="53">
        <f t="shared" si="52"/>
        <v>648955</v>
      </c>
      <c r="L172" s="53"/>
      <c r="M172" s="53">
        <v>52498</v>
      </c>
      <c r="N172" s="53"/>
      <c r="O172" s="53">
        <v>701453</v>
      </c>
      <c r="P172" s="53"/>
      <c r="Q172" s="53">
        <v>5371710</v>
      </c>
      <c r="R172" s="53"/>
      <c r="S172" s="53">
        <v>0</v>
      </c>
      <c r="T172" s="53"/>
      <c r="U172" s="53">
        <v>3791261</v>
      </c>
      <c r="V172" s="53"/>
      <c r="W172" s="53">
        <f t="shared" si="53"/>
        <v>9162971</v>
      </c>
      <c r="X172" s="53"/>
      <c r="Y172" s="35" t="s">
        <v>198</v>
      </c>
      <c r="AA172" s="35" t="s">
        <v>199</v>
      </c>
      <c r="AB172" s="35"/>
      <c r="AC172" s="53">
        <v>1985999</v>
      </c>
      <c r="AD172" s="53"/>
      <c r="AE172" s="53">
        <f>2090773-613626</f>
        <v>1477147</v>
      </c>
      <c r="AF172" s="53"/>
      <c r="AG172" s="53">
        <v>613626</v>
      </c>
      <c r="AH172" s="53"/>
      <c r="AI172" s="45">
        <f t="shared" si="54"/>
        <v>-104774</v>
      </c>
      <c r="AJ172" s="45"/>
      <c r="AK172" s="53">
        <v>32563</v>
      </c>
      <c r="AL172" s="45"/>
      <c r="AM172" s="53">
        <v>0</v>
      </c>
      <c r="AN172" s="53"/>
      <c r="AO172" s="53">
        <v>0</v>
      </c>
      <c r="AP172" s="53"/>
      <c r="AQ172" s="53">
        <v>0</v>
      </c>
      <c r="AR172" s="53"/>
      <c r="AS172" s="45">
        <f t="shared" si="57"/>
        <v>-72211</v>
      </c>
      <c r="AT172" s="45"/>
      <c r="AU172" s="53">
        <v>0</v>
      </c>
      <c r="AV172" s="53"/>
      <c r="AW172" s="53">
        <v>0</v>
      </c>
      <c r="AX172" s="53"/>
      <c r="AY172" s="53">
        <f t="shared" si="55"/>
        <v>3306552</v>
      </c>
      <c r="AZ172" s="53"/>
      <c r="BA172" s="35" t="s">
        <v>198</v>
      </c>
      <c r="BC172" s="35" t="s">
        <v>199</v>
      </c>
      <c r="BD172" s="53"/>
      <c r="BE172" s="53">
        <v>0</v>
      </c>
      <c r="BF172" s="53"/>
      <c r="BG172" s="53">
        <v>0</v>
      </c>
      <c r="BH172" s="53"/>
      <c r="BI172" s="53">
        <f>9143+528064</f>
        <v>537207</v>
      </c>
      <c r="BJ172" s="53"/>
      <c r="BK172" s="53">
        <f>43355+12224</f>
        <v>55579</v>
      </c>
      <c r="BL172" s="53"/>
      <c r="BM172" s="53">
        <f t="shared" si="51"/>
        <v>592786</v>
      </c>
      <c r="BN172" s="54" t="s">
        <v>347</v>
      </c>
      <c r="BO172" s="55" t="s">
        <v>408</v>
      </c>
      <c r="BR172" s="51"/>
      <c r="BS172" s="53"/>
      <c r="BT172" s="53"/>
      <c r="BU172" s="53"/>
      <c r="BV172" s="53"/>
      <c r="BW172" s="53"/>
      <c r="BX172" s="45"/>
      <c r="BY172" s="45"/>
      <c r="BZ172" s="53"/>
      <c r="CA172" s="53"/>
      <c r="CB172" s="53"/>
      <c r="CC172" s="53"/>
      <c r="CD172" s="53"/>
      <c r="CE172" s="53"/>
      <c r="CF172" s="35"/>
      <c r="CH172" s="35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4"/>
    </row>
    <row r="173" spans="1:98" s="55" customFormat="1" ht="12.75" customHeight="1" x14ac:dyDescent="0.2">
      <c r="A173" s="35" t="s">
        <v>200</v>
      </c>
      <c r="C173" s="35" t="s">
        <v>103</v>
      </c>
      <c r="D173" s="44"/>
      <c r="E173" s="53">
        <f t="shared" si="56"/>
        <v>7863893</v>
      </c>
      <c r="F173" s="53"/>
      <c r="G173" s="53">
        <v>15039043</v>
      </c>
      <c r="H173" s="53"/>
      <c r="I173" s="53">
        <v>22902936</v>
      </c>
      <c r="J173" s="53"/>
      <c r="K173" s="53">
        <f t="shared" si="52"/>
        <v>562453</v>
      </c>
      <c r="L173" s="53"/>
      <c r="M173" s="53">
        <v>3043708</v>
      </c>
      <c r="N173" s="53"/>
      <c r="O173" s="53">
        <v>3606161</v>
      </c>
      <c r="P173" s="53"/>
      <c r="Q173" s="53">
        <v>11713458</v>
      </c>
      <c r="R173" s="53"/>
      <c r="S173" s="53">
        <v>799948</v>
      </c>
      <c r="T173" s="53"/>
      <c r="U173" s="53">
        <v>6783369</v>
      </c>
      <c r="V173" s="53"/>
      <c r="W173" s="53">
        <f t="shared" si="53"/>
        <v>19296775</v>
      </c>
      <c r="X173" s="53"/>
      <c r="Y173" s="35" t="s">
        <v>200</v>
      </c>
      <c r="AA173" s="35" t="s">
        <v>103</v>
      </c>
      <c r="AB173" s="35"/>
      <c r="AC173" s="53">
        <v>2885155</v>
      </c>
      <c r="AD173" s="53"/>
      <c r="AE173" s="53">
        <f>2548930-678509</f>
        <v>1870421</v>
      </c>
      <c r="AF173" s="53"/>
      <c r="AG173" s="53">
        <v>678509</v>
      </c>
      <c r="AH173" s="53"/>
      <c r="AI173" s="45">
        <f t="shared" si="54"/>
        <v>336225</v>
      </c>
      <c r="AJ173" s="45"/>
      <c r="AK173" s="53">
        <v>-100040</v>
      </c>
      <c r="AL173" s="45"/>
      <c r="AM173" s="53">
        <v>0</v>
      </c>
      <c r="AN173" s="53"/>
      <c r="AO173" s="53">
        <v>0</v>
      </c>
      <c r="AP173" s="53"/>
      <c r="AQ173" s="53">
        <v>56890</v>
      </c>
      <c r="AR173" s="53"/>
      <c r="AS173" s="45">
        <f t="shared" si="57"/>
        <v>293075</v>
      </c>
      <c r="AT173" s="45"/>
      <c r="AU173" s="53">
        <v>0</v>
      </c>
      <c r="AV173" s="53"/>
      <c r="AW173" s="53">
        <v>0</v>
      </c>
      <c r="AX173" s="53"/>
      <c r="AY173" s="53">
        <f t="shared" si="55"/>
        <v>7301440</v>
      </c>
      <c r="AZ173" s="53"/>
      <c r="BA173" s="35" t="s">
        <v>200</v>
      </c>
      <c r="BC173" s="35" t="s">
        <v>103</v>
      </c>
      <c r="BD173" s="53"/>
      <c r="BE173" s="53">
        <v>0</v>
      </c>
      <c r="BF173" s="53"/>
      <c r="BG173" s="53">
        <v>0</v>
      </c>
      <c r="BH173" s="53"/>
      <c r="BI173" s="53">
        <f>2896818+428767</f>
        <v>3325585</v>
      </c>
      <c r="BJ173" s="53"/>
      <c r="BK173" s="53">
        <f>146890+42512</f>
        <v>189402</v>
      </c>
      <c r="BL173" s="53"/>
      <c r="BM173" s="53">
        <f t="shared" si="51"/>
        <v>3514987</v>
      </c>
      <c r="BN173" s="54" t="s">
        <v>347</v>
      </c>
      <c r="BR173" s="51"/>
      <c r="BS173" s="53"/>
      <c r="BT173" s="53"/>
      <c r="BU173" s="53"/>
      <c r="BV173" s="53"/>
      <c r="BW173" s="45"/>
      <c r="BX173" s="45"/>
      <c r="BY173" s="53"/>
      <c r="BZ173" s="53"/>
      <c r="CA173" s="53"/>
      <c r="CB173" s="53"/>
      <c r="CC173" s="53"/>
      <c r="CD173" s="53"/>
      <c r="CE173" s="53"/>
      <c r="CF173" s="35"/>
      <c r="CH173" s="35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4"/>
    </row>
    <row r="174" spans="1:98" s="55" customFormat="1" ht="12.75" customHeight="1" x14ac:dyDescent="0.2">
      <c r="A174" s="35" t="s">
        <v>201</v>
      </c>
      <c r="C174" s="35" t="s">
        <v>92</v>
      </c>
      <c r="D174" s="44"/>
      <c r="E174" s="53">
        <f t="shared" si="56"/>
        <v>3537743</v>
      </c>
      <c r="F174" s="53"/>
      <c r="G174" s="53">
        <v>10565868</v>
      </c>
      <c r="H174" s="53"/>
      <c r="I174" s="53">
        <v>14103611</v>
      </c>
      <c r="J174" s="53"/>
      <c r="K174" s="53">
        <f t="shared" si="52"/>
        <v>395548</v>
      </c>
      <c r="L174" s="53"/>
      <c r="M174" s="53">
        <v>4302035</v>
      </c>
      <c r="N174" s="53"/>
      <c r="O174" s="53">
        <v>4697583</v>
      </c>
      <c r="P174" s="53"/>
      <c r="Q174" s="53">
        <v>6358451</v>
      </c>
      <c r="R174" s="53"/>
      <c r="S174" s="53">
        <v>0</v>
      </c>
      <c r="T174" s="53"/>
      <c r="U174" s="53">
        <v>3047577</v>
      </c>
      <c r="V174" s="53"/>
      <c r="W174" s="53">
        <f t="shared" si="53"/>
        <v>9406028</v>
      </c>
      <c r="X174" s="53"/>
      <c r="Y174" s="35" t="s">
        <v>201</v>
      </c>
      <c r="AA174" s="35" t="s">
        <v>92</v>
      </c>
      <c r="AB174" s="35"/>
      <c r="AC174" s="53">
        <v>3679141</v>
      </c>
      <c r="AD174" s="53"/>
      <c r="AE174" s="53">
        <f>3650402-508666</f>
        <v>3141736</v>
      </c>
      <c r="AF174" s="53"/>
      <c r="AG174" s="53">
        <v>508666</v>
      </c>
      <c r="AH174" s="53"/>
      <c r="AI174" s="45">
        <f t="shared" si="54"/>
        <v>28739</v>
      </c>
      <c r="AJ174" s="45"/>
      <c r="AK174" s="53">
        <v>-135672</v>
      </c>
      <c r="AL174" s="45"/>
      <c r="AM174" s="53">
        <v>0</v>
      </c>
      <c r="AN174" s="53"/>
      <c r="AO174" s="53">
        <v>60000</v>
      </c>
      <c r="AP174" s="53"/>
      <c r="AQ174" s="53">
        <v>0</v>
      </c>
      <c r="AR174" s="53"/>
      <c r="AS174" s="45">
        <f t="shared" si="57"/>
        <v>-166933</v>
      </c>
      <c r="AT174" s="45"/>
      <c r="AU174" s="53">
        <v>0</v>
      </c>
      <c r="AV174" s="53"/>
      <c r="AW174" s="53">
        <v>0</v>
      </c>
      <c r="AX174" s="53"/>
      <c r="AY174" s="53">
        <f t="shared" si="55"/>
        <v>3142195</v>
      </c>
      <c r="AZ174" s="53"/>
      <c r="BA174" s="35" t="s">
        <v>201</v>
      </c>
      <c r="BC174" s="35" t="s">
        <v>92</v>
      </c>
      <c r="BD174" s="53"/>
      <c r="BE174" s="53">
        <v>0</v>
      </c>
      <c r="BF174" s="53"/>
      <c r="BG174" s="53">
        <v>0</v>
      </c>
      <c r="BH174" s="53"/>
      <c r="BI174" s="53">
        <f>3495846+30731+2048</f>
        <v>3528625</v>
      </c>
      <c r="BJ174" s="53"/>
      <c r="BK174" s="53">
        <f>201618+16934+299475+104455+274365+107778</f>
        <v>1004625</v>
      </c>
      <c r="BL174" s="53"/>
      <c r="BM174" s="53">
        <f t="shared" si="51"/>
        <v>4533250</v>
      </c>
      <c r="BN174" s="54" t="s">
        <v>347</v>
      </c>
      <c r="BO174" s="35" t="s">
        <v>409</v>
      </c>
      <c r="BR174" s="51"/>
      <c r="BS174" s="53"/>
      <c r="BT174" s="53"/>
      <c r="BU174" s="53"/>
      <c r="BV174" s="53"/>
      <c r="BW174" s="53"/>
      <c r="BX174" s="45"/>
      <c r="BY174" s="45"/>
      <c r="BZ174" s="53"/>
      <c r="CA174" s="53"/>
      <c r="CB174" s="53"/>
      <c r="CC174" s="53"/>
      <c r="CD174" s="53"/>
      <c r="CE174" s="53"/>
      <c r="CF174" s="35"/>
      <c r="CH174" s="35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4"/>
      <c r="CT174" s="35"/>
    </row>
    <row r="175" spans="1:98" s="140" customFormat="1" ht="12" hidden="1" customHeight="1" x14ac:dyDescent="0.2">
      <c r="A175" s="126" t="s">
        <v>202</v>
      </c>
      <c r="B175" s="124"/>
      <c r="C175" s="126" t="s">
        <v>27</v>
      </c>
      <c r="D175" s="121"/>
      <c r="E175" s="53">
        <f t="shared" si="56"/>
        <v>0</v>
      </c>
      <c r="F175" s="53"/>
      <c r="G175" s="53"/>
      <c r="H175" s="53"/>
      <c r="I175" s="53"/>
      <c r="J175" s="53"/>
      <c r="K175" s="53">
        <f t="shared" si="52"/>
        <v>0</v>
      </c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>
        <f t="shared" si="53"/>
        <v>0</v>
      </c>
      <c r="X175" s="137"/>
      <c r="Y175" s="126" t="s">
        <v>202</v>
      </c>
      <c r="AA175" s="126" t="s">
        <v>27</v>
      </c>
      <c r="AB175" s="126"/>
      <c r="AC175" s="53"/>
      <c r="AD175" s="53"/>
      <c r="AE175" s="53"/>
      <c r="AF175" s="53"/>
      <c r="AG175" s="53"/>
      <c r="AH175" s="53"/>
      <c r="AI175" s="45">
        <f t="shared" si="54"/>
        <v>0</v>
      </c>
      <c r="AJ175" s="45"/>
      <c r="AK175" s="53"/>
      <c r="AL175" s="45"/>
      <c r="AM175" s="53"/>
      <c r="AN175" s="53"/>
      <c r="AO175" s="53"/>
      <c r="AP175" s="53"/>
      <c r="AQ175" s="53"/>
      <c r="AR175" s="53"/>
      <c r="AS175" s="45">
        <f t="shared" si="57"/>
        <v>0</v>
      </c>
      <c r="AT175" s="45"/>
      <c r="AU175" s="53">
        <v>0</v>
      </c>
      <c r="AV175" s="53"/>
      <c r="AW175" s="53">
        <v>0</v>
      </c>
      <c r="AX175" s="53"/>
      <c r="AY175" s="53">
        <f t="shared" si="55"/>
        <v>0</v>
      </c>
      <c r="AZ175" s="53"/>
      <c r="BA175" s="126" t="s">
        <v>202</v>
      </c>
      <c r="BC175" s="126" t="s">
        <v>27</v>
      </c>
      <c r="BD175" s="137"/>
      <c r="BE175" s="53"/>
      <c r="BF175" s="53"/>
      <c r="BG175" s="53"/>
      <c r="BH175" s="53"/>
      <c r="BI175" s="53"/>
      <c r="BJ175" s="53"/>
      <c r="BK175" s="53"/>
      <c r="BL175" s="137"/>
      <c r="BM175" s="137">
        <f t="shared" si="51"/>
        <v>0</v>
      </c>
      <c r="BN175" s="139" t="s">
        <v>347</v>
      </c>
      <c r="BR175" s="124"/>
      <c r="BS175" s="137"/>
      <c r="BT175" s="137"/>
      <c r="BU175" s="137"/>
      <c r="BV175" s="137"/>
      <c r="BW175" s="137"/>
      <c r="BX175" s="127"/>
      <c r="BY175" s="127"/>
      <c r="BZ175" s="137"/>
      <c r="CA175" s="137"/>
      <c r="CB175" s="137"/>
      <c r="CC175" s="137"/>
      <c r="CD175" s="137"/>
      <c r="CE175" s="137"/>
      <c r="CF175" s="126"/>
      <c r="CH175" s="126"/>
      <c r="CI175" s="137"/>
      <c r="CJ175" s="137"/>
      <c r="CK175" s="137"/>
      <c r="CL175" s="137"/>
      <c r="CM175" s="137"/>
      <c r="CN175" s="137"/>
      <c r="CO175" s="137"/>
      <c r="CP175" s="137"/>
      <c r="CQ175" s="137"/>
      <c r="CR175" s="137"/>
      <c r="CS175" s="139"/>
    </row>
    <row r="176" spans="1:98" s="140" customFormat="1" ht="12" hidden="1" customHeight="1" x14ac:dyDescent="0.2">
      <c r="A176" s="126" t="s">
        <v>203</v>
      </c>
      <c r="B176" s="124"/>
      <c r="C176" s="126" t="s">
        <v>27</v>
      </c>
      <c r="D176" s="121"/>
      <c r="E176" s="53">
        <f t="shared" si="56"/>
        <v>0</v>
      </c>
      <c r="F176" s="53"/>
      <c r="G176" s="53"/>
      <c r="H176" s="53"/>
      <c r="I176" s="53"/>
      <c r="J176" s="53"/>
      <c r="K176" s="53">
        <f t="shared" si="52"/>
        <v>0</v>
      </c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>
        <f t="shared" si="53"/>
        <v>0</v>
      </c>
      <c r="X176" s="137"/>
      <c r="Y176" s="126" t="s">
        <v>203</v>
      </c>
      <c r="AA176" s="126" t="s">
        <v>27</v>
      </c>
      <c r="AB176" s="126"/>
      <c r="AC176" s="53"/>
      <c r="AD176" s="53"/>
      <c r="AE176" s="53"/>
      <c r="AF176" s="53"/>
      <c r="AG176" s="53"/>
      <c r="AH176" s="53"/>
      <c r="AI176" s="45">
        <f t="shared" si="54"/>
        <v>0</v>
      </c>
      <c r="AJ176" s="45"/>
      <c r="AK176" s="53"/>
      <c r="AL176" s="45"/>
      <c r="AM176" s="53"/>
      <c r="AN176" s="53"/>
      <c r="AO176" s="53"/>
      <c r="AP176" s="53"/>
      <c r="AQ176" s="53"/>
      <c r="AR176" s="53"/>
      <c r="AS176" s="45">
        <f t="shared" si="57"/>
        <v>0</v>
      </c>
      <c r="AT176" s="45"/>
      <c r="AU176" s="53">
        <v>0</v>
      </c>
      <c r="AV176" s="53"/>
      <c r="AW176" s="53">
        <v>0</v>
      </c>
      <c r="AX176" s="53"/>
      <c r="AY176" s="53">
        <f t="shared" si="55"/>
        <v>0</v>
      </c>
      <c r="AZ176" s="53"/>
      <c r="BA176" s="126" t="s">
        <v>203</v>
      </c>
      <c r="BC176" s="126" t="s">
        <v>27</v>
      </c>
      <c r="BD176" s="137"/>
      <c r="BE176" s="53"/>
      <c r="BF176" s="53"/>
      <c r="BG176" s="53"/>
      <c r="BH176" s="53"/>
      <c r="BI176" s="53"/>
      <c r="BJ176" s="53"/>
      <c r="BK176" s="53"/>
      <c r="BL176" s="137"/>
      <c r="BM176" s="137">
        <f t="shared" si="51"/>
        <v>0</v>
      </c>
      <c r="BN176" s="139" t="s">
        <v>347</v>
      </c>
      <c r="BO176" s="140" t="s">
        <v>404</v>
      </c>
      <c r="BR176" s="124"/>
      <c r="BS176" s="137"/>
      <c r="BT176" s="137"/>
      <c r="BU176" s="137"/>
      <c r="BV176" s="137"/>
      <c r="BW176" s="137"/>
      <c r="BX176" s="127"/>
      <c r="BY176" s="127"/>
      <c r="BZ176" s="137"/>
      <c r="CA176" s="137"/>
      <c r="CB176" s="137"/>
      <c r="CC176" s="137"/>
      <c r="CD176" s="137"/>
      <c r="CE176" s="137"/>
      <c r="CF176" s="126"/>
      <c r="CH176" s="126"/>
      <c r="CI176" s="137"/>
      <c r="CJ176" s="137"/>
      <c r="CK176" s="137"/>
      <c r="CL176" s="137"/>
      <c r="CM176" s="137"/>
      <c r="CN176" s="137"/>
      <c r="CO176" s="137"/>
      <c r="CP176" s="137"/>
      <c r="CQ176" s="137"/>
      <c r="CR176" s="137"/>
      <c r="CS176" s="139"/>
    </row>
    <row r="177" spans="1:99" s="55" customFormat="1" ht="12.75" customHeight="1" x14ac:dyDescent="0.2">
      <c r="A177" s="35" t="s">
        <v>204</v>
      </c>
      <c r="B177" s="51"/>
      <c r="C177" s="35" t="s">
        <v>125</v>
      </c>
      <c r="D177" s="44"/>
      <c r="E177" s="53">
        <f t="shared" si="56"/>
        <v>2269513</v>
      </c>
      <c r="F177" s="53"/>
      <c r="G177" s="53">
        <v>6838221</v>
      </c>
      <c r="H177" s="53"/>
      <c r="I177" s="53">
        <v>9107734</v>
      </c>
      <c r="J177" s="53"/>
      <c r="K177" s="53">
        <f t="shared" si="52"/>
        <v>776719</v>
      </c>
      <c r="L177" s="53"/>
      <c r="M177" s="53">
        <v>4102179</v>
      </c>
      <c r="N177" s="53"/>
      <c r="O177" s="53">
        <v>4878898</v>
      </c>
      <c r="P177" s="53"/>
      <c r="Q177" s="53">
        <v>2650911</v>
      </c>
      <c r="R177" s="53"/>
      <c r="S177" s="53">
        <v>0</v>
      </c>
      <c r="T177" s="53"/>
      <c r="U177" s="53">
        <v>1577925</v>
      </c>
      <c r="V177" s="53"/>
      <c r="W177" s="53">
        <f t="shared" si="53"/>
        <v>4228836</v>
      </c>
      <c r="X177" s="53"/>
      <c r="Y177" s="35" t="s">
        <v>204</v>
      </c>
      <c r="AA177" s="35" t="s">
        <v>125</v>
      </c>
      <c r="AB177" s="35"/>
      <c r="AC177" s="53">
        <v>1106985</v>
      </c>
      <c r="AD177" s="53"/>
      <c r="AE177" s="53">
        <f>1372248-205540</f>
        <v>1166708</v>
      </c>
      <c r="AF177" s="53"/>
      <c r="AG177" s="53">
        <v>205540</v>
      </c>
      <c r="AH177" s="53"/>
      <c r="AI177" s="45">
        <f t="shared" si="54"/>
        <v>-265263</v>
      </c>
      <c r="AJ177" s="45"/>
      <c r="AK177" s="53">
        <v>105424</v>
      </c>
      <c r="AL177" s="45"/>
      <c r="AM177" s="53">
        <v>0</v>
      </c>
      <c r="AN177" s="53"/>
      <c r="AO177" s="53">
        <v>0</v>
      </c>
      <c r="AP177" s="53"/>
      <c r="AQ177" s="53">
        <v>0</v>
      </c>
      <c r="AR177" s="53"/>
      <c r="AS177" s="45">
        <f t="shared" si="57"/>
        <v>-159839</v>
      </c>
      <c r="AT177" s="45"/>
      <c r="AU177" s="53">
        <v>0</v>
      </c>
      <c r="AV177" s="53"/>
      <c r="AW177" s="53">
        <v>0</v>
      </c>
      <c r="AX177" s="53"/>
      <c r="AY177" s="53">
        <f t="shared" si="55"/>
        <v>1492794</v>
      </c>
      <c r="AZ177" s="53"/>
      <c r="BA177" s="35" t="s">
        <v>204</v>
      </c>
      <c r="BC177" s="35" t="s">
        <v>125</v>
      </c>
      <c r="BD177" s="53"/>
      <c r="BE177" s="53">
        <f>437198+60000</f>
        <v>497198</v>
      </c>
      <c r="BF177" s="53"/>
      <c r="BG177" s="53">
        <v>0</v>
      </c>
      <c r="BH177" s="53"/>
      <c r="BI177" s="53">
        <v>3664972</v>
      </c>
      <c r="BJ177" s="53"/>
      <c r="BK177" s="53">
        <f>9+10062</f>
        <v>10071</v>
      </c>
      <c r="BL177" s="53"/>
      <c r="BM177" s="53">
        <f t="shared" si="51"/>
        <v>4172241</v>
      </c>
      <c r="BN177" s="54" t="s">
        <v>347</v>
      </c>
      <c r="BR177" s="51"/>
      <c r="BS177" s="53"/>
      <c r="BT177" s="53"/>
      <c r="BU177" s="53"/>
      <c r="BV177" s="53"/>
      <c r="BW177" s="53"/>
      <c r="BX177" s="45"/>
      <c r="BY177" s="45"/>
      <c r="BZ177" s="53"/>
      <c r="CA177" s="53"/>
      <c r="CB177" s="53"/>
      <c r="CC177" s="53"/>
      <c r="CD177" s="53"/>
      <c r="CE177" s="53"/>
      <c r="CF177" s="35"/>
      <c r="CH177" s="35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4"/>
    </row>
    <row r="178" spans="1:99" s="55" customFormat="1" ht="12.75" hidden="1" customHeight="1" x14ac:dyDescent="0.2">
      <c r="A178" s="35" t="s">
        <v>205</v>
      </c>
      <c r="B178" s="51"/>
      <c r="C178" s="35" t="s">
        <v>27</v>
      </c>
      <c r="D178" s="44"/>
      <c r="E178" s="53">
        <f t="shared" si="56"/>
        <v>0</v>
      </c>
      <c r="F178" s="53"/>
      <c r="G178" s="53"/>
      <c r="H178" s="53"/>
      <c r="I178" s="53"/>
      <c r="J178" s="53"/>
      <c r="K178" s="53">
        <f t="shared" si="52"/>
        <v>0</v>
      </c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>
        <f t="shared" si="53"/>
        <v>0</v>
      </c>
      <c r="X178" s="53"/>
      <c r="Y178" s="35" t="s">
        <v>205</v>
      </c>
      <c r="AA178" s="35" t="s">
        <v>27</v>
      </c>
      <c r="AB178" s="35"/>
      <c r="AC178" s="53"/>
      <c r="AD178" s="53"/>
      <c r="AE178" s="53"/>
      <c r="AF178" s="53"/>
      <c r="AG178" s="53"/>
      <c r="AH178" s="53"/>
      <c r="AI178" s="45">
        <f t="shared" si="54"/>
        <v>0</v>
      </c>
      <c r="AJ178" s="45"/>
      <c r="AK178" s="53"/>
      <c r="AL178" s="45"/>
      <c r="AM178" s="53"/>
      <c r="AN178" s="53"/>
      <c r="AO178" s="53"/>
      <c r="AP178" s="53"/>
      <c r="AQ178" s="53"/>
      <c r="AR178" s="53"/>
      <c r="AS178" s="45">
        <f t="shared" si="57"/>
        <v>0</v>
      </c>
      <c r="AT178" s="45"/>
      <c r="AU178" s="53">
        <v>0</v>
      </c>
      <c r="AV178" s="53"/>
      <c r="AW178" s="53">
        <v>0</v>
      </c>
      <c r="AX178" s="53"/>
      <c r="AY178" s="53">
        <f t="shared" si="55"/>
        <v>0</v>
      </c>
      <c r="AZ178" s="53"/>
      <c r="BA178" s="35" t="s">
        <v>205</v>
      </c>
      <c r="BC178" s="35" t="s">
        <v>27</v>
      </c>
      <c r="BD178" s="53"/>
      <c r="BE178" s="53"/>
      <c r="BF178" s="53"/>
      <c r="BG178" s="53"/>
      <c r="BH178" s="53"/>
      <c r="BI178" s="53"/>
      <c r="BJ178" s="53"/>
      <c r="BK178" s="53"/>
      <c r="BL178" s="53"/>
      <c r="BM178" s="53">
        <f t="shared" si="51"/>
        <v>0</v>
      </c>
      <c r="BN178" s="54" t="s">
        <v>347</v>
      </c>
      <c r="BR178" s="51"/>
      <c r="BS178" s="53"/>
      <c r="BT178" s="53"/>
      <c r="BU178" s="53"/>
      <c r="BV178" s="53"/>
      <c r="BW178" s="53"/>
      <c r="BX178" s="45"/>
      <c r="BY178" s="45"/>
      <c r="BZ178" s="53"/>
      <c r="CA178" s="53"/>
      <c r="CB178" s="53"/>
      <c r="CC178" s="53"/>
      <c r="CD178" s="53"/>
      <c r="CE178" s="53"/>
      <c r="CF178" s="35"/>
      <c r="CH178" s="35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4"/>
    </row>
    <row r="179" spans="1:99" s="55" customFormat="1" ht="12.75" customHeight="1" x14ac:dyDescent="0.2">
      <c r="A179" s="35" t="s">
        <v>206</v>
      </c>
      <c r="C179" s="35" t="s">
        <v>47</v>
      </c>
      <c r="D179" s="44"/>
      <c r="E179" s="53">
        <f>I179-G179</f>
        <v>6401747</v>
      </c>
      <c r="F179" s="53"/>
      <c r="G179" s="53">
        <v>45722188</v>
      </c>
      <c r="H179" s="53"/>
      <c r="I179" s="53">
        <v>52123935</v>
      </c>
      <c r="J179" s="53"/>
      <c r="K179" s="53">
        <f t="shared" si="52"/>
        <v>1562427</v>
      </c>
      <c r="L179" s="53"/>
      <c r="M179" s="53">
        <f>86346+38619+12085000+3242475</f>
        <v>15452440</v>
      </c>
      <c r="N179" s="53"/>
      <c r="O179" s="53">
        <v>17014867</v>
      </c>
      <c r="P179" s="53"/>
      <c r="Q179" s="53">
        <v>29077672</v>
      </c>
      <c r="R179" s="53"/>
      <c r="S179" s="53">
        <v>0</v>
      </c>
      <c r="T179" s="53"/>
      <c r="U179" s="53">
        <v>6031396</v>
      </c>
      <c r="V179" s="53"/>
      <c r="W179" s="53">
        <f t="shared" si="53"/>
        <v>35109068</v>
      </c>
      <c r="X179" s="53"/>
      <c r="Y179" s="35" t="s">
        <v>206</v>
      </c>
      <c r="AA179" s="35" t="s">
        <v>47</v>
      </c>
      <c r="AB179" s="35"/>
      <c r="AC179" s="53">
        <v>6241596</v>
      </c>
      <c r="AD179" s="53"/>
      <c r="AE179" s="53">
        <f>3627506-1071445</f>
        <v>2556061</v>
      </c>
      <c r="AF179" s="53"/>
      <c r="AG179" s="53">
        <v>1071445</v>
      </c>
      <c r="AH179" s="53"/>
      <c r="AI179" s="45">
        <f t="shared" si="54"/>
        <v>2614090</v>
      </c>
      <c r="AJ179" s="45"/>
      <c r="AK179" s="53">
        <v>-1514824</v>
      </c>
      <c r="AL179" s="45"/>
      <c r="AM179" s="53">
        <v>45000</v>
      </c>
      <c r="AN179" s="53"/>
      <c r="AO179" s="53">
        <v>0</v>
      </c>
      <c r="AP179" s="53"/>
      <c r="AQ179" s="53">
        <v>0</v>
      </c>
      <c r="AR179" s="53"/>
      <c r="AS179" s="45">
        <f t="shared" si="57"/>
        <v>1144266</v>
      </c>
      <c r="AT179" s="45"/>
      <c r="AU179" s="53">
        <v>0</v>
      </c>
      <c r="AV179" s="53"/>
      <c r="AW179" s="53">
        <v>0</v>
      </c>
      <c r="AX179" s="53"/>
      <c r="AY179" s="53">
        <f t="shared" si="55"/>
        <v>4839320</v>
      </c>
      <c r="AZ179" s="53"/>
      <c r="BA179" s="35" t="s">
        <v>206</v>
      </c>
      <c r="BC179" s="35" t="s">
        <v>47</v>
      </c>
      <c r="BD179" s="53"/>
      <c r="BE179" s="53">
        <f>12085000+5300000</f>
        <v>17385000</v>
      </c>
      <c r="BF179" s="53"/>
      <c r="BG179" s="53">
        <v>0</v>
      </c>
      <c r="BH179" s="53"/>
      <c r="BI179" s="53">
        <f>3242475+787041</f>
        <v>4029516</v>
      </c>
      <c r="BJ179" s="53"/>
      <c r="BK179" s="53">
        <f>86346+38619</f>
        <v>124965</v>
      </c>
      <c r="BL179" s="53"/>
      <c r="BM179" s="53">
        <f t="shared" si="51"/>
        <v>21539481</v>
      </c>
      <c r="BN179" s="54" t="s">
        <v>347</v>
      </c>
      <c r="BR179" s="51"/>
      <c r="BS179" s="53"/>
      <c r="BT179" s="53"/>
      <c r="BU179" s="53"/>
      <c r="BV179" s="53"/>
      <c r="BW179" s="53"/>
      <c r="BX179" s="45"/>
      <c r="BY179" s="45"/>
      <c r="BZ179" s="53"/>
      <c r="CA179" s="53"/>
      <c r="CB179" s="53"/>
      <c r="CC179" s="53"/>
      <c r="CD179" s="53"/>
      <c r="CE179" s="53"/>
      <c r="CF179" s="35"/>
      <c r="CH179" s="35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4"/>
    </row>
    <row r="180" spans="1:99" s="55" customFormat="1" ht="12.75" customHeight="1" x14ac:dyDescent="0.2">
      <c r="A180" s="35" t="s">
        <v>207</v>
      </c>
      <c r="B180" s="65"/>
      <c r="C180" s="35" t="s">
        <v>102</v>
      </c>
      <c r="D180" s="44"/>
      <c r="E180" s="53">
        <f>I180-G180</f>
        <v>3328869</v>
      </c>
      <c r="F180" s="53"/>
      <c r="G180" s="53">
        <v>28595998</v>
      </c>
      <c r="H180" s="53"/>
      <c r="I180" s="53">
        <v>31924867</v>
      </c>
      <c r="J180" s="53"/>
      <c r="K180" s="53">
        <f t="shared" ref="K180:K239" si="58">O180-M180</f>
        <v>1371111</v>
      </c>
      <c r="L180" s="53"/>
      <c r="M180" s="53">
        <v>13275396</v>
      </c>
      <c r="N180" s="53"/>
      <c r="O180" s="53">
        <v>14646507</v>
      </c>
      <c r="P180" s="53"/>
      <c r="Q180" s="53">
        <v>14292679</v>
      </c>
      <c r="R180" s="53"/>
      <c r="S180" s="53">
        <v>0</v>
      </c>
      <c r="T180" s="53"/>
      <c r="U180" s="53">
        <v>2985681</v>
      </c>
      <c r="V180" s="53"/>
      <c r="W180" s="53">
        <f t="shared" ref="W180:W219" si="59">SUM(Q180:U180)</f>
        <v>17278360</v>
      </c>
      <c r="X180" s="53"/>
      <c r="Y180" s="35" t="s">
        <v>207</v>
      </c>
      <c r="AA180" s="35" t="s">
        <v>102</v>
      </c>
      <c r="AB180" s="35"/>
      <c r="AC180" s="53">
        <v>3456645</v>
      </c>
      <c r="AD180" s="53"/>
      <c r="AE180" s="53">
        <f>2197876-461049</f>
        <v>1736827</v>
      </c>
      <c r="AF180" s="53"/>
      <c r="AG180" s="53">
        <v>461049</v>
      </c>
      <c r="AH180" s="53"/>
      <c r="AI180" s="45">
        <f t="shared" ref="AI180:AI239" si="60">+AC180-AE180-AG180</f>
        <v>1258769</v>
      </c>
      <c r="AJ180" s="45"/>
      <c r="AK180" s="53">
        <v>-648036</v>
      </c>
      <c r="AL180" s="45"/>
      <c r="AM180" s="53">
        <v>0</v>
      </c>
      <c r="AN180" s="53"/>
      <c r="AO180" s="53">
        <v>0</v>
      </c>
      <c r="AP180" s="53"/>
      <c r="AQ180" s="53">
        <v>143271</v>
      </c>
      <c r="AR180" s="53"/>
      <c r="AS180" s="45">
        <f t="shared" ref="AS180:AS205" si="61">+AI180+AK180+AM180-AO180+AQ180</f>
        <v>754004</v>
      </c>
      <c r="AT180" s="45"/>
      <c r="AU180" s="53">
        <v>0</v>
      </c>
      <c r="AV180" s="53"/>
      <c r="AW180" s="53">
        <v>0</v>
      </c>
      <c r="AX180" s="53"/>
      <c r="AY180" s="53">
        <f t="shared" ref="AY180:AY213" si="62">+E180-K180</f>
        <v>1957758</v>
      </c>
      <c r="AZ180" s="53"/>
      <c r="BA180" s="35" t="s">
        <v>207</v>
      </c>
      <c r="BC180" s="35" t="s">
        <v>102</v>
      </c>
      <c r="BD180" s="53"/>
      <c r="BE180" s="53">
        <f>2183057+320000</f>
        <v>2503057</v>
      </c>
      <c r="BF180" s="53"/>
      <c r="BG180" s="53">
        <v>0</v>
      </c>
      <c r="BH180" s="53"/>
      <c r="BI180" s="53">
        <f>10673855+397758</f>
        <v>11071613</v>
      </c>
      <c r="BJ180" s="53"/>
      <c r="BK180" s="53">
        <f>16072+46285+350000+6127+31956+6450</f>
        <v>456890</v>
      </c>
      <c r="BL180" s="53"/>
      <c r="BM180" s="53">
        <f t="shared" si="51"/>
        <v>14031560</v>
      </c>
      <c r="BN180" s="54"/>
      <c r="BR180" s="65"/>
      <c r="BS180" s="53"/>
      <c r="BT180" s="53"/>
      <c r="BU180" s="53"/>
      <c r="BV180" s="53"/>
      <c r="BW180" s="53"/>
      <c r="BX180" s="45"/>
      <c r="BY180" s="45"/>
      <c r="BZ180" s="53"/>
      <c r="CA180" s="53"/>
      <c r="CB180" s="53"/>
      <c r="CC180" s="53"/>
      <c r="CD180" s="53"/>
      <c r="CE180" s="53"/>
      <c r="CF180" s="35"/>
      <c r="CH180" s="35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4"/>
    </row>
    <row r="181" spans="1:99" s="55" customFormat="1" ht="12.75" customHeight="1" x14ac:dyDescent="0.2">
      <c r="A181" s="35" t="s">
        <v>208</v>
      </c>
      <c r="B181" s="51"/>
      <c r="C181" s="35" t="s">
        <v>209</v>
      </c>
      <c r="D181" s="44"/>
      <c r="E181" s="53">
        <f t="shared" ref="E181:E239" si="63">I181-G181</f>
        <v>2912706</v>
      </c>
      <c r="F181" s="53"/>
      <c r="G181" s="53">
        <v>12628637</v>
      </c>
      <c r="H181" s="53"/>
      <c r="I181" s="53">
        <v>15541343</v>
      </c>
      <c r="J181" s="53"/>
      <c r="K181" s="53">
        <f t="shared" si="58"/>
        <v>734610</v>
      </c>
      <c r="L181" s="53"/>
      <c r="M181" s="53">
        <v>4999322</v>
      </c>
      <c r="N181" s="53"/>
      <c r="O181" s="53">
        <v>5733932</v>
      </c>
      <c r="P181" s="53"/>
      <c r="Q181" s="53">
        <v>7203249</v>
      </c>
      <c r="R181" s="53"/>
      <c r="S181" s="53">
        <v>50000</v>
      </c>
      <c r="T181" s="53"/>
      <c r="U181" s="53">
        <v>2554162</v>
      </c>
      <c r="V181" s="53"/>
      <c r="W181" s="53">
        <f t="shared" si="59"/>
        <v>9807411</v>
      </c>
      <c r="X181" s="53"/>
      <c r="Y181" s="35" t="s">
        <v>208</v>
      </c>
      <c r="AA181" s="35" t="s">
        <v>209</v>
      </c>
      <c r="AB181" s="35"/>
      <c r="AC181" s="53">
        <v>3411229</v>
      </c>
      <c r="AD181" s="53"/>
      <c r="AE181" s="53">
        <f>3082920-943500</f>
        <v>2139420</v>
      </c>
      <c r="AF181" s="53"/>
      <c r="AG181" s="53">
        <v>943500</v>
      </c>
      <c r="AH181" s="53"/>
      <c r="AI181" s="45">
        <f t="shared" si="60"/>
        <v>328309</v>
      </c>
      <c r="AJ181" s="45"/>
      <c r="AK181" s="53">
        <v>-198009</v>
      </c>
      <c r="AL181" s="45"/>
      <c r="AM181" s="53">
        <v>0</v>
      </c>
      <c r="AN181" s="53"/>
      <c r="AO181" s="53">
        <v>0</v>
      </c>
      <c r="AP181" s="53"/>
      <c r="AQ181" s="53">
        <v>0</v>
      </c>
      <c r="AR181" s="53"/>
      <c r="AS181" s="45">
        <f t="shared" si="61"/>
        <v>130300</v>
      </c>
      <c r="AT181" s="45"/>
      <c r="AU181" s="53">
        <v>0</v>
      </c>
      <c r="AV181" s="53"/>
      <c r="AW181" s="53">
        <v>0</v>
      </c>
      <c r="AX181" s="53"/>
      <c r="AY181" s="53">
        <f t="shared" si="62"/>
        <v>2178096</v>
      </c>
      <c r="AZ181" s="53"/>
      <c r="BA181" s="35" t="s">
        <v>208</v>
      </c>
      <c r="BC181" s="35" t="s">
        <v>209</v>
      </c>
      <c r="BD181" s="53"/>
      <c r="BE181" s="53">
        <f>4814582+610806</f>
        <v>5425388</v>
      </c>
      <c r="BF181" s="53"/>
      <c r="BG181" s="53">
        <v>0</v>
      </c>
      <c r="BH181" s="53"/>
      <c r="BI181" s="53">
        <v>0</v>
      </c>
      <c r="BJ181" s="53"/>
      <c r="BK181" s="53">
        <f>184740+75073</f>
        <v>259813</v>
      </c>
      <c r="BL181" s="53"/>
      <c r="BM181" s="53">
        <f t="shared" si="51"/>
        <v>5685201</v>
      </c>
      <c r="BN181" s="54" t="s">
        <v>347</v>
      </c>
      <c r="BR181" s="51"/>
      <c r="BS181" s="53"/>
      <c r="BT181" s="53"/>
      <c r="BU181" s="53"/>
      <c r="BV181" s="53"/>
      <c r="BW181" s="45"/>
      <c r="BX181" s="45"/>
      <c r="BY181" s="53"/>
      <c r="BZ181" s="53"/>
      <c r="CA181" s="53"/>
      <c r="CB181" s="53"/>
      <c r="CC181" s="53"/>
      <c r="CD181" s="53"/>
      <c r="CE181" s="53"/>
      <c r="CF181" s="35"/>
      <c r="CH181" s="35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4"/>
    </row>
    <row r="182" spans="1:99" s="55" customFormat="1" ht="12.75" customHeight="1" x14ac:dyDescent="0.2">
      <c r="A182" s="46" t="s">
        <v>210</v>
      </c>
      <c r="B182" s="90"/>
      <c r="C182" s="46" t="s">
        <v>211</v>
      </c>
      <c r="D182" s="46"/>
      <c r="E182" s="53">
        <f t="shared" si="63"/>
        <v>1363473</v>
      </c>
      <c r="F182" s="53"/>
      <c r="G182" s="53">
        <v>26104266</v>
      </c>
      <c r="H182" s="53"/>
      <c r="I182" s="53">
        <v>27467739</v>
      </c>
      <c r="J182" s="53"/>
      <c r="K182" s="53">
        <f t="shared" si="58"/>
        <v>622639</v>
      </c>
      <c r="L182" s="53"/>
      <c r="M182" s="53">
        <v>12842145</v>
      </c>
      <c r="N182" s="53"/>
      <c r="O182" s="53">
        <v>13464784</v>
      </c>
      <c r="P182" s="53"/>
      <c r="Q182" s="53">
        <v>12847426</v>
      </c>
      <c r="R182" s="53"/>
      <c r="S182" s="53">
        <v>0</v>
      </c>
      <c r="T182" s="53"/>
      <c r="U182" s="53">
        <v>1155529</v>
      </c>
      <c r="V182" s="53"/>
      <c r="W182" s="53">
        <f t="shared" si="59"/>
        <v>14002955</v>
      </c>
      <c r="X182" s="79"/>
      <c r="Y182" s="46" t="s">
        <v>210</v>
      </c>
      <c r="Z182" s="90"/>
      <c r="AA182" s="46" t="s">
        <v>211</v>
      </c>
      <c r="AB182" s="46"/>
      <c r="AC182" s="53">
        <v>2678559</v>
      </c>
      <c r="AD182" s="53"/>
      <c r="AE182" s="53">
        <f>1863364-287806</f>
        <v>1575558</v>
      </c>
      <c r="AF182" s="53"/>
      <c r="AG182" s="53">
        <v>287806</v>
      </c>
      <c r="AH182" s="53"/>
      <c r="AI182" s="45">
        <f t="shared" si="60"/>
        <v>815195</v>
      </c>
      <c r="AJ182" s="45"/>
      <c r="AK182" s="53">
        <v>-340632</v>
      </c>
      <c r="AL182" s="45"/>
      <c r="AM182" s="53">
        <v>51134</v>
      </c>
      <c r="AN182" s="53"/>
      <c r="AO182" s="53">
        <v>49947</v>
      </c>
      <c r="AP182" s="53"/>
      <c r="AQ182" s="53">
        <v>3148418</v>
      </c>
      <c r="AR182" s="53"/>
      <c r="AS182" s="45">
        <f t="shared" si="61"/>
        <v>3624168</v>
      </c>
      <c r="AT182" s="45"/>
      <c r="AU182" s="53">
        <v>0</v>
      </c>
      <c r="AV182" s="53"/>
      <c r="AW182" s="53">
        <v>0</v>
      </c>
      <c r="AX182" s="53"/>
      <c r="AY182" s="53">
        <f t="shared" si="62"/>
        <v>740834</v>
      </c>
      <c r="AZ182" s="53"/>
      <c r="BA182" s="46" t="s">
        <v>210</v>
      </c>
      <c r="BB182" s="90"/>
      <c r="BC182" s="46" t="s">
        <v>211</v>
      </c>
      <c r="BD182" s="79"/>
      <c r="BE182" s="53">
        <f>3270000+150000</f>
        <v>3420000</v>
      </c>
      <c r="BF182" s="53"/>
      <c r="BG182" s="53">
        <v>0</v>
      </c>
      <c r="BH182" s="53"/>
      <c r="BI182" s="53">
        <f>157858+9224182+13746+229666</f>
        <v>9625452</v>
      </c>
      <c r="BJ182" s="53"/>
      <c r="BK182" s="53">
        <f>40352+49880+171036+19069</f>
        <v>280337</v>
      </c>
      <c r="BL182" s="53"/>
      <c r="BM182" s="53">
        <f t="shared" si="51"/>
        <v>13325789</v>
      </c>
      <c r="BN182" s="54" t="s">
        <v>347</v>
      </c>
      <c r="BO182" s="35"/>
      <c r="BP182" s="35"/>
      <c r="BR182" s="51"/>
      <c r="BS182" s="53"/>
      <c r="BT182" s="53"/>
      <c r="BU182" s="53"/>
      <c r="BV182" s="53"/>
      <c r="BW182" s="45"/>
      <c r="BX182" s="45"/>
      <c r="BY182" s="53"/>
      <c r="BZ182" s="53"/>
      <c r="CA182" s="53"/>
      <c r="CB182" s="53"/>
      <c r="CC182" s="53"/>
      <c r="CD182" s="53"/>
      <c r="CE182" s="53"/>
      <c r="CF182" s="35"/>
      <c r="CH182" s="35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4"/>
      <c r="CT182" s="35"/>
      <c r="CU182" s="35"/>
    </row>
    <row r="183" spans="1:99" s="55" customFormat="1" ht="12.75" customHeight="1" x14ac:dyDescent="0.2">
      <c r="A183" s="44" t="s">
        <v>212</v>
      </c>
      <c r="B183" s="51"/>
      <c r="C183" s="44" t="s">
        <v>213</v>
      </c>
      <c r="D183" s="44"/>
      <c r="E183" s="53">
        <f t="shared" si="63"/>
        <v>1173305</v>
      </c>
      <c r="F183" s="53"/>
      <c r="G183" s="53">
        <v>9042136</v>
      </c>
      <c r="H183" s="53"/>
      <c r="I183" s="53">
        <v>10215441</v>
      </c>
      <c r="J183" s="53"/>
      <c r="K183" s="53">
        <f t="shared" si="58"/>
        <v>640942</v>
      </c>
      <c r="L183" s="53"/>
      <c r="M183" s="53">
        <v>3758615</v>
      </c>
      <c r="N183" s="53"/>
      <c r="O183" s="53">
        <v>4399557</v>
      </c>
      <c r="P183" s="53"/>
      <c r="Q183" s="53">
        <v>5875748</v>
      </c>
      <c r="R183" s="53"/>
      <c r="S183" s="53">
        <v>0</v>
      </c>
      <c r="T183" s="53"/>
      <c r="U183" s="53">
        <v>-59864</v>
      </c>
      <c r="V183" s="53"/>
      <c r="W183" s="53">
        <f t="shared" si="59"/>
        <v>5815884</v>
      </c>
      <c r="X183" s="53"/>
      <c r="Y183" s="44" t="s">
        <v>212</v>
      </c>
      <c r="AA183" s="44" t="s">
        <v>213</v>
      </c>
      <c r="AB183" s="44"/>
      <c r="AC183" s="53">
        <v>2943077</v>
      </c>
      <c r="AD183" s="53"/>
      <c r="AE183" s="53">
        <f>2710136-161877</f>
        <v>2548259</v>
      </c>
      <c r="AF183" s="53"/>
      <c r="AG183" s="53">
        <v>161877</v>
      </c>
      <c r="AH183" s="53"/>
      <c r="AI183" s="45">
        <f t="shared" si="60"/>
        <v>232941</v>
      </c>
      <c r="AJ183" s="45"/>
      <c r="AK183" s="53">
        <v>-131979</v>
      </c>
      <c r="AL183" s="45"/>
      <c r="AM183" s="53">
        <v>0</v>
      </c>
      <c r="AN183" s="53"/>
      <c r="AO183" s="53">
        <v>0</v>
      </c>
      <c r="AP183" s="53"/>
      <c r="AQ183" s="53">
        <v>669069</v>
      </c>
      <c r="AR183" s="53"/>
      <c r="AS183" s="45">
        <f t="shared" si="61"/>
        <v>770031</v>
      </c>
      <c r="AT183" s="45"/>
      <c r="AU183" s="53">
        <v>0</v>
      </c>
      <c r="AV183" s="53"/>
      <c r="AW183" s="53">
        <v>0</v>
      </c>
      <c r="AX183" s="53"/>
      <c r="AY183" s="53">
        <f t="shared" si="62"/>
        <v>532363</v>
      </c>
      <c r="AZ183" s="53"/>
      <c r="BA183" s="44" t="s">
        <v>212</v>
      </c>
      <c r="BC183" s="44" t="s">
        <v>213</v>
      </c>
      <c r="BD183" s="53"/>
      <c r="BE183" s="53">
        <v>0</v>
      </c>
      <c r="BF183" s="53"/>
      <c r="BG183" s="53">
        <v>0</v>
      </c>
      <c r="BH183" s="53"/>
      <c r="BI183" s="53">
        <f>1940599+865000+89811+65000</f>
        <v>2960410</v>
      </c>
      <c r="BJ183" s="53"/>
      <c r="BK183" s="53">
        <f>939319+13697+5384+201987</f>
        <v>1160387</v>
      </c>
      <c r="BL183" s="53"/>
      <c r="BM183" s="53">
        <f t="shared" si="51"/>
        <v>4120797</v>
      </c>
      <c r="BN183" s="54" t="s">
        <v>347</v>
      </c>
      <c r="BO183" s="55" t="s">
        <v>404</v>
      </c>
      <c r="BR183" s="51"/>
      <c r="BS183" s="53"/>
      <c r="BT183" s="53"/>
      <c r="BU183" s="53"/>
      <c r="BV183" s="53"/>
      <c r="BW183" s="53"/>
      <c r="BX183" s="45"/>
      <c r="BY183" s="45"/>
      <c r="BZ183" s="53"/>
      <c r="CA183" s="53"/>
      <c r="CB183" s="53"/>
      <c r="CC183" s="53"/>
      <c r="CD183" s="53"/>
      <c r="CE183" s="53"/>
      <c r="CF183" s="35"/>
      <c r="CH183" s="35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4"/>
    </row>
    <row r="184" spans="1:99" s="140" customFormat="1" ht="12.75" hidden="1" customHeight="1" x14ac:dyDescent="0.2">
      <c r="A184" s="121" t="s">
        <v>214</v>
      </c>
      <c r="B184" s="124"/>
      <c r="C184" s="121" t="s">
        <v>86</v>
      </c>
      <c r="D184" s="121"/>
      <c r="E184" s="53">
        <f t="shared" si="63"/>
        <v>0</v>
      </c>
      <c r="F184" s="53"/>
      <c r="G184" s="53"/>
      <c r="H184" s="53"/>
      <c r="I184" s="53"/>
      <c r="J184" s="53"/>
      <c r="K184" s="53">
        <f t="shared" si="58"/>
        <v>0</v>
      </c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>
        <f t="shared" si="59"/>
        <v>0</v>
      </c>
      <c r="X184" s="137"/>
      <c r="Y184" s="121" t="s">
        <v>214</v>
      </c>
      <c r="AA184" s="121" t="s">
        <v>86</v>
      </c>
      <c r="AB184" s="121"/>
      <c r="AC184" s="53"/>
      <c r="AD184" s="53"/>
      <c r="AE184" s="53"/>
      <c r="AF184" s="53"/>
      <c r="AG184" s="53"/>
      <c r="AH184" s="53"/>
      <c r="AI184" s="45">
        <f t="shared" si="60"/>
        <v>0</v>
      </c>
      <c r="AJ184" s="45"/>
      <c r="AK184" s="53"/>
      <c r="AL184" s="45"/>
      <c r="AM184" s="53"/>
      <c r="AN184" s="53"/>
      <c r="AO184" s="53"/>
      <c r="AP184" s="53"/>
      <c r="AQ184" s="53"/>
      <c r="AR184" s="53"/>
      <c r="AS184" s="45">
        <f t="shared" si="61"/>
        <v>0</v>
      </c>
      <c r="AT184" s="45"/>
      <c r="AU184" s="53">
        <v>0</v>
      </c>
      <c r="AV184" s="53"/>
      <c r="AW184" s="53">
        <v>0</v>
      </c>
      <c r="AX184" s="53"/>
      <c r="AY184" s="53">
        <f t="shared" si="62"/>
        <v>0</v>
      </c>
      <c r="AZ184" s="53"/>
      <c r="BA184" s="121" t="s">
        <v>214</v>
      </c>
      <c r="BC184" s="121" t="s">
        <v>86</v>
      </c>
      <c r="BD184" s="137"/>
      <c r="BE184" s="53"/>
      <c r="BF184" s="53"/>
      <c r="BG184" s="53"/>
      <c r="BH184" s="53"/>
      <c r="BI184" s="53"/>
      <c r="BJ184" s="53"/>
      <c r="BK184" s="53"/>
      <c r="BL184" s="137"/>
      <c r="BM184" s="137">
        <f t="shared" si="51"/>
        <v>0</v>
      </c>
      <c r="BN184" s="139" t="s">
        <v>347</v>
      </c>
      <c r="BO184" s="140" t="s">
        <v>404</v>
      </c>
      <c r="BR184" s="124"/>
      <c r="BS184" s="137"/>
      <c r="BT184" s="137"/>
      <c r="BU184" s="137"/>
      <c r="BV184" s="137"/>
      <c r="BW184" s="137"/>
      <c r="BX184" s="127"/>
      <c r="BY184" s="127"/>
      <c r="BZ184" s="137"/>
      <c r="CA184" s="137"/>
      <c r="CB184" s="137"/>
      <c r="CC184" s="137"/>
      <c r="CD184" s="137"/>
      <c r="CE184" s="137"/>
      <c r="CF184" s="126"/>
      <c r="CH184" s="126"/>
      <c r="CI184" s="137"/>
      <c r="CJ184" s="137"/>
      <c r="CK184" s="137"/>
      <c r="CL184" s="137"/>
      <c r="CM184" s="137"/>
      <c r="CN184" s="137"/>
      <c r="CO184" s="137"/>
      <c r="CP184" s="137"/>
      <c r="CQ184" s="137"/>
      <c r="CR184" s="137"/>
      <c r="CS184" s="139"/>
    </row>
    <row r="185" spans="1:99" s="55" customFormat="1" ht="12.75" customHeight="1" x14ac:dyDescent="0.2">
      <c r="A185" s="35" t="s">
        <v>215</v>
      </c>
      <c r="C185" s="35" t="s">
        <v>22</v>
      </c>
      <c r="D185" s="44"/>
      <c r="E185" s="53">
        <f t="shared" si="63"/>
        <v>6904665</v>
      </c>
      <c r="F185" s="53"/>
      <c r="G185" s="53">
        <v>13686690</v>
      </c>
      <c r="H185" s="53"/>
      <c r="I185" s="53">
        <v>20591355</v>
      </c>
      <c r="J185" s="53"/>
      <c r="K185" s="53">
        <f t="shared" si="58"/>
        <v>6012740</v>
      </c>
      <c r="L185" s="53"/>
      <c r="M185" s="53">
        <v>11128777</v>
      </c>
      <c r="N185" s="53"/>
      <c r="O185" s="53">
        <v>17141517</v>
      </c>
      <c r="P185" s="53"/>
      <c r="Q185" s="53">
        <v>1580542</v>
      </c>
      <c r="R185" s="53"/>
      <c r="S185" s="53">
        <v>0</v>
      </c>
      <c r="T185" s="53"/>
      <c r="U185" s="53">
        <v>1869296</v>
      </c>
      <c r="V185" s="53"/>
      <c r="W185" s="53">
        <f t="shared" si="59"/>
        <v>3449838</v>
      </c>
      <c r="X185" s="53"/>
      <c r="Y185" s="35" t="s">
        <v>215</v>
      </c>
      <c r="AA185" s="35" t="s">
        <v>22</v>
      </c>
      <c r="AB185" s="35"/>
      <c r="AC185" s="53">
        <v>2541592</v>
      </c>
      <c r="AD185" s="53"/>
      <c r="AE185" s="53">
        <f>2306336-433948</f>
        <v>1872388</v>
      </c>
      <c r="AF185" s="53"/>
      <c r="AG185" s="53">
        <v>433948</v>
      </c>
      <c r="AH185" s="53"/>
      <c r="AI185" s="45">
        <f t="shared" si="60"/>
        <v>235256</v>
      </c>
      <c r="AJ185" s="45"/>
      <c r="AK185" s="53">
        <v>463017</v>
      </c>
      <c r="AL185" s="45"/>
      <c r="AM185" s="53">
        <v>406029</v>
      </c>
      <c r="AN185" s="53"/>
      <c r="AO185" s="53">
        <v>0</v>
      </c>
      <c r="AP185" s="53"/>
      <c r="AQ185" s="53">
        <v>0</v>
      </c>
      <c r="AR185" s="53"/>
      <c r="AS185" s="45">
        <f t="shared" si="61"/>
        <v>1104302</v>
      </c>
      <c r="AT185" s="45"/>
      <c r="AU185" s="53">
        <v>0</v>
      </c>
      <c r="AV185" s="53"/>
      <c r="AW185" s="53">
        <v>0</v>
      </c>
      <c r="AX185" s="53"/>
      <c r="AY185" s="53">
        <f t="shared" si="62"/>
        <v>891925</v>
      </c>
      <c r="AZ185" s="53"/>
      <c r="BA185" s="35" t="s">
        <v>215</v>
      </c>
      <c r="BC185" s="35" t="s">
        <v>22</v>
      </c>
      <c r="BD185" s="53"/>
      <c r="BE185" s="53">
        <v>0</v>
      </c>
      <c r="BF185" s="53"/>
      <c r="BG185" s="53">
        <v>0</v>
      </c>
      <c r="BH185" s="53"/>
      <c r="BI185" s="53">
        <f>10991974+1102870</f>
        <v>12094844</v>
      </c>
      <c r="BJ185" s="53"/>
      <c r="BK185" s="53">
        <f>128760+8043+3261+34620</f>
        <v>174684</v>
      </c>
      <c r="BL185" s="53"/>
      <c r="BM185" s="53">
        <f t="shared" si="51"/>
        <v>12269528</v>
      </c>
      <c r="BN185" s="54" t="s">
        <v>347</v>
      </c>
      <c r="BR185" s="51"/>
      <c r="BS185" s="53"/>
      <c r="BT185" s="53"/>
      <c r="BU185" s="53"/>
      <c r="BV185" s="53"/>
      <c r="BW185" s="53"/>
      <c r="BX185" s="45"/>
      <c r="BY185" s="45"/>
      <c r="BZ185" s="53"/>
      <c r="CA185" s="53"/>
      <c r="CB185" s="53"/>
      <c r="CC185" s="53"/>
      <c r="CD185" s="53"/>
      <c r="CE185" s="53"/>
      <c r="CF185" s="35"/>
      <c r="CH185" s="35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4"/>
    </row>
    <row r="186" spans="1:99" s="140" customFormat="1" ht="12.75" hidden="1" customHeight="1" x14ac:dyDescent="0.2">
      <c r="A186" s="126" t="s">
        <v>216</v>
      </c>
      <c r="B186" s="124"/>
      <c r="C186" s="126" t="s">
        <v>45</v>
      </c>
      <c r="D186" s="121"/>
      <c r="E186" s="53">
        <f t="shared" si="63"/>
        <v>0</v>
      </c>
      <c r="F186" s="53"/>
      <c r="G186" s="53"/>
      <c r="H186" s="53"/>
      <c r="I186" s="53"/>
      <c r="J186" s="53"/>
      <c r="K186" s="53">
        <f t="shared" si="58"/>
        <v>0</v>
      </c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>
        <f t="shared" si="59"/>
        <v>0</v>
      </c>
      <c r="X186" s="137"/>
      <c r="Y186" s="126" t="s">
        <v>216</v>
      </c>
      <c r="AA186" s="126" t="s">
        <v>45</v>
      </c>
      <c r="AB186" s="126"/>
      <c r="AC186" s="53"/>
      <c r="AD186" s="53"/>
      <c r="AE186" s="53"/>
      <c r="AF186" s="53"/>
      <c r="AG186" s="53"/>
      <c r="AH186" s="53"/>
      <c r="AI186" s="45">
        <f t="shared" si="60"/>
        <v>0</v>
      </c>
      <c r="AJ186" s="45"/>
      <c r="AK186" s="53"/>
      <c r="AL186" s="45"/>
      <c r="AM186" s="53"/>
      <c r="AN186" s="53"/>
      <c r="AO186" s="53"/>
      <c r="AP186" s="53"/>
      <c r="AQ186" s="53"/>
      <c r="AR186" s="53"/>
      <c r="AS186" s="45">
        <f t="shared" si="61"/>
        <v>0</v>
      </c>
      <c r="AT186" s="45"/>
      <c r="AU186" s="53">
        <v>0</v>
      </c>
      <c r="AV186" s="53"/>
      <c r="AW186" s="53">
        <v>0</v>
      </c>
      <c r="AX186" s="53"/>
      <c r="AY186" s="53">
        <f t="shared" si="62"/>
        <v>0</v>
      </c>
      <c r="AZ186" s="53"/>
      <c r="BA186" s="126" t="s">
        <v>216</v>
      </c>
      <c r="BC186" s="126" t="s">
        <v>45</v>
      </c>
      <c r="BD186" s="137"/>
      <c r="BE186" s="53"/>
      <c r="BF186" s="53"/>
      <c r="BG186" s="53"/>
      <c r="BH186" s="53"/>
      <c r="BI186" s="53"/>
      <c r="BJ186" s="53"/>
      <c r="BK186" s="53"/>
      <c r="BL186" s="137"/>
      <c r="BM186" s="137">
        <f t="shared" si="51"/>
        <v>0</v>
      </c>
      <c r="BN186" s="139" t="s">
        <v>347</v>
      </c>
      <c r="BR186" s="124"/>
      <c r="BS186" s="137"/>
      <c r="BT186" s="137"/>
      <c r="BU186" s="137"/>
      <c r="BV186" s="137"/>
      <c r="BW186" s="137"/>
      <c r="BX186" s="127"/>
      <c r="BY186" s="127"/>
      <c r="BZ186" s="137"/>
      <c r="CA186" s="137"/>
      <c r="CB186" s="137"/>
      <c r="CC186" s="137"/>
      <c r="CD186" s="137"/>
      <c r="CE186" s="137"/>
      <c r="CF186" s="126"/>
      <c r="CH186" s="126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9"/>
    </row>
    <row r="187" spans="1:99" s="55" customFormat="1" ht="12.75" customHeight="1" x14ac:dyDescent="0.2">
      <c r="A187" s="35" t="s">
        <v>217</v>
      </c>
      <c r="B187" s="51"/>
      <c r="C187" s="35" t="s">
        <v>43</v>
      </c>
      <c r="D187" s="44"/>
      <c r="E187" s="53">
        <f t="shared" si="63"/>
        <v>3328734</v>
      </c>
      <c r="F187" s="53"/>
      <c r="G187" s="53">
        <v>33573385</v>
      </c>
      <c r="H187" s="53"/>
      <c r="I187" s="53">
        <v>36902119</v>
      </c>
      <c r="J187" s="53"/>
      <c r="K187" s="53">
        <f t="shared" si="58"/>
        <v>640237</v>
      </c>
      <c r="L187" s="53"/>
      <c r="M187" s="53">
        <v>1062854</v>
      </c>
      <c r="N187" s="53"/>
      <c r="O187" s="53">
        <v>1703091</v>
      </c>
      <c r="P187" s="53"/>
      <c r="Q187" s="53">
        <v>32347503</v>
      </c>
      <c r="R187" s="53"/>
      <c r="S187" s="53">
        <v>0</v>
      </c>
      <c r="T187" s="53"/>
      <c r="U187" s="53">
        <v>2851525</v>
      </c>
      <c r="V187" s="53"/>
      <c r="W187" s="53">
        <f t="shared" si="59"/>
        <v>35199028</v>
      </c>
      <c r="X187" s="53"/>
      <c r="Y187" s="35" t="s">
        <v>217</v>
      </c>
      <c r="AA187" s="35" t="s">
        <v>43</v>
      </c>
      <c r="AB187" s="35"/>
      <c r="AC187" s="53">
        <v>5045760</v>
      </c>
      <c r="AD187" s="53"/>
      <c r="AE187" s="53">
        <f>5495823-976517</f>
        <v>4519306</v>
      </c>
      <c r="AF187" s="53"/>
      <c r="AG187" s="53">
        <v>976517</v>
      </c>
      <c r="AH187" s="53"/>
      <c r="AI187" s="45">
        <f t="shared" si="60"/>
        <v>-450063</v>
      </c>
      <c r="AJ187" s="45"/>
      <c r="AK187" s="53">
        <v>-64181</v>
      </c>
      <c r="AL187" s="45"/>
      <c r="AM187" s="53">
        <v>0</v>
      </c>
      <c r="AN187" s="53"/>
      <c r="AO187" s="53">
        <v>0</v>
      </c>
      <c r="AP187" s="53"/>
      <c r="AQ187" s="53">
        <f>33485+283340</f>
        <v>316825</v>
      </c>
      <c r="AR187" s="53"/>
      <c r="AS187" s="45">
        <f t="shared" si="61"/>
        <v>-197419</v>
      </c>
      <c r="AT187" s="45"/>
      <c r="AU187" s="53">
        <v>0</v>
      </c>
      <c r="AV187" s="53"/>
      <c r="AW187" s="53">
        <v>0</v>
      </c>
      <c r="AX187" s="53"/>
      <c r="AY187" s="53">
        <f t="shared" si="62"/>
        <v>2688497</v>
      </c>
      <c r="AZ187" s="53"/>
      <c r="BA187" s="35" t="s">
        <v>217</v>
      </c>
      <c r="BC187" s="35" t="s">
        <v>43</v>
      </c>
      <c r="BD187" s="53"/>
      <c r="BE187" s="53">
        <f>568100+130685</f>
        <v>698785</v>
      </c>
      <c r="BF187" s="53"/>
      <c r="BG187" s="53">
        <v>0</v>
      </c>
      <c r="BH187" s="53"/>
      <c r="BI187" s="53">
        <f>478370+48727</f>
        <v>527097</v>
      </c>
      <c r="BJ187" s="53"/>
      <c r="BK187" s="53">
        <f>16384+10235</f>
        <v>26619</v>
      </c>
      <c r="BL187" s="53"/>
      <c r="BM187" s="53">
        <f t="shared" si="51"/>
        <v>1252501</v>
      </c>
      <c r="BN187" s="54" t="s">
        <v>347</v>
      </c>
      <c r="BR187" s="65"/>
      <c r="BS187" s="53"/>
      <c r="BT187" s="53"/>
      <c r="BU187" s="53"/>
      <c r="BV187" s="53"/>
      <c r="BW187" s="53"/>
      <c r="BX187" s="45"/>
      <c r="BY187" s="45"/>
      <c r="BZ187" s="53"/>
      <c r="CA187" s="53"/>
      <c r="CB187" s="53"/>
      <c r="CC187" s="53"/>
      <c r="CD187" s="53"/>
      <c r="CE187" s="53"/>
      <c r="CF187" s="35"/>
      <c r="CH187" s="35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4"/>
    </row>
    <row r="188" spans="1:99" s="140" customFormat="1" ht="12.75" hidden="1" customHeight="1" x14ac:dyDescent="0.2">
      <c r="A188" s="126" t="s">
        <v>218</v>
      </c>
      <c r="B188" s="124"/>
      <c r="C188" s="126" t="s">
        <v>27</v>
      </c>
      <c r="D188" s="121"/>
      <c r="E188" s="53">
        <f t="shared" si="63"/>
        <v>0</v>
      </c>
      <c r="F188" s="53"/>
      <c r="G188" s="53"/>
      <c r="H188" s="53"/>
      <c r="I188" s="53"/>
      <c r="J188" s="53"/>
      <c r="K188" s="53">
        <f t="shared" si="58"/>
        <v>0</v>
      </c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>
        <f t="shared" si="59"/>
        <v>0</v>
      </c>
      <c r="X188" s="137"/>
      <c r="Y188" s="126" t="s">
        <v>218</v>
      </c>
      <c r="AA188" s="126" t="s">
        <v>27</v>
      </c>
      <c r="AB188" s="126"/>
      <c r="AC188" s="53"/>
      <c r="AD188" s="53"/>
      <c r="AE188" s="53"/>
      <c r="AF188" s="53"/>
      <c r="AG188" s="53"/>
      <c r="AH188" s="53"/>
      <c r="AI188" s="45">
        <f t="shared" si="60"/>
        <v>0</v>
      </c>
      <c r="AJ188" s="45"/>
      <c r="AK188" s="53"/>
      <c r="AL188" s="45"/>
      <c r="AM188" s="53"/>
      <c r="AN188" s="53"/>
      <c r="AO188" s="53"/>
      <c r="AP188" s="53"/>
      <c r="AQ188" s="53"/>
      <c r="AR188" s="53"/>
      <c r="AS188" s="45">
        <f t="shared" si="61"/>
        <v>0</v>
      </c>
      <c r="AT188" s="45"/>
      <c r="AU188" s="53">
        <v>0</v>
      </c>
      <c r="AV188" s="53"/>
      <c r="AW188" s="53">
        <v>0</v>
      </c>
      <c r="AX188" s="53"/>
      <c r="AY188" s="53">
        <f t="shared" si="62"/>
        <v>0</v>
      </c>
      <c r="AZ188" s="53"/>
      <c r="BA188" s="126" t="s">
        <v>218</v>
      </c>
      <c r="BC188" s="126" t="s">
        <v>27</v>
      </c>
      <c r="BD188" s="137"/>
      <c r="BE188" s="53"/>
      <c r="BF188" s="53"/>
      <c r="BG188" s="53"/>
      <c r="BH188" s="53"/>
      <c r="BI188" s="53"/>
      <c r="BJ188" s="53"/>
      <c r="BK188" s="53"/>
      <c r="BL188" s="137"/>
      <c r="BM188" s="137">
        <f t="shared" si="51"/>
        <v>0</v>
      </c>
      <c r="BN188" s="139" t="s">
        <v>347</v>
      </c>
      <c r="BR188" s="124"/>
      <c r="BS188" s="137"/>
      <c r="BT188" s="137"/>
      <c r="BU188" s="137"/>
      <c r="BV188" s="137"/>
      <c r="BW188" s="137"/>
      <c r="BX188" s="127"/>
      <c r="BY188" s="127"/>
      <c r="BZ188" s="137"/>
      <c r="CA188" s="137"/>
      <c r="CB188" s="137"/>
      <c r="CC188" s="137"/>
      <c r="CD188" s="137"/>
      <c r="CE188" s="137"/>
      <c r="CF188" s="126"/>
      <c r="CH188" s="126"/>
      <c r="CI188" s="137"/>
      <c r="CJ188" s="137"/>
      <c r="CK188" s="137"/>
      <c r="CL188" s="137"/>
      <c r="CM188" s="137"/>
      <c r="CN188" s="137"/>
      <c r="CO188" s="137"/>
      <c r="CP188" s="137"/>
      <c r="CQ188" s="137"/>
      <c r="CR188" s="137"/>
      <c r="CS188" s="139"/>
    </row>
    <row r="189" spans="1:99" s="55" customFormat="1" ht="12.75" customHeight="1" x14ac:dyDescent="0.2">
      <c r="A189" s="35" t="s">
        <v>219</v>
      </c>
      <c r="B189" s="51"/>
      <c r="C189" s="35" t="s">
        <v>199</v>
      </c>
      <c r="D189" s="44"/>
      <c r="E189" s="53">
        <f t="shared" si="63"/>
        <v>1381566</v>
      </c>
      <c r="F189" s="53"/>
      <c r="G189" s="53">
        <v>6429662</v>
      </c>
      <c r="H189" s="53"/>
      <c r="I189" s="53">
        <v>7811228</v>
      </c>
      <c r="J189" s="53"/>
      <c r="K189" s="53">
        <f t="shared" si="58"/>
        <v>364418</v>
      </c>
      <c r="L189" s="53"/>
      <c r="M189" s="53">
        <v>1057823</v>
      </c>
      <c r="N189" s="53"/>
      <c r="O189" s="53">
        <v>1422241</v>
      </c>
      <c r="P189" s="53"/>
      <c r="Q189" s="53">
        <v>5108913</v>
      </c>
      <c r="R189" s="53"/>
      <c r="S189" s="53">
        <v>0</v>
      </c>
      <c r="T189" s="53"/>
      <c r="U189" s="53">
        <v>1280074</v>
      </c>
      <c r="V189" s="53"/>
      <c r="W189" s="53">
        <f t="shared" si="59"/>
        <v>6388987</v>
      </c>
      <c r="X189" s="53"/>
      <c r="Y189" s="35" t="s">
        <v>219</v>
      </c>
      <c r="AA189" s="35" t="s">
        <v>199</v>
      </c>
      <c r="AB189" s="35"/>
      <c r="AC189" s="53">
        <v>1292555</v>
      </c>
      <c r="AD189" s="53"/>
      <c r="AE189" s="53">
        <f>973932-235648</f>
        <v>738284</v>
      </c>
      <c r="AF189" s="53"/>
      <c r="AG189" s="53">
        <v>235648</v>
      </c>
      <c r="AH189" s="53"/>
      <c r="AI189" s="45">
        <f t="shared" si="60"/>
        <v>318623</v>
      </c>
      <c r="AJ189" s="45"/>
      <c r="AK189" s="53">
        <v>-80828</v>
      </c>
      <c r="AL189" s="45"/>
      <c r="AM189" s="53">
        <v>0</v>
      </c>
      <c r="AN189" s="53"/>
      <c r="AO189" s="53">
        <v>0</v>
      </c>
      <c r="AP189" s="53"/>
      <c r="AQ189" s="53">
        <v>19000</v>
      </c>
      <c r="AR189" s="53"/>
      <c r="AS189" s="45">
        <f t="shared" si="61"/>
        <v>256795</v>
      </c>
      <c r="AT189" s="45"/>
      <c r="AU189" s="53">
        <v>0</v>
      </c>
      <c r="AV189" s="53"/>
      <c r="AW189" s="53">
        <v>0</v>
      </c>
      <c r="AX189" s="53"/>
      <c r="AY189" s="53">
        <f t="shared" si="62"/>
        <v>1017148</v>
      </c>
      <c r="AZ189" s="53"/>
      <c r="BA189" s="35" t="s">
        <v>219</v>
      </c>
      <c r="BC189" s="35" t="s">
        <v>199</v>
      </c>
      <c r="BD189" s="53"/>
      <c r="BE189" s="53">
        <v>0</v>
      </c>
      <c r="BF189" s="53"/>
      <c r="BG189" s="53">
        <f>906100+25400</f>
        <v>931500</v>
      </c>
      <c r="BH189" s="53"/>
      <c r="BI189" s="53">
        <f>133002+256247</f>
        <v>389249</v>
      </c>
      <c r="BJ189" s="53"/>
      <c r="BK189" s="53">
        <f>18721+20431</f>
        <v>39152</v>
      </c>
      <c r="BL189" s="53"/>
      <c r="BM189" s="53">
        <f t="shared" si="51"/>
        <v>1359901</v>
      </c>
      <c r="BN189" s="54" t="s">
        <v>347</v>
      </c>
      <c r="BR189" s="51"/>
      <c r="BS189" s="53"/>
      <c r="BT189" s="53"/>
      <c r="BU189" s="53"/>
      <c r="BV189" s="53"/>
      <c r="BW189" s="53"/>
      <c r="BX189" s="45"/>
      <c r="BY189" s="45"/>
      <c r="BZ189" s="53"/>
      <c r="CA189" s="53"/>
      <c r="CB189" s="53"/>
      <c r="CC189" s="53"/>
      <c r="CD189" s="53"/>
      <c r="CE189" s="53"/>
      <c r="CF189" s="35"/>
      <c r="CH189" s="35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4"/>
    </row>
    <row r="190" spans="1:99" s="140" customFormat="1" ht="13.5" hidden="1" customHeight="1" x14ac:dyDescent="0.2">
      <c r="A190" s="126" t="s">
        <v>220</v>
      </c>
      <c r="B190" s="124"/>
      <c r="C190" s="126" t="s">
        <v>66</v>
      </c>
      <c r="D190" s="121"/>
      <c r="E190" s="53">
        <f t="shared" si="63"/>
        <v>0</v>
      </c>
      <c r="F190" s="53"/>
      <c r="G190" s="53"/>
      <c r="H190" s="53"/>
      <c r="I190" s="53"/>
      <c r="J190" s="53"/>
      <c r="K190" s="53">
        <f t="shared" si="58"/>
        <v>0</v>
      </c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>
        <f t="shared" si="59"/>
        <v>0</v>
      </c>
      <c r="X190" s="137"/>
      <c r="Y190" s="126" t="s">
        <v>220</v>
      </c>
      <c r="AA190" s="126" t="s">
        <v>66</v>
      </c>
      <c r="AB190" s="126"/>
      <c r="AC190" s="53"/>
      <c r="AD190" s="53"/>
      <c r="AE190" s="53"/>
      <c r="AF190" s="53"/>
      <c r="AG190" s="53"/>
      <c r="AH190" s="53"/>
      <c r="AI190" s="45">
        <f t="shared" si="60"/>
        <v>0</v>
      </c>
      <c r="AJ190" s="45"/>
      <c r="AK190" s="53"/>
      <c r="AL190" s="45"/>
      <c r="AM190" s="53"/>
      <c r="AN190" s="53"/>
      <c r="AO190" s="53"/>
      <c r="AP190" s="53"/>
      <c r="AQ190" s="53"/>
      <c r="AR190" s="53"/>
      <c r="AS190" s="45">
        <f t="shared" si="61"/>
        <v>0</v>
      </c>
      <c r="AT190" s="45"/>
      <c r="AU190" s="53">
        <v>0</v>
      </c>
      <c r="AV190" s="53"/>
      <c r="AW190" s="53">
        <v>0</v>
      </c>
      <c r="AX190" s="53"/>
      <c r="AY190" s="53">
        <f t="shared" si="62"/>
        <v>0</v>
      </c>
      <c r="AZ190" s="53"/>
      <c r="BA190" s="126" t="s">
        <v>220</v>
      </c>
      <c r="BC190" s="126" t="s">
        <v>66</v>
      </c>
      <c r="BD190" s="137"/>
      <c r="BE190" s="53"/>
      <c r="BF190" s="53"/>
      <c r="BG190" s="53"/>
      <c r="BH190" s="53"/>
      <c r="BI190" s="53"/>
      <c r="BJ190" s="53"/>
      <c r="BK190" s="53"/>
      <c r="BL190" s="137"/>
      <c r="BM190" s="137">
        <f t="shared" si="51"/>
        <v>0</v>
      </c>
      <c r="BN190" s="139" t="s">
        <v>347</v>
      </c>
      <c r="BR190" s="124"/>
      <c r="BS190" s="137"/>
      <c r="BT190" s="137"/>
      <c r="BU190" s="137"/>
      <c r="BV190" s="137"/>
      <c r="BW190" s="127"/>
      <c r="BX190" s="127"/>
      <c r="BY190" s="137"/>
      <c r="BZ190" s="137"/>
      <c r="CA190" s="137"/>
      <c r="CB190" s="137"/>
      <c r="CC190" s="137"/>
      <c r="CD190" s="137"/>
      <c r="CE190" s="137"/>
      <c r="CF190" s="126"/>
      <c r="CH190" s="126"/>
      <c r="CI190" s="137"/>
      <c r="CJ190" s="137"/>
      <c r="CK190" s="137"/>
      <c r="CL190" s="137"/>
      <c r="CM190" s="137"/>
      <c r="CN190" s="137"/>
      <c r="CO190" s="137"/>
      <c r="CP190" s="137"/>
      <c r="CQ190" s="137"/>
      <c r="CR190" s="137"/>
      <c r="CS190" s="139"/>
    </row>
    <row r="191" spans="1:99" s="55" customFormat="1" ht="12.75" customHeight="1" x14ac:dyDescent="0.2">
      <c r="A191" s="35" t="s">
        <v>221</v>
      </c>
      <c r="C191" s="35" t="s">
        <v>27</v>
      </c>
      <c r="D191" s="44"/>
      <c r="E191" s="53">
        <f t="shared" si="63"/>
        <v>941141</v>
      </c>
      <c r="F191" s="53"/>
      <c r="G191" s="53">
        <v>27741136</v>
      </c>
      <c r="H191" s="53"/>
      <c r="I191" s="53">
        <v>28682277</v>
      </c>
      <c r="J191" s="53"/>
      <c r="K191" s="53">
        <f t="shared" si="58"/>
        <v>247196</v>
      </c>
      <c r="L191" s="53"/>
      <c r="M191" s="53">
        <v>408755</v>
      </c>
      <c r="N191" s="53"/>
      <c r="O191" s="53">
        <v>655951</v>
      </c>
      <c r="P191" s="53"/>
      <c r="Q191" s="53">
        <v>21806517</v>
      </c>
      <c r="R191" s="53"/>
      <c r="S191" s="53">
        <v>0</v>
      </c>
      <c r="T191" s="53"/>
      <c r="U191" s="53">
        <v>6219809</v>
      </c>
      <c r="V191" s="53"/>
      <c r="W191" s="53">
        <f t="shared" si="59"/>
        <v>28026326</v>
      </c>
      <c r="X191" s="53"/>
      <c r="Y191" s="35" t="s">
        <v>221</v>
      </c>
      <c r="AA191" s="35" t="s">
        <v>27</v>
      </c>
      <c r="AB191" s="35"/>
      <c r="AC191" s="53">
        <v>1865441</v>
      </c>
      <c r="AD191" s="53"/>
      <c r="AE191" s="53">
        <f>1708420-314729</f>
        <v>1393691</v>
      </c>
      <c r="AF191" s="53"/>
      <c r="AG191" s="53">
        <v>314729</v>
      </c>
      <c r="AH191" s="53"/>
      <c r="AI191" s="45">
        <f t="shared" si="60"/>
        <v>157021</v>
      </c>
      <c r="AJ191" s="45"/>
      <c r="AK191" s="53">
        <v>-398032</v>
      </c>
      <c r="AL191" s="45"/>
      <c r="AM191" s="53">
        <v>0</v>
      </c>
      <c r="AN191" s="53"/>
      <c r="AO191" s="53">
        <v>0</v>
      </c>
      <c r="AP191" s="53"/>
      <c r="AQ191" s="53">
        <v>3158259</v>
      </c>
      <c r="AR191" s="53"/>
      <c r="AS191" s="45">
        <f t="shared" si="61"/>
        <v>2917248</v>
      </c>
      <c r="AT191" s="45"/>
      <c r="AU191" s="53">
        <v>0</v>
      </c>
      <c r="AV191" s="53"/>
      <c r="AW191" s="53">
        <v>0</v>
      </c>
      <c r="AX191" s="53"/>
      <c r="AY191" s="53">
        <f t="shared" si="62"/>
        <v>693945</v>
      </c>
      <c r="AZ191" s="53"/>
      <c r="BA191" s="35" t="s">
        <v>221</v>
      </c>
      <c r="BC191" s="35" t="s">
        <v>27</v>
      </c>
      <c r="BD191" s="53"/>
      <c r="BE191" s="53">
        <v>0</v>
      </c>
      <c r="BF191" s="53"/>
      <c r="BG191" s="53">
        <v>0</v>
      </c>
      <c r="BH191" s="53"/>
      <c r="BI191" s="53">
        <f>321703+18140</f>
        <v>339843</v>
      </c>
      <c r="BJ191" s="53"/>
      <c r="BK191" s="53">
        <f>87052+16684</f>
        <v>103736</v>
      </c>
      <c r="BL191" s="53"/>
      <c r="BM191" s="53">
        <f t="shared" si="51"/>
        <v>443579</v>
      </c>
      <c r="BN191" s="54" t="s">
        <v>347</v>
      </c>
      <c r="BR191" s="51"/>
      <c r="BS191" s="53"/>
      <c r="BT191" s="53"/>
      <c r="BU191" s="53"/>
      <c r="BV191" s="53"/>
      <c r="BW191" s="53"/>
      <c r="BX191" s="45"/>
      <c r="BY191" s="45"/>
      <c r="BZ191" s="53"/>
      <c r="CA191" s="53"/>
      <c r="CB191" s="53"/>
      <c r="CC191" s="53"/>
      <c r="CD191" s="53"/>
      <c r="CE191" s="53"/>
      <c r="CF191" s="35"/>
      <c r="CH191" s="35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4"/>
    </row>
    <row r="192" spans="1:99" s="55" customFormat="1" ht="12.75" customHeight="1" x14ac:dyDescent="0.2">
      <c r="A192" s="35" t="s">
        <v>222</v>
      </c>
      <c r="B192" s="51"/>
      <c r="C192" s="35" t="s">
        <v>47</v>
      </c>
      <c r="D192" s="44"/>
      <c r="E192" s="53">
        <f t="shared" si="63"/>
        <v>0</v>
      </c>
      <c r="F192" s="53"/>
      <c r="G192" s="53">
        <v>1115276</v>
      </c>
      <c r="H192" s="53"/>
      <c r="I192" s="53">
        <v>1115276</v>
      </c>
      <c r="J192" s="53"/>
      <c r="K192" s="53">
        <f t="shared" si="58"/>
        <v>60789</v>
      </c>
      <c r="L192" s="53"/>
      <c r="M192" s="53">
        <v>1103293</v>
      </c>
      <c r="N192" s="53"/>
      <c r="O192" s="53">
        <v>1164082</v>
      </c>
      <c r="P192" s="53"/>
      <c r="Q192" s="53">
        <v>-44133</v>
      </c>
      <c r="R192" s="53"/>
      <c r="S192" s="53">
        <v>0</v>
      </c>
      <c r="T192" s="53"/>
      <c r="U192" s="53">
        <v>-4673</v>
      </c>
      <c r="V192" s="53"/>
      <c r="W192" s="53">
        <f t="shared" si="59"/>
        <v>-48806</v>
      </c>
      <c r="X192" s="53"/>
      <c r="Y192" s="35" t="s">
        <v>222</v>
      </c>
      <c r="AA192" s="35" t="s">
        <v>47</v>
      </c>
      <c r="AB192" s="35"/>
      <c r="AC192" s="53">
        <v>141941</v>
      </c>
      <c r="AD192" s="53"/>
      <c r="AE192" s="53">
        <f>617228-81743</f>
        <v>535485</v>
      </c>
      <c r="AF192" s="53"/>
      <c r="AG192" s="53">
        <v>81743</v>
      </c>
      <c r="AH192" s="53"/>
      <c r="AI192" s="45">
        <f t="shared" si="60"/>
        <v>-475287</v>
      </c>
      <c r="AJ192" s="45"/>
      <c r="AK192" s="53">
        <v>-58560</v>
      </c>
      <c r="AL192" s="45"/>
      <c r="AM192" s="53">
        <v>-2473737</v>
      </c>
      <c r="AN192" s="53"/>
      <c r="AO192" s="53">
        <v>0</v>
      </c>
      <c r="AP192" s="53"/>
      <c r="AQ192" s="53">
        <v>0</v>
      </c>
      <c r="AR192" s="53"/>
      <c r="AS192" s="45">
        <f t="shared" si="61"/>
        <v>-3007584</v>
      </c>
      <c r="AT192" s="45"/>
      <c r="AU192" s="53">
        <v>0</v>
      </c>
      <c r="AV192" s="53"/>
      <c r="AW192" s="53">
        <v>0</v>
      </c>
      <c r="AX192" s="53"/>
      <c r="AY192" s="53">
        <f t="shared" si="62"/>
        <v>-60789</v>
      </c>
      <c r="AZ192" s="53"/>
      <c r="BA192" s="35" t="s">
        <v>222</v>
      </c>
      <c r="BC192" s="35" t="s">
        <v>47</v>
      </c>
      <c r="BD192" s="53"/>
      <c r="BE192" s="53">
        <f>1103293+56116</f>
        <v>1159409</v>
      </c>
      <c r="BF192" s="53"/>
      <c r="BG192" s="53">
        <v>0</v>
      </c>
      <c r="BH192" s="53"/>
      <c r="BI192" s="53">
        <v>0</v>
      </c>
      <c r="BJ192" s="53"/>
      <c r="BK192" s="53">
        <v>0</v>
      </c>
      <c r="BL192" s="53"/>
      <c r="BM192" s="53">
        <f t="shared" si="51"/>
        <v>1159409</v>
      </c>
      <c r="BN192" s="54" t="s">
        <v>347</v>
      </c>
      <c r="BR192" s="51"/>
      <c r="BS192" s="53"/>
      <c r="BT192" s="53"/>
      <c r="BU192" s="53"/>
      <c r="BV192" s="53"/>
      <c r="BW192" s="53"/>
      <c r="BX192" s="45"/>
      <c r="BY192" s="45"/>
      <c r="BZ192" s="53"/>
      <c r="CA192" s="53"/>
      <c r="CB192" s="53"/>
      <c r="CC192" s="53"/>
      <c r="CD192" s="53"/>
      <c r="CE192" s="53"/>
      <c r="CF192" s="35"/>
      <c r="CH192" s="35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4"/>
    </row>
    <row r="193" spans="1:108" s="55" customFormat="1" ht="12.75" customHeight="1" x14ac:dyDescent="0.2">
      <c r="A193" s="35" t="s">
        <v>223</v>
      </c>
      <c r="B193" s="51"/>
      <c r="C193" s="35" t="s">
        <v>94</v>
      </c>
      <c r="D193" s="44"/>
      <c r="E193" s="53">
        <f t="shared" si="63"/>
        <v>14424928</v>
      </c>
      <c r="F193" s="53"/>
      <c r="G193" s="53">
        <v>8428114</v>
      </c>
      <c r="H193" s="53"/>
      <c r="I193" s="53">
        <v>22853042</v>
      </c>
      <c r="J193" s="53"/>
      <c r="K193" s="53">
        <f t="shared" si="58"/>
        <v>140380</v>
      </c>
      <c r="L193" s="53"/>
      <c r="M193" s="53">
        <v>78201</v>
      </c>
      <c r="N193" s="53"/>
      <c r="O193" s="53">
        <v>218581</v>
      </c>
      <c r="P193" s="53"/>
      <c r="Q193" s="53">
        <v>8428114</v>
      </c>
      <c r="R193" s="53"/>
      <c r="S193" s="53">
        <v>0</v>
      </c>
      <c r="T193" s="53"/>
      <c r="U193" s="53">
        <v>14206347</v>
      </c>
      <c r="V193" s="53"/>
      <c r="W193" s="53">
        <f t="shared" si="59"/>
        <v>22634461</v>
      </c>
      <c r="X193" s="53"/>
      <c r="Y193" s="35" t="s">
        <v>223</v>
      </c>
      <c r="AA193" s="35" t="s">
        <v>94</v>
      </c>
      <c r="AB193" s="35"/>
      <c r="AC193" s="53">
        <v>2813495</v>
      </c>
      <c r="AD193" s="53"/>
      <c r="AE193" s="53">
        <f>2398074-371772</f>
        <v>2026302</v>
      </c>
      <c r="AF193" s="53"/>
      <c r="AG193" s="53">
        <v>371772</v>
      </c>
      <c r="AH193" s="53"/>
      <c r="AI193" s="45">
        <f t="shared" si="60"/>
        <v>415421</v>
      </c>
      <c r="AJ193" s="45"/>
      <c r="AK193" s="53">
        <v>16579</v>
      </c>
      <c r="AL193" s="45"/>
      <c r="AM193" s="53">
        <v>0</v>
      </c>
      <c r="AN193" s="53"/>
      <c r="AO193" s="53">
        <v>0</v>
      </c>
      <c r="AP193" s="53"/>
      <c r="AQ193" s="53">
        <v>0</v>
      </c>
      <c r="AR193" s="53"/>
      <c r="AS193" s="45">
        <f t="shared" si="61"/>
        <v>432000</v>
      </c>
      <c r="AT193" s="45"/>
      <c r="AU193" s="53">
        <v>0</v>
      </c>
      <c r="AV193" s="53"/>
      <c r="AW193" s="53">
        <v>0</v>
      </c>
      <c r="AX193" s="53"/>
      <c r="AY193" s="53">
        <f t="shared" si="62"/>
        <v>14284548</v>
      </c>
      <c r="AZ193" s="53"/>
      <c r="BA193" s="35" t="s">
        <v>223</v>
      </c>
      <c r="BC193" s="35" t="s">
        <v>94</v>
      </c>
      <c r="BD193" s="53"/>
      <c r="BE193" s="53">
        <v>0</v>
      </c>
      <c r="BF193" s="53"/>
      <c r="BG193" s="53">
        <v>0</v>
      </c>
      <c r="BH193" s="53"/>
      <c r="BI193" s="53">
        <v>0</v>
      </c>
      <c r="BJ193" s="53"/>
      <c r="BK193" s="53">
        <f>78201+5329</f>
        <v>83530</v>
      </c>
      <c r="BL193" s="53"/>
      <c r="BM193" s="53">
        <f t="shared" si="51"/>
        <v>83530</v>
      </c>
      <c r="BN193" s="54" t="s">
        <v>347</v>
      </c>
      <c r="BR193" s="51"/>
      <c r="BS193" s="53"/>
      <c r="BT193" s="53"/>
      <c r="BU193" s="53"/>
      <c r="BV193" s="53"/>
      <c r="BW193" s="53"/>
      <c r="BX193" s="45"/>
      <c r="BY193" s="45"/>
      <c r="BZ193" s="53"/>
      <c r="CA193" s="53"/>
      <c r="CB193" s="53"/>
      <c r="CC193" s="53"/>
      <c r="CD193" s="53"/>
      <c r="CE193" s="53"/>
      <c r="CF193" s="35"/>
      <c r="CH193" s="35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4"/>
    </row>
    <row r="194" spans="1:108" s="55" customFormat="1" ht="12.75" customHeight="1" x14ac:dyDescent="0.2">
      <c r="A194" s="35" t="s">
        <v>76</v>
      </c>
      <c r="B194" s="51"/>
      <c r="C194" s="35" t="s">
        <v>132</v>
      </c>
      <c r="D194" s="44"/>
      <c r="E194" s="53">
        <f t="shared" si="63"/>
        <v>10759589</v>
      </c>
      <c r="F194" s="53"/>
      <c r="G194" s="53">
        <v>59652139</v>
      </c>
      <c r="H194" s="53"/>
      <c r="I194" s="53">
        <v>70411728</v>
      </c>
      <c r="J194" s="53"/>
      <c r="K194" s="53">
        <f t="shared" si="58"/>
        <v>2948305</v>
      </c>
      <c r="L194" s="53"/>
      <c r="M194" s="53">
        <v>31614217</v>
      </c>
      <c r="N194" s="53"/>
      <c r="O194" s="53">
        <v>34562522</v>
      </c>
      <c r="P194" s="53"/>
      <c r="Q194" s="53">
        <v>27272710</v>
      </c>
      <c r="R194" s="53"/>
      <c r="S194" s="53">
        <v>0</v>
      </c>
      <c r="T194" s="53"/>
      <c r="U194" s="53">
        <v>8576496</v>
      </c>
      <c r="V194" s="53"/>
      <c r="W194" s="53">
        <f t="shared" si="59"/>
        <v>35849206</v>
      </c>
      <c r="X194" s="53"/>
      <c r="Y194" s="35" t="s">
        <v>76</v>
      </c>
      <c r="AA194" s="35" t="s">
        <v>132</v>
      </c>
      <c r="AB194" s="35"/>
      <c r="AC194" s="53">
        <v>6816622</v>
      </c>
      <c r="AD194" s="53"/>
      <c r="AE194" s="53">
        <f>6343763-1190340</f>
        <v>5153423</v>
      </c>
      <c r="AF194" s="53"/>
      <c r="AG194" s="53">
        <v>1190340</v>
      </c>
      <c r="AH194" s="53"/>
      <c r="AI194" s="45">
        <f t="shared" si="60"/>
        <v>472859</v>
      </c>
      <c r="AJ194" s="45"/>
      <c r="AK194" s="53">
        <v>-1996821</v>
      </c>
      <c r="AL194" s="45"/>
      <c r="AM194" s="53">
        <v>0</v>
      </c>
      <c r="AN194" s="53"/>
      <c r="AO194" s="53">
        <v>157066</v>
      </c>
      <c r="AP194" s="53"/>
      <c r="AQ194" s="53">
        <v>89959</v>
      </c>
      <c r="AR194" s="53"/>
      <c r="AS194" s="45">
        <f t="shared" si="61"/>
        <v>-1591069</v>
      </c>
      <c r="AT194" s="45"/>
      <c r="AU194" s="53">
        <v>0</v>
      </c>
      <c r="AV194" s="53"/>
      <c r="AW194" s="53">
        <v>0</v>
      </c>
      <c r="AX194" s="53"/>
      <c r="AY194" s="53">
        <f t="shared" si="62"/>
        <v>7811284</v>
      </c>
      <c r="AZ194" s="53"/>
      <c r="BA194" s="35" t="s">
        <v>76</v>
      </c>
      <c r="BC194" s="35" t="s">
        <v>132</v>
      </c>
      <c r="BD194" s="53"/>
      <c r="BE194" s="53">
        <f>1509994+99000</f>
        <v>1608994</v>
      </c>
      <c r="BF194" s="53"/>
      <c r="BG194" s="53">
        <v>0</v>
      </c>
      <c r="BH194" s="53"/>
      <c r="BI194" s="53">
        <f>29709563+84745+1060872+14914</f>
        <v>30870094</v>
      </c>
      <c r="BJ194" s="53"/>
      <c r="BK194" s="53">
        <f>309915+63609</f>
        <v>373524</v>
      </c>
      <c r="BL194" s="53"/>
      <c r="BM194" s="53">
        <f t="shared" si="51"/>
        <v>32852612</v>
      </c>
      <c r="BN194" s="54" t="s">
        <v>347</v>
      </c>
      <c r="BR194" s="51"/>
      <c r="BS194" s="53"/>
      <c r="BT194" s="53"/>
      <c r="BU194" s="53"/>
      <c r="BV194" s="53"/>
      <c r="BW194" s="53"/>
      <c r="BX194" s="45"/>
      <c r="BY194" s="45"/>
      <c r="BZ194" s="53"/>
      <c r="CA194" s="53"/>
      <c r="CB194" s="53"/>
      <c r="CC194" s="53"/>
      <c r="CD194" s="53"/>
      <c r="CE194" s="53"/>
      <c r="CF194" s="35"/>
      <c r="CH194" s="35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4"/>
    </row>
    <row r="195" spans="1:108" s="140" customFormat="1" ht="12.75" hidden="1" customHeight="1" x14ac:dyDescent="0.2">
      <c r="A195" s="126" t="s">
        <v>224</v>
      </c>
      <c r="C195" s="126" t="s">
        <v>27</v>
      </c>
      <c r="D195" s="121"/>
      <c r="E195" s="53">
        <f t="shared" si="63"/>
        <v>0</v>
      </c>
      <c r="F195" s="53"/>
      <c r="G195" s="53"/>
      <c r="H195" s="53"/>
      <c r="I195" s="53"/>
      <c r="J195" s="53"/>
      <c r="K195" s="53">
        <f t="shared" si="58"/>
        <v>0</v>
      </c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>
        <f t="shared" si="59"/>
        <v>0</v>
      </c>
      <c r="X195" s="137"/>
      <c r="Y195" s="126" t="s">
        <v>224</v>
      </c>
      <c r="AA195" s="126" t="s">
        <v>27</v>
      </c>
      <c r="AB195" s="126"/>
      <c r="AC195" s="53"/>
      <c r="AD195" s="53"/>
      <c r="AE195" s="53"/>
      <c r="AF195" s="53"/>
      <c r="AG195" s="53"/>
      <c r="AH195" s="53"/>
      <c r="AI195" s="45">
        <f t="shared" si="60"/>
        <v>0</v>
      </c>
      <c r="AJ195" s="45"/>
      <c r="AK195" s="53"/>
      <c r="AL195" s="45"/>
      <c r="AM195" s="53"/>
      <c r="AN195" s="53"/>
      <c r="AO195" s="53"/>
      <c r="AP195" s="53"/>
      <c r="AQ195" s="53"/>
      <c r="AR195" s="53"/>
      <c r="AS195" s="45">
        <f t="shared" si="61"/>
        <v>0</v>
      </c>
      <c r="AT195" s="45"/>
      <c r="AU195" s="53">
        <v>0</v>
      </c>
      <c r="AV195" s="53"/>
      <c r="AW195" s="53">
        <v>0</v>
      </c>
      <c r="AX195" s="53"/>
      <c r="AY195" s="53">
        <f t="shared" si="62"/>
        <v>0</v>
      </c>
      <c r="AZ195" s="53"/>
      <c r="BA195" s="126" t="s">
        <v>224</v>
      </c>
      <c r="BC195" s="126" t="s">
        <v>27</v>
      </c>
      <c r="BD195" s="137"/>
      <c r="BE195" s="53"/>
      <c r="BF195" s="53"/>
      <c r="BG195" s="53"/>
      <c r="BH195" s="53"/>
      <c r="BI195" s="53"/>
      <c r="BJ195" s="53"/>
      <c r="BK195" s="53"/>
      <c r="BL195" s="137"/>
      <c r="BM195" s="137">
        <f t="shared" si="51"/>
        <v>0</v>
      </c>
      <c r="BN195" s="139" t="s">
        <v>347</v>
      </c>
      <c r="BR195" s="124"/>
      <c r="BS195" s="137"/>
      <c r="BT195" s="137"/>
      <c r="BU195" s="137"/>
      <c r="BV195" s="137"/>
      <c r="BW195" s="137"/>
      <c r="BX195" s="127"/>
      <c r="BY195" s="127"/>
      <c r="BZ195" s="137"/>
      <c r="CA195" s="137"/>
      <c r="CB195" s="137"/>
      <c r="CC195" s="137"/>
      <c r="CD195" s="137"/>
      <c r="CE195" s="137"/>
      <c r="CF195" s="126"/>
      <c r="CH195" s="126"/>
      <c r="CI195" s="137"/>
      <c r="CJ195" s="137"/>
      <c r="CK195" s="137"/>
      <c r="CL195" s="137"/>
      <c r="CM195" s="137"/>
      <c r="CN195" s="137"/>
      <c r="CO195" s="137"/>
      <c r="CP195" s="137"/>
      <c r="CQ195" s="137"/>
      <c r="CR195" s="137"/>
      <c r="CS195" s="139"/>
    </row>
    <row r="196" spans="1:108" s="131" customFormat="1" ht="12.75" hidden="1" customHeight="1" x14ac:dyDescent="0.2">
      <c r="A196" s="126" t="s">
        <v>225</v>
      </c>
      <c r="B196" s="124"/>
      <c r="C196" s="126" t="s">
        <v>27</v>
      </c>
      <c r="D196" s="121"/>
      <c r="E196" s="53">
        <f t="shared" si="63"/>
        <v>0</v>
      </c>
      <c r="F196" s="53"/>
      <c r="G196" s="53"/>
      <c r="H196" s="53"/>
      <c r="I196" s="53"/>
      <c r="J196" s="53"/>
      <c r="K196" s="53">
        <f t="shared" si="58"/>
        <v>0</v>
      </c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>
        <f t="shared" si="59"/>
        <v>0</v>
      </c>
      <c r="X196" s="137"/>
      <c r="Y196" s="126" t="s">
        <v>225</v>
      </c>
      <c r="Z196" s="140"/>
      <c r="AA196" s="126" t="s">
        <v>27</v>
      </c>
      <c r="AB196" s="126"/>
      <c r="AC196" s="53"/>
      <c r="AD196" s="53"/>
      <c r="AE196" s="53"/>
      <c r="AF196" s="53"/>
      <c r="AG196" s="53"/>
      <c r="AH196" s="53"/>
      <c r="AI196" s="45">
        <f t="shared" si="60"/>
        <v>0</v>
      </c>
      <c r="AJ196" s="45"/>
      <c r="AK196" s="53"/>
      <c r="AL196" s="45"/>
      <c r="AM196" s="53"/>
      <c r="AN196" s="53"/>
      <c r="AO196" s="53"/>
      <c r="AP196" s="53"/>
      <c r="AQ196" s="53"/>
      <c r="AR196" s="53"/>
      <c r="AS196" s="45">
        <f t="shared" si="61"/>
        <v>0</v>
      </c>
      <c r="AT196" s="45"/>
      <c r="AU196" s="53">
        <v>0</v>
      </c>
      <c r="AV196" s="53"/>
      <c r="AW196" s="53">
        <v>0</v>
      </c>
      <c r="AX196" s="53"/>
      <c r="AY196" s="53">
        <f t="shared" si="62"/>
        <v>0</v>
      </c>
      <c r="AZ196" s="53"/>
      <c r="BA196" s="126" t="s">
        <v>225</v>
      </c>
      <c r="BB196" s="140"/>
      <c r="BC196" s="126" t="s">
        <v>27</v>
      </c>
      <c r="BD196" s="137"/>
      <c r="BE196" s="53"/>
      <c r="BF196" s="53"/>
      <c r="BG196" s="53"/>
      <c r="BH196" s="53"/>
      <c r="BI196" s="53"/>
      <c r="BJ196" s="53"/>
      <c r="BK196" s="53"/>
      <c r="BL196" s="137"/>
      <c r="BM196" s="137">
        <f t="shared" si="51"/>
        <v>0</v>
      </c>
      <c r="BN196" s="138" t="s">
        <v>347</v>
      </c>
      <c r="BR196" s="136"/>
      <c r="BS196" s="135"/>
      <c r="BT196" s="135"/>
      <c r="BU196" s="135"/>
      <c r="BV196" s="135"/>
      <c r="BW196" s="135"/>
      <c r="BX196" s="128"/>
      <c r="BY196" s="128"/>
      <c r="BZ196" s="135"/>
      <c r="CA196" s="135"/>
      <c r="CB196" s="135"/>
      <c r="CC196" s="135"/>
      <c r="CD196" s="135"/>
      <c r="CE196" s="135"/>
      <c r="CF196" s="123"/>
      <c r="CH196" s="123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8"/>
    </row>
    <row r="197" spans="1:108" s="131" customFormat="1" ht="12.75" hidden="1" customHeight="1" x14ac:dyDescent="0.2">
      <c r="A197" s="126" t="s">
        <v>226</v>
      </c>
      <c r="B197" s="124"/>
      <c r="C197" s="126" t="s">
        <v>45</v>
      </c>
      <c r="D197" s="121"/>
      <c r="E197" s="53">
        <f t="shared" si="63"/>
        <v>0</v>
      </c>
      <c r="F197" s="53"/>
      <c r="G197" s="53"/>
      <c r="H197" s="53"/>
      <c r="I197" s="53"/>
      <c r="J197" s="53"/>
      <c r="K197" s="53">
        <f t="shared" si="58"/>
        <v>0</v>
      </c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>
        <f t="shared" si="59"/>
        <v>0</v>
      </c>
      <c r="X197" s="137"/>
      <c r="Y197" s="126" t="s">
        <v>226</v>
      </c>
      <c r="Z197" s="140"/>
      <c r="AA197" s="126" t="s">
        <v>45</v>
      </c>
      <c r="AB197" s="126"/>
      <c r="AC197" s="53"/>
      <c r="AD197" s="53"/>
      <c r="AE197" s="53"/>
      <c r="AF197" s="53"/>
      <c r="AG197" s="53"/>
      <c r="AH197" s="53"/>
      <c r="AI197" s="45">
        <f t="shared" si="60"/>
        <v>0</v>
      </c>
      <c r="AJ197" s="45"/>
      <c r="AK197" s="53"/>
      <c r="AL197" s="45"/>
      <c r="AM197" s="53"/>
      <c r="AN197" s="53"/>
      <c r="AO197" s="53"/>
      <c r="AP197" s="53"/>
      <c r="AQ197" s="53"/>
      <c r="AR197" s="53"/>
      <c r="AS197" s="45">
        <f t="shared" si="61"/>
        <v>0</v>
      </c>
      <c r="AT197" s="45"/>
      <c r="AU197" s="53">
        <v>0</v>
      </c>
      <c r="AV197" s="53"/>
      <c r="AW197" s="53">
        <v>0</v>
      </c>
      <c r="AX197" s="53"/>
      <c r="AY197" s="53">
        <f t="shared" si="62"/>
        <v>0</v>
      </c>
      <c r="AZ197" s="53"/>
      <c r="BA197" s="126" t="s">
        <v>226</v>
      </c>
      <c r="BB197" s="140"/>
      <c r="BC197" s="126" t="s">
        <v>45</v>
      </c>
      <c r="BD197" s="137"/>
      <c r="BE197" s="53"/>
      <c r="BF197" s="53"/>
      <c r="BG197" s="53"/>
      <c r="BH197" s="53"/>
      <c r="BI197" s="53"/>
      <c r="BJ197" s="53"/>
      <c r="BK197" s="53"/>
      <c r="BL197" s="137"/>
      <c r="BM197" s="137">
        <f t="shared" si="51"/>
        <v>0</v>
      </c>
      <c r="BN197" s="138"/>
      <c r="BR197" s="136"/>
      <c r="BS197" s="135"/>
      <c r="BT197" s="135"/>
      <c r="BU197" s="135"/>
      <c r="BV197" s="135"/>
      <c r="BW197" s="135"/>
      <c r="BX197" s="128"/>
      <c r="BY197" s="128"/>
      <c r="BZ197" s="135"/>
      <c r="CA197" s="135"/>
      <c r="CB197" s="135"/>
      <c r="CC197" s="135"/>
      <c r="CD197" s="135"/>
      <c r="CE197" s="135"/>
      <c r="CF197" s="123"/>
      <c r="CH197" s="123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8"/>
    </row>
    <row r="198" spans="1:108" s="55" customFormat="1" ht="12.75" customHeight="1" x14ac:dyDescent="0.2">
      <c r="A198" s="35" t="s">
        <v>227</v>
      </c>
      <c r="C198" s="35" t="s">
        <v>17</v>
      </c>
      <c r="D198" s="44"/>
      <c r="E198" s="53">
        <f t="shared" si="63"/>
        <v>502469</v>
      </c>
      <c r="F198" s="53"/>
      <c r="G198" s="53">
        <v>590689</v>
      </c>
      <c r="H198" s="53"/>
      <c r="I198" s="53">
        <v>1093158</v>
      </c>
      <c r="J198" s="53"/>
      <c r="K198" s="53">
        <f t="shared" si="58"/>
        <v>28668</v>
      </c>
      <c r="L198" s="53"/>
      <c r="M198" s="53">
        <v>36576</v>
      </c>
      <c r="N198" s="53"/>
      <c r="O198" s="53">
        <v>65244</v>
      </c>
      <c r="P198" s="53"/>
      <c r="Q198" s="53">
        <v>590689</v>
      </c>
      <c r="R198" s="53"/>
      <c r="S198" s="53">
        <v>0</v>
      </c>
      <c r="T198" s="53"/>
      <c r="U198" s="53">
        <v>437225</v>
      </c>
      <c r="V198" s="53"/>
      <c r="W198" s="53">
        <f t="shared" si="59"/>
        <v>1027914</v>
      </c>
      <c r="X198" s="53"/>
      <c r="Y198" s="35" t="s">
        <v>227</v>
      </c>
      <c r="AA198" s="35" t="s">
        <v>17</v>
      </c>
      <c r="AB198" s="35"/>
      <c r="AC198" s="53">
        <v>902996</v>
      </c>
      <c r="AD198" s="53"/>
      <c r="AE198" s="53">
        <f>1004759-41401</f>
        <v>963358</v>
      </c>
      <c r="AF198" s="53"/>
      <c r="AG198" s="53">
        <v>41401</v>
      </c>
      <c r="AH198" s="53"/>
      <c r="AI198" s="45">
        <f t="shared" si="60"/>
        <v>-101763</v>
      </c>
      <c r="AJ198" s="45"/>
      <c r="AK198" s="53">
        <v>0</v>
      </c>
      <c r="AL198" s="45"/>
      <c r="AM198" s="53">
        <v>0</v>
      </c>
      <c r="AN198" s="53"/>
      <c r="AO198" s="53">
        <v>0</v>
      </c>
      <c r="AP198" s="53"/>
      <c r="AQ198" s="53">
        <v>0</v>
      </c>
      <c r="AR198" s="53"/>
      <c r="AS198" s="45">
        <f t="shared" si="61"/>
        <v>-101763</v>
      </c>
      <c r="AT198" s="45"/>
      <c r="AU198" s="53">
        <v>0</v>
      </c>
      <c r="AV198" s="53"/>
      <c r="AW198" s="53">
        <v>0</v>
      </c>
      <c r="AX198" s="53"/>
      <c r="AY198" s="53">
        <f t="shared" si="62"/>
        <v>473801</v>
      </c>
      <c r="AZ198" s="53"/>
      <c r="BA198" s="35" t="s">
        <v>227</v>
      </c>
      <c r="BC198" s="35" t="s">
        <v>17</v>
      </c>
      <c r="BD198" s="53"/>
      <c r="BE198" s="53">
        <v>0</v>
      </c>
      <c r="BF198" s="53"/>
      <c r="BG198" s="53">
        <v>0</v>
      </c>
      <c r="BH198" s="53"/>
      <c r="BI198" s="53">
        <v>0</v>
      </c>
      <c r="BJ198" s="53"/>
      <c r="BK198" s="53">
        <f>36576+836</f>
        <v>37412</v>
      </c>
      <c r="BL198" s="53"/>
      <c r="BM198" s="53">
        <f t="shared" si="51"/>
        <v>37412</v>
      </c>
      <c r="BN198" s="54" t="s">
        <v>347</v>
      </c>
      <c r="BR198" s="65"/>
      <c r="BS198" s="53"/>
      <c r="BT198" s="53"/>
      <c r="BU198" s="53"/>
      <c r="BV198" s="53"/>
      <c r="BW198" s="53"/>
      <c r="BX198" s="45"/>
      <c r="BY198" s="45"/>
      <c r="BZ198" s="53"/>
      <c r="CA198" s="53"/>
      <c r="CB198" s="53"/>
      <c r="CC198" s="53"/>
      <c r="CD198" s="53"/>
      <c r="CE198" s="53"/>
      <c r="CF198" s="35"/>
      <c r="CH198" s="35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4"/>
    </row>
    <row r="199" spans="1:108" s="55" customFormat="1" ht="12.75" customHeight="1" x14ac:dyDescent="0.2">
      <c r="A199" s="35" t="s">
        <v>228</v>
      </c>
      <c r="B199" s="51"/>
      <c r="C199" s="35" t="s">
        <v>153</v>
      </c>
      <c r="D199" s="44"/>
      <c r="E199" s="53">
        <f t="shared" si="63"/>
        <v>1081307</v>
      </c>
      <c r="F199" s="53"/>
      <c r="G199" s="53">
        <v>7362165</v>
      </c>
      <c r="H199" s="53"/>
      <c r="I199" s="53">
        <v>8443472</v>
      </c>
      <c r="J199" s="53"/>
      <c r="K199" s="53">
        <f t="shared" si="58"/>
        <v>288816</v>
      </c>
      <c r="L199" s="53"/>
      <c r="M199" s="53">
        <v>500958</v>
      </c>
      <c r="N199" s="53"/>
      <c r="O199" s="53">
        <v>789774</v>
      </c>
      <c r="P199" s="53"/>
      <c r="Q199" s="53">
        <v>6675202</v>
      </c>
      <c r="R199" s="53"/>
      <c r="S199" s="53">
        <v>0</v>
      </c>
      <c r="T199" s="53"/>
      <c r="U199" s="53">
        <v>978496</v>
      </c>
      <c r="V199" s="53"/>
      <c r="W199" s="53">
        <f t="shared" si="59"/>
        <v>7653698</v>
      </c>
      <c r="X199" s="53"/>
      <c r="Y199" s="35" t="s">
        <v>228</v>
      </c>
      <c r="AA199" s="35" t="s">
        <v>153</v>
      </c>
      <c r="AB199" s="35"/>
      <c r="AC199" s="53">
        <v>1526975</v>
      </c>
      <c r="AD199" s="53"/>
      <c r="AE199" s="53">
        <f>1463664-345923</f>
        <v>1117741</v>
      </c>
      <c r="AF199" s="53"/>
      <c r="AG199" s="53">
        <v>345923</v>
      </c>
      <c r="AH199" s="53"/>
      <c r="AI199" s="45">
        <f t="shared" si="60"/>
        <v>63311</v>
      </c>
      <c r="AJ199" s="45"/>
      <c r="AK199" s="53">
        <v>169500</v>
      </c>
      <c r="AL199" s="45"/>
      <c r="AM199" s="53">
        <v>0</v>
      </c>
      <c r="AN199" s="53"/>
      <c r="AO199" s="53">
        <v>0</v>
      </c>
      <c r="AP199" s="53"/>
      <c r="AQ199" s="53">
        <v>0</v>
      </c>
      <c r="AR199" s="53"/>
      <c r="AS199" s="45">
        <f t="shared" si="61"/>
        <v>232811</v>
      </c>
      <c r="AT199" s="45"/>
      <c r="AU199" s="53">
        <v>0</v>
      </c>
      <c r="AV199" s="53"/>
      <c r="AW199" s="53">
        <v>0</v>
      </c>
      <c r="AX199" s="53"/>
      <c r="AY199" s="53">
        <f t="shared" si="62"/>
        <v>792491</v>
      </c>
      <c r="AZ199" s="53"/>
      <c r="BA199" s="35" t="s">
        <v>228</v>
      </c>
      <c r="BC199" s="35" t="s">
        <v>153</v>
      </c>
      <c r="BD199" s="53"/>
      <c r="BE199" s="53">
        <f>472619+214344</f>
        <v>686963</v>
      </c>
      <c r="BF199" s="53"/>
      <c r="BG199" s="53">
        <v>0</v>
      </c>
      <c r="BH199" s="53"/>
      <c r="BI199" s="53">
        <v>0</v>
      </c>
      <c r="BJ199" s="53"/>
      <c r="BK199" s="53">
        <f>28339+11750</f>
        <v>40089</v>
      </c>
      <c r="BL199" s="53"/>
      <c r="BM199" s="53">
        <f t="shared" si="51"/>
        <v>727052</v>
      </c>
      <c r="BN199" s="54" t="s">
        <v>347</v>
      </c>
      <c r="BO199" s="55" t="s">
        <v>404</v>
      </c>
      <c r="BR199" s="51"/>
      <c r="BS199" s="53"/>
      <c r="BT199" s="53"/>
      <c r="BU199" s="53"/>
      <c r="BV199" s="53"/>
      <c r="BW199" s="53"/>
      <c r="BX199" s="45"/>
      <c r="BY199" s="45"/>
      <c r="BZ199" s="53"/>
      <c r="CA199" s="53"/>
      <c r="CB199" s="53"/>
      <c r="CC199" s="53"/>
      <c r="CD199" s="53"/>
      <c r="CE199" s="53"/>
      <c r="CF199" s="35"/>
      <c r="CH199" s="35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4"/>
    </row>
    <row r="200" spans="1:108" s="55" customFormat="1" ht="12.75" customHeight="1" x14ac:dyDescent="0.2">
      <c r="A200" s="35" t="s">
        <v>229</v>
      </c>
      <c r="B200" s="51"/>
      <c r="C200" s="35" t="s">
        <v>228</v>
      </c>
      <c r="D200" s="44"/>
      <c r="E200" s="53">
        <f t="shared" si="63"/>
        <v>1862330</v>
      </c>
      <c r="F200" s="53"/>
      <c r="G200" s="53">
        <v>19041084</v>
      </c>
      <c r="H200" s="53"/>
      <c r="I200" s="53">
        <v>20903414</v>
      </c>
      <c r="J200" s="53"/>
      <c r="K200" s="53">
        <f t="shared" si="58"/>
        <v>624684</v>
      </c>
      <c r="L200" s="53"/>
      <c r="M200" s="53">
        <v>5073373</v>
      </c>
      <c r="N200" s="53"/>
      <c r="O200" s="53">
        <v>5698057</v>
      </c>
      <c r="P200" s="53"/>
      <c r="Q200" s="53">
        <v>13560518</v>
      </c>
      <c r="R200" s="53"/>
      <c r="S200" s="53">
        <v>0</v>
      </c>
      <c r="T200" s="53"/>
      <c r="U200" s="53">
        <v>1644839</v>
      </c>
      <c r="V200" s="53"/>
      <c r="W200" s="53">
        <f t="shared" si="59"/>
        <v>15205357</v>
      </c>
      <c r="X200" s="53"/>
      <c r="Y200" s="35" t="s">
        <v>229</v>
      </c>
      <c r="AA200" s="35" t="s">
        <v>228</v>
      </c>
      <c r="AB200" s="35"/>
      <c r="AC200" s="53">
        <v>3251710</v>
      </c>
      <c r="AD200" s="53"/>
      <c r="AE200" s="53">
        <f>3488480-939571</f>
        <v>2548909</v>
      </c>
      <c r="AF200" s="53"/>
      <c r="AG200" s="53">
        <v>939571</v>
      </c>
      <c r="AH200" s="53"/>
      <c r="AI200" s="45">
        <f t="shared" si="60"/>
        <v>-236770</v>
      </c>
      <c r="AJ200" s="45"/>
      <c r="AK200" s="53">
        <v>-107096</v>
      </c>
      <c r="AL200" s="45"/>
      <c r="AM200" s="53">
        <v>9701</v>
      </c>
      <c r="AN200" s="53"/>
      <c r="AO200" s="53">
        <v>0</v>
      </c>
      <c r="AP200" s="53"/>
      <c r="AQ200" s="53">
        <v>8569</v>
      </c>
      <c r="AR200" s="53"/>
      <c r="AS200" s="45">
        <f t="shared" si="61"/>
        <v>-325596</v>
      </c>
      <c r="AT200" s="45"/>
      <c r="AU200" s="53">
        <v>0</v>
      </c>
      <c r="AV200" s="53"/>
      <c r="AW200" s="53">
        <v>0</v>
      </c>
      <c r="AX200" s="53"/>
      <c r="AY200" s="53">
        <f t="shared" si="62"/>
        <v>1237646</v>
      </c>
      <c r="AZ200" s="53"/>
      <c r="BA200" s="35" t="s">
        <v>229</v>
      </c>
      <c r="BC200" s="35" t="s">
        <v>228</v>
      </c>
      <c r="BD200" s="53"/>
      <c r="BE200" s="53">
        <f>4924699+460000</f>
        <v>5384699</v>
      </c>
      <c r="BF200" s="53"/>
      <c r="BG200" s="53">
        <v>0</v>
      </c>
      <c r="BH200" s="53"/>
      <c r="BI200" s="53">
        <v>0</v>
      </c>
      <c r="BJ200" s="53"/>
      <c r="BK200" s="53">
        <f>148674+9491</f>
        <v>158165</v>
      </c>
      <c r="BL200" s="53"/>
      <c r="BM200" s="53">
        <f t="shared" si="51"/>
        <v>5542864</v>
      </c>
      <c r="BN200" s="54" t="s">
        <v>347</v>
      </c>
      <c r="BO200" s="35" t="s">
        <v>404</v>
      </c>
      <c r="BP200" s="35"/>
      <c r="BQ200" s="35"/>
      <c r="BR200" s="51"/>
      <c r="BS200" s="53"/>
      <c r="BT200" s="53"/>
      <c r="BU200" s="53"/>
      <c r="BV200" s="53"/>
      <c r="BW200" s="53"/>
      <c r="BX200" s="45"/>
      <c r="BY200" s="45"/>
      <c r="BZ200" s="53"/>
      <c r="CA200" s="53"/>
      <c r="CB200" s="53"/>
      <c r="CC200" s="53"/>
      <c r="CD200" s="53"/>
      <c r="CE200" s="53"/>
      <c r="CF200" s="35"/>
      <c r="CH200" s="35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4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</row>
    <row r="201" spans="1:108" s="140" customFormat="1" ht="12.75" hidden="1" customHeight="1" x14ac:dyDescent="0.2">
      <c r="A201" s="126" t="s">
        <v>230</v>
      </c>
      <c r="B201" s="124"/>
      <c r="C201" s="126" t="s">
        <v>45</v>
      </c>
      <c r="D201" s="121"/>
      <c r="E201" s="137">
        <f t="shared" si="63"/>
        <v>0</v>
      </c>
      <c r="F201" s="137"/>
      <c r="G201" s="137"/>
      <c r="H201" s="137"/>
      <c r="I201" s="137"/>
      <c r="J201" s="137"/>
      <c r="K201" s="137">
        <f t="shared" si="58"/>
        <v>0</v>
      </c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>
        <f t="shared" si="59"/>
        <v>0</v>
      </c>
      <c r="X201" s="137"/>
      <c r="Y201" s="126" t="s">
        <v>230</v>
      </c>
      <c r="AA201" s="126" t="s">
        <v>45</v>
      </c>
      <c r="AB201" s="126"/>
      <c r="AC201" s="137"/>
      <c r="AD201" s="137"/>
      <c r="AE201" s="137"/>
      <c r="AF201" s="137"/>
      <c r="AG201" s="137"/>
      <c r="AH201" s="137"/>
      <c r="AI201" s="127">
        <f t="shared" si="60"/>
        <v>0</v>
      </c>
      <c r="AJ201" s="127"/>
      <c r="AK201" s="137"/>
      <c r="AL201" s="127"/>
      <c r="AM201" s="137"/>
      <c r="AN201" s="137"/>
      <c r="AO201" s="137"/>
      <c r="AP201" s="137"/>
      <c r="AQ201" s="137"/>
      <c r="AR201" s="137"/>
      <c r="AS201" s="127">
        <f t="shared" si="61"/>
        <v>0</v>
      </c>
      <c r="AT201" s="127"/>
      <c r="AU201" s="137">
        <v>0</v>
      </c>
      <c r="AV201" s="137"/>
      <c r="AW201" s="137">
        <v>0</v>
      </c>
      <c r="AX201" s="137"/>
      <c r="AY201" s="137">
        <f t="shared" si="62"/>
        <v>0</v>
      </c>
      <c r="AZ201" s="137"/>
      <c r="BA201" s="126" t="s">
        <v>230</v>
      </c>
      <c r="BC201" s="126" t="s">
        <v>45</v>
      </c>
      <c r="BD201" s="137"/>
      <c r="BE201" s="137"/>
      <c r="BF201" s="137"/>
      <c r="BG201" s="137"/>
      <c r="BH201" s="137"/>
      <c r="BI201" s="137"/>
      <c r="BJ201" s="137"/>
      <c r="BK201" s="137"/>
      <c r="BL201" s="137"/>
      <c r="BM201" s="137">
        <f t="shared" si="51"/>
        <v>0</v>
      </c>
      <c r="BN201" s="139" t="s">
        <v>347</v>
      </c>
      <c r="BR201" s="124"/>
      <c r="BS201" s="44" t="s">
        <v>509</v>
      </c>
      <c r="BT201" s="137"/>
      <c r="BU201" s="137"/>
      <c r="BV201" s="137"/>
      <c r="BW201" s="137"/>
      <c r="BX201" s="127"/>
      <c r="BY201" s="127"/>
      <c r="BZ201" s="137"/>
      <c r="CA201" s="137"/>
      <c r="CB201" s="137"/>
      <c r="CC201" s="137"/>
      <c r="CD201" s="137"/>
      <c r="CE201" s="137"/>
      <c r="CF201" s="126"/>
      <c r="CH201" s="126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9"/>
    </row>
    <row r="202" spans="1:108" s="55" customFormat="1" ht="12.75" hidden="1" customHeight="1" x14ac:dyDescent="0.2">
      <c r="A202" s="35" t="s">
        <v>231</v>
      </c>
      <c r="B202" s="51"/>
      <c r="C202" s="35" t="s">
        <v>27</v>
      </c>
      <c r="D202" s="44"/>
      <c r="E202" s="53">
        <f t="shared" si="63"/>
        <v>0</v>
      </c>
      <c r="F202" s="53"/>
      <c r="G202" s="53"/>
      <c r="H202" s="53"/>
      <c r="I202" s="53"/>
      <c r="J202" s="53"/>
      <c r="K202" s="53">
        <f t="shared" si="58"/>
        <v>0</v>
      </c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>
        <f t="shared" si="59"/>
        <v>0</v>
      </c>
      <c r="X202" s="53"/>
      <c r="Y202" s="35" t="s">
        <v>231</v>
      </c>
      <c r="AA202" s="35" t="s">
        <v>27</v>
      </c>
      <c r="AB202" s="35"/>
      <c r="AC202" s="53"/>
      <c r="AD202" s="53"/>
      <c r="AE202" s="53"/>
      <c r="AF202" s="53"/>
      <c r="AG202" s="53"/>
      <c r="AH202" s="53"/>
      <c r="AI202" s="45">
        <f t="shared" si="60"/>
        <v>0</v>
      </c>
      <c r="AJ202" s="45"/>
      <c r="AK202" s="53"/>
      <c r="AL202" s="45"/>
      <c r="AM202" s="53"/>
      <c r="AN202" s="53"/>
      <c r="AO202" s="53"/>
      <c r="AP202" s="53"/>
      <c r="AQ202" s="53"/>
      <c r="AR202" s="53"/>
      <c r="AS202" s="45">
        <f t="shared" si="61"/>
        <v>0</v>
      </c>
      <c r="AT202" s="45"/>
      <c r="AU202" s="53">
        <v>0</v>
      </c>
      <c r="AV202" s="53"/>
      <c r="AW202" s="53">
        <v>0</v>
      </c>
      <c r="AX202" s="53"/>
      <c r="AY202" s="53">
        <f t="shared" si="62"/>
        <v>0</v>
      </c>
      <c r="AZ202" s="53"/>
      <c r="BA202" s="35" t="s">
        <v>231</v>
      </c>
      <c r="BC202" s="35" t="s">
        <v>27</v>
      </c>
      <c r="BD202" s="53"/>
      <c r="BE202" s="53"/>
      <c r="BF202" s="53"/>
      <c r="BG202" s="53"/>
      <c r="BH202" s="53"/>
      <c r="BI202" s="53"/>
      <c r="BJ202" s="53"/>
      <c r="BK202" s="53"/>
      <c r="BL202" s="53"/>
      <c r="BM202" s="53">
        <f t="shared" si="51"/>
        <v>0</v>
      </c>
      <c r="BN202" s="54" t="s">
        <v>347</v>
      </c>
      <c r="BR202" s="51"/>
      <c r="BS202" s="53"/>
      <c r="BT202" s="53"/>
      <c r="BU202" s="53"/>
      <c r="BV202" s="53"/>
      <c r="BW202" s="45"/>
      <c r="BX202" s="45"/>
      <c r="BY202" s="53"/>
      <c r="BZ202" s="53"/>
      <c r="CA202" s="53"/>
      <c r="CB202" s="53"/>
      <c r="CC202" s="53"/>
      <c r="CD202" s="53"/>
      <c r="CE202" s="53"/>
      <c r="CF202" s="35"/>
      <c r="CH202" s="35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4"/>
    </row>
    <row r="203" spans="1:108" s="55" customFormat="1" ht="12.75" hidden="1" customHeight="1" x14ac:dyDescent="0.2">
      <c r="A203" s="35" t="s">
        <v>232</v>
      </c>
      <c r="B203" s="51"/>
      <c r="C203" s="35" t="s">
        <v>27</v>
      </c>
      <c r="D203" s="44"/>
      <c r="E203" s="53">
        <f t="shared" si="63"/>
        <v>0</v>
      </c>
      <c r="F203" s="53"/>
      <c r="G203" s="53"/>
      <c r="H203" s="53"/>
      <c r="I203" s="53"/>
      <c r="J203" s="53"/>
      <c r="K203" s="53">
        <f t="shared" si="58"/>
        <v>0</v>
      </c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>
        <f t="shared" si="59"/>
        <v>0</v>
      </c>
      <c r="X203" s="53"/>
      <c r="Y203" s="35" t="s">
        <v>232</v>
      </c>
      <c r="AA203" s="35" t="s">
        <v>27</v>
      </c>
      <c r="AB203" s="35"/>
      <c r="AC203" s="53"/>
      <c r="AD203" s="53"/>
      <c r="AE203" s="53"/>
      <c r="AF203" s="53"/>
      <c r="AG203" s="53"/>
      <c r="AH203" s="53"/>
      <c r="AI203" s="45">
        <f t="shared" si="60"/>
        <v>0</v>
      </c>
      <c r="AJ203" s="45"/>
      <c r="AK203" s="53"/>
      <c r="AL203" s="45"/>
      <c r="AM203" s="53"/>
      <c r="AN203" s="53"/>
      <c r="AO203" s="53"/>
      <c r="AP203" s="53"/>
      <c r="AQ203" s="53"/>
      <c r="AR203" s="53"/>
      <c r="AS203" s="45">
        <f t="shared" si="61"/>
        <v>0</v>
      </c>
      <c r="AT203" s="45"/>
      <c r="AU203" s="53">
        <v>0</v>
      </c>
      <c r="AV203" s="53"/>
      <c r="AW203" s="53">
        <v>0</v>
      </c>
      <c r="AX203" s="53"/>
      <c r="AY203" s="53">
        <f t="shared" si="62"/>
        <v>0</v>
      </c>
      <c r="AZ203" s="53"/>
      <c r="BA203" s="35" t="s">
        <v>232</v>
      </c>
      <c r="BC203" s="35" t="s">
        <v>27</v>
      </c>
      <c r="BD203" s="53"/>
      <c r="BE203" s="53"/>
      <c r="BF203" s="53"/>
      <c r="BG203" s="53"/>
      <c r="BH203" s="53"/>
      <c r="BI203" s="53"/>
      <c r="BJ203" s="53"/>
      <c r="BK203" s="53"/>
      <c r="BL203" s="53"/>
      <c r="BM203" s="53">
        <f t="shared" si="51"/>
        <v>0</v>
      </c>
      <c r="BN203" s="54" t="s">
        <v>347</v>
      </c>
      <c r="BR203" s="51"/>
      <c r="BS203" s="53"/>
      <c r="BT203" s="53"/>
      <c r="BU203" s="53"/>
      <c r="BV203" s="53"/>
      <c r="BW203" s="53"/>
      <c r="BX203" s="45"/>
      <c r="BY203" s="45"/>
      <c r="BZ203" s="53"/>
      <c r="CA203" s="53"/>
      <c r="CB203" s="53"/>
      <c r="CC203" s="53"/>
      <c r="CD203" s="53"/>
      <c r="CE203" s="53"/>
      <c r="CF203" s="35"/>
      <c r="CH203" s="35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4"/>
    </row>
    <row r="204" spans="1:108" s="55" customFormat="1" ht="12.75" customHeight="1" x14ac:dyDescent="0.2">
      <c r="A204" s="35" t="s">
        <v>233</v>
      </c>
      <c r="B204" s="51"/>
      <c r="C204" s="35" t="s">
        <v>111</v>
      </c>
      <c r="D204" s="44"/>
      <c r="E204" s="53">
        <f t="shared" si="63"/>
        <v>3696107</v>
      </c>
      <c r="F204" s="53"/>
      <c r="G204" s="53">
        <v>36100461</v>
      </c>
      <c r="H204" s="53"/>
      <c r="I204" s="53">
        <v>39796568</v>
      </c>
      <c r="J204" s="53"/>
      <c r="K204" s="53">
        <f t="shared" si="58"/>
        <v>984178</v>
      </c>
      <c r="L204" s="53"/>
      <c r="M204" s="53">
        <v>16531471</v>
      </c>
      <c r="N204" s="53"/>
      <c r="O204" s="53">
        <v>17515649</v>
      </c>
      <c r="P204" s="53"/>
      <c r="Q204" s="53">
        <v>16699353</v>
      </c>
      <c r="R204" s="53"/>
      <c r="S204" s="53">
        <v>2033497</v>
      </c>
      <c r="T204" s="53"/>
      <c r="U204" s="53">
        <v>3548069</v>
      </c>
      <c r="V204" s="53"/>
      <c r="W204" s="53">
        <f t="shared" si="59"/>
        <v>22280919</v>
      </c>
      <c r="X204" s="53"/>
      <c r="Y204" s="35" t="s">
        <v>233</v>
      </c>
      <c r="AA204" s="35" t="s">
        <v>111</v>
      </c>
      <c r="AB204" s="35"/>
      <c r="AC204" s="53">
        <v>3184400</v>
      </c>
      <c r="AD204" s="53"/>
      <c r="AE204" s="53">
        <f>2386778-637485</f>
        <v>1749293</v>
      </c>
      <c r="AF204" s="53"/>
      <c r="AG204" s="53">
        <v>637485</v>
      </c>
      <c r="AH204" s="53"/>
      <c r="AI204" s="45">
        <f t="shared" si="60"/>
        <v>797622</v>
      </c>
      <c r="AJ204" s="45"/>
      <c r="AK204" s="53">
        <v>-879435</v>
      </c>
      <c r="AL204" s="45"/>
      <c r="AM204" s="53">
        <v>500000</v>
      </c>
      <c r="AN204" s="53"/>
      <c r="AO204" s="53">
        <v>0</v>
      </c>
      <c r="AP204" s="53"/>
      <c r="AQ204" s="53">
        <v>226123</v>
      </c>
      <c r="AR204" s="53"/>
      <c r="AS204" s="45">
        <f t="shared" si="61"/>
        <v>644310</v>
      </c>
      <c r="AT204" s="45"/>
      <c r="AU204" s="53">
        <v>0</v>
      </c>
      <c r="AV204" s="53"/>
      <c r="AW204" s="53">
        <v>0</v>
      </c>
      <c r="AX204" s="53"/>
      <c r="AY204" s="53">
        <f t="shared" si="62"/>
        <v>2711929</v>
      </c>
      <c r="AZ204" s="53"/>
      <c r="BA204" s="35" t="s">
        <v>233</v>
      </c>
      <c r="BC204" s="35" t="s">
        <v>111</v>
      </c>
      <c r="BD204" s="53"/>
      <c r="BE204" s="53">
        <v>0</v>
      </c>
      <c r="BF204" s="53"/>
      <c r="BG204" s="53">
        <f>16502163+865448</f>
        <v>17367611</v>
      </c>
      <c r="BH204" s="53"/>
      <c r="BI204" s="53">
        <v>0</v>
      </c>
      <c r="BJ204" s="53"/>
      <c r="BK204" s="53">
        <f>29308+4982</f>
        <v>34290</v>
      </c>
      <c r="BL204" s="53"/>
      <c r="BM204" s="53">
        <f t="shared" si="51"/>
        <v>17401901</v>
      </c>
      <c r="BN204" s="54" t="s">
        <v>347</v>
      </c>
      <c r="BR204" s="51"/>
      <c r="BS204" s="53"/>
      <c r="BT204" s="53"/>
      <c r="BU204" s="53"/>
      <c r="BV204" s="53"/>
      <c r="BW204" s="53"/>
      <c r="BX204" s="45"/>
      <c r="BY204" s="45"/>
      <c r="BZ204" s="53"/>
      <c r="CA204" s="53"/>
      <c r="CB204" s="53"/>
      <c r="CC204" s="53"/>
      <c r="CD204" s="53"/>
      <c r="CE204" s="53"/>
      <c r="CF204" s="35"/>
      <c r="CH204" s="35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4"/>
    </row>
    <row r="205" spans="1:108" s="140" customFormat="1" ht="12.75" hidden="1" customHeight="1" x14ac:dyDescent="0.2">
      <c r="A205" s="126" t="s">
        <v>234</v>
      </c>
      <c r="B205" s="124"/>
      <c r="C205" s="126" t="s">
        <v>45</v>
      </c>
      <c r="D205" s="121"/>
      <c r="E205" s="53">
        <f t="shared" si="63"/>
        <v>0</v>
      </c>
      <c r="F205" s="53"/>
      <c r="G205" s="53"/>
      <c r="H205" s="53"/>
      <c r="I205" s="53"/>
      <c r="J205" s="53"/>
      <c r="K205" s="53">
        <f t="shared" si="58"/>
        <v>0</v>
      </c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>
        <f t="shared" si="59"/>
        <v>0</v>
      </c>
      <c r="X205" s="137"/>
      <c r="Y205" s="126" t="s">
        <v>234</v>
      </c>
      <c r="AA205" s="126" t="s">
        <v>45</v>
      </c>
      <c r="AB205" s="126"/>
      <c r="AC205" s="53"/>
      <c r="AD205" s="53"/>
      <c r="AE205" s="53"/>
      <c r="AF205" s="53"/>
      <c r="AG205" s="53"/>
      <c r="AH205" s="53"/>
      <c r="AI205" s="45">
        <f t="shared" si="60"/>
        <v>0</v>
      </c>
      <c r="AJ205" s="45"/>
      <c r="AK205" s="53"/>
      <c r="AL205" s="45"/>
      <c r="AM205" s="53"/>
      <c r="AN205" s="53"/>
      <c r="AO205" s="53"/>
      <c r="AP205" s="53"/>
      <c r="AQ205" s="53"/>
      <c r="AR205" s="53"/>
      <c r="AS205" s="45">
        <f t="shared" si="61"/>
        <v>0</v>
      </c>
      <c r="AT205" s="45"/>
      <c r="AU205" s="53">
        <v>0</v>
      </c>
      <c r="AV205" s="53"/>
      <c r="AW205" s="53">
        <v>0</v>
      </c>
      <c r="AX205" s="53"/>
      <c r="AY205" s="53">
        <f t="shared" si="62"/>
        <v>0</v>
      </c>
      <c r="AZ205" s="53"/>
      <c r="BA205" s="126" t="s">
        <v>234</v>
      </c>
      <c r="BC205" s="126" t="s">
        <v>45</v>
      </c>
      <c r="BD205" s="137"/>
      <c r="BE205" s="53"/>
      <c r="BF205" s="53"/>
      <c r="BG205" s="53"/>
      <c r="BH205" s="53"/>
      <c r="BI205" s="53"/>
      <c r="BJ205" s="53"/>
      <c r="BK205" s="53"/>
      <c r="BL205" s="137"/>
      <c r="BM205" s="137">
        <f t="shared" si="51"/>
        <v>0</v>
      </c>
      <c r="BN205" s="139" t="s">
        <v>347</v>
      </c>
      <c r="BR205" s="124"/>
      <c r="BS205" s="137"/>
      <c r="BT205" s="137"/>
      <c r="BU205" s="137"/>
      <c r="BV205" s="137"/>
      <c r="BW205" s="127"/>
      <c r="BX205" s="127"/>
      <c r="BY205" s="137"/>
      <c r="BZ205" s="137"/>
      <c r="CA205" s="137"/>
      <c r="CB205" s="137"/>
      <c r="CC205" s="137"/>
      <c r="CD205" s="137"/>
      <c r="CE205" s="137"/>
      <c r="CF205" s="126"/>
      <c r="CH205" s="126"/>
      <c r="CI205" s="137"/>
      <c r="CJ205" s="137"/>
      <c r="CK205" s="137"/>
      <c r="CL205" s="137"/>
      <c r="CM205" s="137"/>
      <c r="CN205" s="137"/>
      <c r="CO205" s="137"/>
      <c r="CP205" s="137"/>
      <c r="CQ205" s="137"/>
      <c r="CR205" s="137"/>
      <c r="CS205" s="139"/>
    </row>
    <row r="206" spans="1:108" s="55" customFormat="1" ht="12.75" customHeight="1" x14ac:dyDescent="0.2">
      <c r="A206" s="35" t="s">
        <v>235</v>
      </c>
      <c r="B206" s="51"/>
      <c r="C206" s="35" t="s">
        <v>183</v>
      </c>
      <c r="D206" s="44"/>
      <c r="E206" s="53">
        <f t="shared" si="63"/>
        <v>18713095</v>
      </c>
      <c r="F206" s="53"/>
      <c r="G206" s="53">
        <v>44580628</v>
      </c>
      <c r="H206" s="53"/>
      <c r="I206" s="53">
        <v>63293723</v>
      </c>
      <c r="J206" s="53"/>
      <c r="K206" s="53">
        <f t="shared" si="58"/>
        <v>2572222</v>
      </c>
      <c r="L206" s="53"/>
      <c r="M206" s="53">
        <v>19777917</v>
      </c>
      <c r="N206" s="53"/>
      <c r="O206" s="53">
        <v>22350139</v>
      </c>
      <c r="P206" s="53"/>
      <c r="Q206" s="53">
        <v>28839958</v>
      </c>
      <c r="R206" s="53"/>
      <c r="S206" s="53">
        <v>0</v>
      </c>
      <c r="T206" s="53"/>
      <c r="U206" s="53">
        <v>12103626</v>
      </c>
      <c r="V206" s="53"/>
      <c r="W206" s="53">
        <f t="shared" si="59"/>
        <v>40943584</v>
      </c>
      <c r="X206" s="53"/>
      <c r="Y206" s="35" t="s">
        <v>235</v>
      </c>
      <c r="AA206" s="35" t="s">
        <v>183</v>
      </c>
      <c r="AB206" s="35"/>
      <c r="AC206" s="53">
        <v>10444063</v>
      </c>
      <c r="AD206" s="53"/>
      <c r="AE206" s="53">
        <f>9336994-2983512</f>
        <v>6353482</v>
      </c>
      <c r="AF206" s="53"/>
      <c r="AG206" s="53">
        <v>2983512</v>
      </c>
      <c r="AH206" s="53"/>
      <c r="AI206" s="45">
        <f t="shared" si="60"/>
        <v>1107069</v>
      </c>
      <c r="AJ206" s="45"/>
      <c r="AK206" s="53">
        <v>-659358</v>
      </c>
      <c r="AL206" s="45"/>
      <c r="AM206" s="53">
        <v>0</v>
      </c>
      <c r="AN206" s="53"/>
      <c r="AO206" s="53">
        <v>0</v>
      </c>
      <c r="AP206" s="53"/>
      <c r="AQ206" s="53">
        <v>630055</v>
      </c>
      <c r="AR206" s="53"/>
      <c r="AS206" s="45">
        <f t="shared" ref="AS206:AS239" si="64">+AI206+AK206+AM206-AO206+AQ206</f>
        <v>1077766</v>
      </c>
      <c r="AT206" s="45"/>
      <c r="AU206" s="53">
        <v>0</v>
      </c>
      <c r="AV206" s="53"/>
      <c r="AW206" s="53">
        <v>0</v>
      </c>
      <c r="AX206" s="53"/>
      <c r="AY206" s="53">
        <f t="shared" si="62"/>
        <v>16140873</v>
      </c>
      <c r="AZ206" s="53"/>
      <c r="BA206" s="35" t="s">
        <v>235</v>
      </c>
      <c r="BC206" s="35" t="s">
        <v>183</v>
      </c>
      <c r="BD206" s="53"/>
      <c r="BE206" s="53">
        <f>19504134+1531978</f>
        <v>21036112</v>
      </c>
      <c r="BF206" s="53"/>
      <c r="BG206" s="53">
        <v>0</v>
      </c>
      <c r="BH206" s="53"/>
      <c r="BI206" s="53">
        <v>0</v>
      </c>
      <c r="BJ206" s="53"/>
      <c r="BK206" s="53">
        <f>273783+35000</f>
        <v>308783</v>
      </c>
      <c r="BL206" s="53"/>
      <c r="BM206" s="53">
        <f t="shared" si="51"/>
        <v>21344895</v>
      </c>
      <c r="BN206" s="54" t="s">
        <v>347</v>
      </c>
      <c r="BO206" s="55" t="s">
        <v>404</v>
      </c>
      <c r="BR206" s="51"/>
      <c r="BS206" s="53"/>
      <c r="BT206" s="53"/>
      <c r="BU206" s="53"/>
      <c r="BV206" s="53"/>
      <c r="BW206" s="53"/>
      <c r="BX206" s="45"/>
      <c r="BY206" s="45"/>
      <c r="BZ206" s="53"/>
      <c r="CA206" s="53"/>
      <c r="CB206" s="53"/>
      <c r="CC206" s="53"/>
      <c r="CD206" s="53"/>
      <c r="CE206" s="53"/>
      <c r="CF206" s="35"/>
      <c r="CH206" s="35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4"/>
    </row>
    <row r="207" spans="1:108" s="140" customFormat="1" ht="12.75" hidden="1" customHeight="1" x14ac:dyDescent="0.2">
      <c r="A207" s="126" t="s">
        <v>236</v>
      </c>
      <c r="B207" s="124"/>
      <c r="C207" s="126" t="s">
        <v>45</v>
      </c>
      <c r="D207" s="121"/>
      <c r="E207" s="53">
        <f t="shared" si="63"/>
        <v>0</v>
      </c>
      <c r="F207" s="53"/>
      <c r="G207" s="53"/>
      <c r="H207" s="53"/>
      <c r="I207" s="53"/>
      <c r="J207" s="53"/>
      <c r="K207" s="53">
        <f t="shared" si="58"/>
        <v>0</v>
      </c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>
        <f t="shared" si="59"/>
        <v>0</v>
      </c>
      <c r="X207" s="137"/>
      <c r="Y207" s="126" t="s">
        <v>236</v>
      </c>
      <c r="AA207" s="126" t="s">
        <v>45</v>
      </c>
      <c r="AB207" s="126"/>
      <c r="AC207" s="53"/>
      <c r="AD207" s="53"/>
      <c r="AE207" s="53"/>
      <c r="AF207" s="53"/>
      <c r="AG207" s="53"/>
      <c r="AH207" s="53"/>
      <c r="AI207" s="45">
        <f t="shared" si="60"/>
        <v>0</v>
      </c>
      <c r="AJ207" s="45"/>
      <c r="AK207" s="53"/>
      <c r="AL207" s="45"/>
      <c r="AM207" s="53"/>
      <c r="AN207" s="53"/>
      <c r="AO207" s="53"/>
      <c r="AP207" s="53"/>
      <c r="AQ207" s="53"/>
      <c r="AR207" s="53"/>
      <c r="AS207" s="45">
        <f t="shared" si="64"/>
        <v>0</v>
      </c>
      <c r="AT207" s="45"/>
      <c r="AU207" s="53">
        <v>0</v>
      </c>
      <c r="AV207" s="53"/>
      <c r="AW207" s="53">
        <v>0</v>
      </c>
      <c r="AX207" s="53"/>
      <c r="AY207" s="53">
        <f t="shared" si="62"/>
        <v>0</v>
      </c>
      <c r="AZ207" s="53"/>
      <c r="BA207" s="126" t="s">
        <v>236</v>
      </c>
      <c r="BC207" s="126" t="s">
        <v>45</v>
      </c>
      <c r="BD207" s="137"/>
      <c r="BE207" s="53"/>
      <c r="BF207" s="53"/>
      <c r="BG207" s="53"/>
      <c r="BH207" s="53"/>
      <c r="BI207" s="53"/>
      <c r="BJ207" s="53"/>
      <c r="BK207" s="53"/>
      <c r="BL207" s="137"/>
      <c r="BM207" s="137">
        <f t="shared" si="51"/>
        <v>0</v>
      </c>
      <c r="BN207" s="139" t="s">
        <v>347</v>
      </c>
      <c r="BR207" s="124"/>
      <c r="BS207" s="137"/>
      <c r="BT207" s="137"/>
      <c r="BU207" s="137"/>
      <c r="BV207" s="137"/>
      <c r="BW207" s="137"/>
      <c r="BX207" s="127"/>
      <c r="BY207" s="127"/>
      <c r="BZ207" s="137"/>
      <c r="CA207" s="137"/>
      <c r="CB207" s="137"/>
      <c r="CC207" s="137"/>
      <c r="CD207" s="137"/>
      <c r="CE207" s="137"/>
      <c r="CF207" s="126"/>
      <c r="CH207" s="126"/>
      <c r="CI207" s="137"/>
      <c r="CJ207" s="137"/>
      <c r="CK207" s="137"/>
      <c r="CL207" s="137"/>
      <c r="CM207" s="137"/>
      <c r="CN207" s="137"/>
      <c r="CO207" s="137"/>
      <c r="CP207" s="137"/>
      <c r="CQ207" s="137"/>
      <c r="CR207" s="137"/>
      <c r="CS207" s="139"/>
    </row>
    <row r="208" spans="1:108" s="55" customFormat="1" ht="12.75" customHeight="1" x14ac:dyDescent="0.2">
      <c r="A208" s="35" t="s">
        <v>237</v>
      </c>
      <c r="B208" s="51"/>
      <c r="C208" s="35" t="s">
        <v>33</v>
      </c>
      <c r="D208" s="44"/>
      <c r="E208" s="53">
        <f t="shared" si="63"/>
        <v>312989</v>
      </c>
      <c r="F208" s="53"/>
      <c r="G208" s="53">
        <v>1998682</v>
      </c>
      <c r="H208" s="53"/>
      <c r="I208" s="53">
        <v>2311671</v>
      </c>
      <c r="J208" s="53"/>
      <c r="K208" s="53">
        <f t="shared" si="58"/>
        <v>158560</v>
      </c>
      <c r="L208" s="53"/>
      <c r="M208" s="53">
        <v>664764</v>
      </c>
      <c r="N208" s="53"/>
      <c r="O208" s="53">
        <v>823324</v>
      </c>
      <c r="P208" s="53"/>
      <c r="Q208" s="53">
        <v>1087230</v>
      </c>
      <c r="R208" s="53"/>
      <c r="S208" s="53">
        <v>0</v>
      </c>
      <c r="T208" s="53"/>
      <c r="U208" s="53">
        <v>401117</v>
      </c>
      <c r="V208" s="53"/>
      <c r="W208" s="53">
        <f t="shared" si="59"/>
        <v>1488347</v>
      </c>
      <c r="X208" s="53"/>
      <c r="Y208" s="35" t="s">
        <v>237</v>
      </c>
      <c r="AA208" s="35" t="s">
        <v>33</v>
      </c>
      <c r="AB208" s="35"/>
      <c r="AC208" s="53">
        <v>807764</v>
      </c>
      <c r="AD208" s="53"/>
      <c r="AE208" s="53">
        <f>1037070-373138</f>
        <v>663932</v>
      </c>
      <c r="AF208" s="53"/>
      <c r="AG208" s="53">
        <v>373138</v>
      </c>
      <c r="AH208" s="53"/>
      <c r="AI208" s="45">
        <f t="shared" si="60"/>
        <v>-229306</v>
      </c>
      <c r="AJ208" s="45"/>
      <c r="AK208" s="53">
        <v>-34416</v>
      </c>
      <c r="AL208" s="45"/>
      <c r="AM208" s="53">
        <v>0</v>
      </c>
      <c r="AN208" s="53"/>
      <c r="AO208" s="53">
        <v>0</v>
      </c>
      <c r="AP208" s="53"/>
      <c r="AQ208" s="53">
        <v>0</v>
      </c>
      <c r="AR208" s="53"/>
      <c r="AS208" s="45">
        <f t="shared" si="64"/>
        <v>-263722</v>
      </c>
      <c r="AT208" s="45"/>
      <c r="AU208" s="53">
        <v>0</v>
      </c>
      <c r="AV208" s="53"/>
      <c r="AW208" s="53">
        <v>0</v>
      </c>
      <c r="AX208" s="53"/>
      <c r="AY208" s="53">
        <f t="shared" si="62"/>
        <v>154429</v>
      </c>
      <c r="AZ208" s="53"/>
      <c r="BA208" s="35" t="s">
        <v>237</v>
      </c>
      <c r="BC208" s="35" t="s">
        <v>33</v>
      </c>
      <c r="BD208" s="53"/>
      <c r="BE208" s="53">
        <f>263504+20000</f>
        <v>283504</v>
      </c>
      <c r="BF208" s="53"/>
      <c r="BG208" s="53">
        <v>0</v>
      </c>
      <c r="BH208" s="53"/>
      <c r="BI208" s="53">
        <f>113101+276384+2859+19869</f>
        <v>412213</v>
      </c>
      <c r="BJ208" s="53"/>
      <c r="BK208" s="53">
        <f>11775+1383</f>
        <v>13158</v>
      </c>
      <c r="BL208" s="53"/>
      <c r="BM208" s="53">
        <f t="shared" si="51"/>
        <v>708875</v>
      </c>
      <c r="BN208" s="54" t="s">
        <v>347</v>
      </c>
      <c r="BR208" s="51"/>
      <c r="BS208" s="53"/>
      <c r="BT208" s="53"/>
      <c r="BU208" s="53"/>
      <c r="BV208" s="53"/>
      <c r="BW208" s="53"/>
      <c r="BX208" s="45"/>
      <c r="BY208" s="45"/>
      <c r="BZ208" s="53"/>
      <c r="CA208" s="53"/>
      <c r="CB208" s="53"/>
      <c r="CC208" s="53"/>
      <c r="CD208" s="53"/>
      <c r="CE208" s="53"/>
      <c r="CF208" s="35"/>
      <c r="CH208" s="35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4"/>
    </row>
    <row r="209" spans="1:105" s="55" customFormat="1" ht="12.75" customHeight="1" x14ac:dyDescent="0.2">
      <c r="A209" s="35" t="s">
        <v>238</v>
      </c>
      <c r="C209" s="35" t="s">
        <v>239</v>
      </c>
      <c r="D209" s="44"/>
      <c r="E209" s="53">
        <f t="shared" si="63"/>
        <v>2487643</v>
      </c>
      <c r="F209" s="53"/>
      <c r="G209" s="53">
        <v>15890741</v>
      </c>
      <c r="H209" s="53"/>
      <c r="I209" s="53">
        <v>18378384</v>
      </c>
      <c r="J209" s="53"/>
      <c r="K209" s="53">
        <f t="shared" si="58"/>
        <v>652965</v>
      </c>
      <c r="L209" s="53"/>
      <c r="M209" s="53">
        <v>10197132</v>
      </c>
      <c r="N209" s="53"/>
      <c r="O209" s="53">
        <v>10850097</v>
      </c>
      <c r="P209" s="53"/>
      <c r="Q209" s="53">
        <v>5316751</v>
      </c>
      <c r="R209" s="53"/>
      <c r="S209" s="53">
        <v>0</v>
      </c>
      <c r="T209" s="53"/>
      <c r="U209" s="53">
        <v>2211536</v>
      </c>
      <c r="V209" s="53"/>
      <c r="W209" s="53">
        <f t="shared" si="59"/>
        <v>7528287</v>
      </c>
      <c r="X209" s="53"/>
      <c r="Y209" s="35" t="s">
        <v>238</v>
      </c>
      <c r="AA209" s="35" t="s">
        <v>239</v>
      </c>
      <c r="AB209" s="35"/>
      <c r="AC209" s="53">
        <v>2020585</v>
      </c>
      <c r="AD209" s="53"/>
      <c r="AE209" s="53">
        <f>1993646-727847</f>
        <v>1265799</v>
      </c>
      <c r="AF209" s="53"/>
      <c r="AG209" s="53">
        <v>727847</v>
      </c>
      <c r="AH209" s="53"/>
      <c r="AI209" s="45">
        <f t="shared" si="60"/>
        <v>26939</v>
      </c>
      <c r="AJ209" s="45"/>
      <c r="AK209" s="53">
        <v>-361849</v>
      </c>
      <c r="AL209" s="45"/>
      <c r="AM209" s="53">
        <v>0</v>
      </c>
      <c r="AN209" s="53"/>
      <c r="AO209" s="53">
        <v>0</v>
      </c>
      <c r="AP209" s="53"/>
      <c r="AQ209" s="53">
        <v>0</v>
      </c>
      <c r="AR209" s="53"/>
      <c r="AS209" s="45">
        <f t="shared" si="64"/>
        <v>-334910</v>
      </c>
      <c r="AT209" s="45"/>
      <c r="AU209" s="53">
        <v>0</v>
      </c>
      <c r="AV209" s="53"/>
      <c r="AW209" s="53">
        <v>0</v>
      </c>
      <c r="AX209" s="53"/>
      <c r="AY209" s="53">
        <f t="shared" si="62"/>
        <v>1834678</v>
      </c>
      <c r="AZ209" s="53"/>
      <c r="BA209" s="35" t="s">
        <v>238</v>
      </c>
      <c r="BC209" s="35" t="s">
        <v>239</v>
      </c>
      <c r="BD209" s="53"/>
      <c r="BE209" s="53">
        <v>0</v>
      </c>
      <c r="BF209" s="53"/>
      <c r="BG209" s="53">
        <v>0</v>
      </c>
      <c r="BH209" s="53"/>
      <c r="BI209" s="53">
        <f>10137984+436006</f>
        <v>10573990</v>
      </c>
      <c r="BJ209" s="53"/>
      <c r="BK209" s="53">
        <f>59148+19617</f>
        <v>78765</v>
      </c>
      <c r="BL209" s="53"/>
      <c r="BM209" s="53">
        <f t="shared" si="51"/>
        <v>10652755</v>
      </c>
      <c r="BN209" s="54" t="s">
        <v>347</v>
      </c>
      <c r="BR209" s="51"/>
      <c r="BS209" s="53"/>
      <c r="BT209" s="53"/>
      <c r="BU209" s="53"/>
      <c r="BV209" s="53"/>
      <c r="BW209" s="53"/>
      <c r="BX209" s="45"/>
      <c r="BY209" s="45"/>
      <c r="BZ209" s="53"/>
      <c r="CA209" s="53"/>
      <c r="CB209" s="53"/>
      <c r="CC209" s="53"/>
      <c r="CD209" s="53"/>
      <c r="CE209" s="53"/>
      <c r="CF209" s="35"/>
      <c r="CH209" s="35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4"/>
    </row>
    <row r="210" spans="1:105" s="55" customFormat="1" ht="12.75" customHeight="1" x14ac:dyDescent="0.2">
      <c r="A210" s="35" t="s">
        <v>486</v>
      </c>
      <c r="B210" s="51"/>
      <c r="C210" s="35" t="s">
        <v>249</v>
      </c>
      <c r="D210" s="44"/>
      <c r="E210" s="53">
        <f t="shared" si="63"/>
        <v>6271399</v>
      </c>
      <c r="F210" s="53"/>
      <c r="G210" s="53">
        <v>14860309</v>
      </c>
      <c r="H210" s="53"/>
      <c r="I210" s="53">
        <v>21131708</v>
      </c>
      <c r="J210" s="53"/>
      <c r="K210" s="53">
        <f t="shared" si="58"/>
        <v>799684</v>
      </c>
      <c r="L210" s="53"/>
      <c r="M210" s="53">
        <v>11541437</v>
      </c>
      <c r="N210" s="53"/>
      <c r="O210" s="53">
        <v>12341121</v>
      </c>
      <c r="P210" s="53"/>
      <c r="Q210" s="53">
        <v>2999918</v>
      </c>
      <c r="R210" s="53"/>
      <c r="S210" s="53">
        <v>0</v>
      </c>
      <c r="T210" s="53"/>
      <c r="U210" s="53">
        <v>5790669</v>
      </c>
      <c r="V210" s="53"/>
      <c r="W210" s="53">
        <f t="shared" si="59"/>
        <v>8790587</v>
      </c>
      <c r="X210" s="53"/>
      <c r="Y210" s="35" t="s">
        <v>486</v>
      </c>
      <c r="AA210" s="35" t="s">
        <v>249</v>
      </c>
      <c r="AB210" s="35"/>
      <c r="AC210" s="53">
        <v>5298290</v>
      </c>
      <c r="AD210" s="53"/>
      <c r="AE210" s="53">
        <f>3266814-340548</f>
        <v>2926266</v>
      </c>
      <c r="AF210" s="53"/>
      <c r="AG210" s="53">
        <v>340548</v>
      </c>
      <c r="AH210" s="53"/>
      <c r="AI210" s="45">
        <f t="shared" si="60"/>
        <v>2031476</v>
      </c>
      <c r="AJ210" s="45"/>
      <c r="AK210" s="53">
        <v>-511198</v>
      </c>
      <c r="AL210" s="45"/>
      <c r="AM210" s="53">
        <v>0</v>
      </c>
      <c r="AN210" s="53"/>
      <c r="AO210" s="53">
        <v>0</v>
      </c>
      <c r="AP210" s="53"/>
      <c r="AQ210" s="53">
        <v>0</v>
      </c>
      <c r="AR210" s="53"/>
      <c r="AS210" s="45">
        <f t="shared" si="64"/>
        <v>1520278</v>
      </c>
      <c r="AT210" s="45"/>
      <c r="AU210" s="53">
        <v>0</v>
      </c>
      <c r="AV210" s="53"/>
      <c r="AW210" s="53">
        <v>0</v>
      </c>
      <c r="AX210" s="53"/>
      <c r="AY210" s="53">
        <f t="shared" si="62"/>
        <v>5471715</v>
      </c>
      <c r="AZ210" s="53"/>
      <c r="BA210" s="35" t="s">
        <v>486</v>
      </c>
      <c r="BC210" s="35" t="s">
        <v>249</v>
      </c>
      <c r="BD210" s="53"/>
      <c r="BE210" s="53">
        <f>1003750+66000</f>
        <v>1069750</v>
      </c>
      <c r="BF210" s="53"/>
      <c r="BG210" s="53">
        <v>0</v>
      </c>
      <c r="BH210" s="53"/>
      <c r="BI210" s="53">
        <f>53972+10374742+46030+17793+23015+242500</f>
        <v>10758052</v>
      </c>
      <c r="BJ210" s="53"/>
      <c r="BK210" s="53">
        <f>9373+62943</f>
        <v>72316</v>
      </c>
      <c r="BL210" s="53"/>
      <c r="BM210" s="53">
        <f>SUM(BE210:BK210)</f>
        <v>11900118</v>
      </c>
      <c r="BN210" s="54" t="s">
        <v>347</v>
      </c>
      <c r="BR210" s="51"/>
      <c r="BS210" s="53"/>
      <c r="BT210" s="53"/>
      <c r="BU210" s="53"/>
      <c r="BV210" s="53"/>
      <c r="BW210" s="53"/>
      <c r="BX210" s="45"/>
      <c r="BY210" s="45"/>
      <c r="BZ210" s="53"/>
      <c r="CA210" s="53"/>
      <c r="CB210" s="53"/>
      <c r="CC210" s="53"/>
      <c r="CD210" s="53"/>
      <c r="CE210" s="53"/>
      <c r="CF210" s="44"/>
      <c r="CH210" s="44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4"/>
    </row>
    <row r="211" spans="1:105" s="140" customFormat="1" ht="12.75" hidden="1" customHeight="1" x14ac:dyDescent="0.2">
      <c r="A211" s="126" t="s">
        <v>240</v>
      </c>
      <c r="B211" s="124"/>
      <c r="C211" s="126" t="s">
        <v>13</v>
      </c>
      <c r="D211" s="121"/>
      <c r="E211" s="53">
        <f t="shared" si="63"/>
        <v>0</v>
      </c>
      <c r="F211" s="53"/>
      <c r="G211" s="53"/>
      <c r="H211" s="53"/>
      <c r="I211" s="53"/>
      <c r="J211" s="53"/>
      <c r="K211" s="53">
        <f t="shared" si="58"/>
        <v>0</v>
      </c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>
        <f t="shared" si="59"/>
        <v>0</v>
      </c>
      <c r="X211" s="137"/>
      <c r="Y211" s="126" t="s">
        <v>240</v>
      </c>
      <c r="AA211" s="126" t="s">
        <v>13</v>
      </c>
      <c r="AB211" s="126"/>
      <c r="AC211" s="53"/>
      <c r="AD211" s="53"/>
      <c r="AE211" s="53"/>
      <c r="AF211" s="53"/>
      <c r="AG211" s="53"/>
      <c r="AH211" s="53"/>
      <c r="AI211" s="45">
        <f t="shared" si="60"/>
        <v>0</v>
      </c>
      <c r="AJ211" s="45"/>
      <c r="AK211" s="53"/>
      <c r="AL211" s="45"/>
      <c r="AM211" s="53"/>
      <c r="AN211" s="53"/>
      <c r="AO211" s="53"/>
      <c r="AP211" s="53"/>
      <c r="AQ211" s="53"/>
      <c r="AR211" s="53"/>
      <c r="AS211" s="45">
        <f t="shared" si="64"/>
        <v>0</v>
      </c>
      <c r="AT211" s="45"/>
      <c r="AU211" s="53">
        <v>0</v>
      </c>
      <c r="AV211" s="53"/>
      <c r="AW211" s="53">
        <v>0</v>
      </c>
      <c r="AX211" s="53"/>
      <c r="AY211" s="53">
        <f t="shared" si="62"/>
        <v>0</v>
      </c>
      <c r="AZ211" s="53"/>
      <c r="BA211" s="126" t="s">
        <v>240</v>
      </c>
      <c r="BC211" s="126" t="s">
        <v>13</v>
      </c>
      <c r="BD211" s="137"/>
      <c r="BE211" s="53"/>
      <c r="BF211" s="53"/>
      <c r="BG211" s="53"/>
      <c r="BH211" s="53"/>
      <c r="BI211" s="53"/>
      <c r="BJ211" s="53"/>
      <c r="BK211" s="53"/>
      <c r="BL211" s="137"/>
      <c r="BM211" s="137">
        <f t="shared" si="51"/>
        <v>0</v>
      </c>
      <c r="BN211" s="139" t="s">
        <v>347</v>
      </c>
      <c r="BR211" s="124"/>
      <c r="BS211" s="137"/>
      <c r="BT211" s="137"/>
      <c r="BU211" s="137"/>
      <c r="BV211" s="137"/>
      <c r="BW211" s="137"/>
      <c r="BX211" s="127"/>
      <c r="BY211" s="127"/>
      <c r="BZ211" s="137"/>
      <c r="CA211" s="137"/>
      <c r="CB211" s="137"/>
      <c r="CC211" s="137"/>
      <c r="CD211" s="137"/>
      <c r="CE211" s="137"/>
      <c r="CF211" s="121"/>
      <c r="CH211" s="121"/>
      <c r="CI211" s="137"/>
      <c r="CJ211" s="137"/>
      <c r="CK211" s="137"/>
      <c r="CL211" s="137"/>
      <c r="CM211" s="137"/>
      <c r="CN211" s="137"/>
      <c r="CO211" s="137"/>
      <c r="CP211" s="137"/>
      <c r="CQ211" s="137"/>
      <c r="CR211" s="137"/>
      <c r="CS211" s="139"/>
    </row>
    <row r="212" spans="1:105" s="140" customFormat="1" ht="12.75" hidden="1" customHeight="1" x14ac:dyDescent="0.2">
      <c r="A212" s="126" t="s">
        <v>241</v>
      </c>
      <c r="B212" s="124"/>
      <c r="C212" s="126" t="s">
        <v>22</v>
      </c>
      <c r="D212" s="121"/>
      <c r="E212" s="53">
        <f t="shared" si="63"/>
        <v>0</v>
      </c>
      <c r="F212" s="53"/>
      <c r="G212" s="53"/>
      <c r="H212" s="53"/>
      <c r="I212" s="53"/>
      <c r="J212" s="53"/>
      <c r="K212" s="53">
        <f t="shared" si="58"/>
        <v>0</v>
      </c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>
        <f t="shared" si="59"/>
        <v>0</v>
      </c>
      <c r="X212" s="137"/>
      <c r="Y212" s="126" t="s">
        <v>241</v>
      </c>
      <c r="AA212" s="126" t="s">
        <v>22</v>
      </c>
      <c r="AB212" s="126"/>
      <c r="AC212" s="53"/>
      <c r="AD212" s="53"/>
      <c r="AE212" s="53"/>
      <c r="AF212" s="53"/>
      <c r="AG212" s="53"/>
      <c r="AH212" s="53"/>
      <c r="AI212" s="45">
        <f t="shared" si="60"/>
        <v>0</v>
      </c>
      <c r="AJ212" s="45"/>
      <c r="AK212" s="53"/>
      <c r="AL212" s="45"/>
      <c r="AM212" s="53"/>
      <c r="AN212" s="53"/>
      <c r="AO212" s="53"/>
      <c r="AP212" s="53"/>
      <c r="AQ212" s="53"/>
      <c r="AR212" s="53"/>
      <c r="AS212" s="45">
        <f t="shared" si="64"/>
        <v>0</v>
      </c>
      <c r="AT212" s="45"/>
      <c r="AU212" s="53">
        <v>0</v>
      </c>
      <c r="AV212" s="53"/>
      <c r="AW212" s="53">
        <v>0</v>
      </c>
      <c r="AX212" s="53"/>
      <c r="AY212" s="53">
        <f t="shared" si="62"/>
        <v>0</v>
      </c>
      <c r="AZ212" s="53"/>
      <c r="BA212" s="126" t="s">
        <v>241</v>
      </c>
      <c r="BC212" s="126" t="s">
        <v>22</v>
      </c>
      <c r="BD212" s="137"/>
      <c r="BE212" s="53"/>
      <c r="BF212" s="53"/>
      <c r="BG212" s="53"/>
      <c r="BH212" s="53"/>
      <c r="BI212" s="53"/>
      <c r="BJ212" s="53"/>
      <c r="BK212" s="53"/>
      <c r="BL212" s="137"/>
      <c r="BM212" s="137">
        <f t="shared" si="51"/>
        <v>0</v>
      </c>
      <c r="BN212" s="139" t="s">
        <v>347</v>
      </c>
      <c r="BR212" s="124"/>
      <c r="BS212" s="137"/>
      <c r="BT212" s="137"/>
      <c r="BU212" s="137"/>
      <c r="BV212" s="137"/>
      <c r="BW212" s="137"/>
      <c r="BX212" s="127"/>
      <c r="BY212" s="127"/>
      <c r="BZ212" s="137"/>
      <c r="CA212" s="137"/>
      <c r="CB212" s="137"/>
      <c r="CC212" s="137"/>
      <c r="CD212" s="137"/>
      <c r="CE212" s="137"/>
      <c r="CF212" s="126"/>
      <c r="CH212" s="126"/>
      <c r="CI212" s="137"/>
      <c r="CJ212" s="137"/>
      <c r="CK212" s="137"/>
      <c r="CL212" s="137"/>
      <c r="CM212" s="137"/>
      <c r="CN212" s="137"/>
      <c r="CO212" s="137"/>
      <c r="CP212" s="137"/>
      <c r="CQ212" s="137"/>
      <c r="CR212" s="137"/>
      <c r="CS212" s="139"/>
    </row>
    <row r="213" spans="1:105" s="55" customFormat="1" ht="12.75" customHeight="1" x14ac:dyDescent="0.2">
      <c r="A213" s="35" t="s">
        <v>242</v>
      </c>
      <c r="B213" s="51"/>
      <c r="C213" s="35" t="s">
        <v>27</v>
      </c>
      <c r="D213" s="44"/>
      <c r="E213" s="53">
        <f t="shared" si="63"/>
        <v>4688030</v>
      </c>
      <c r="F213" s="53"/>
      <c r="G213" s="53">
        <v>49409447</v>
      </c>
      <c r="H213" s="53"/>
      <c r="I213" s="53">
        <v>54097477</v>
      </c>
      <c r="J213" s="53"/>
      <c r="K213" s="53">
        <f t="shared" si="58"/>
        <v>670623</v>
      </c>
      <c r="L213" s="53"/>
      <c r="M213" s="53">
        <v>2983586</v>
      </c>
      <c r="N213" s="53"/>
      <c r="O213" s="53">
        <v>3654209</v>
      </c>
      <c r="P213" s="53"/>
      <c r="Q213" s="53">
        <v>46143739</v>
      </c>
      <c r="R213" s="53"/>
      <c r="S213" s="53">
        <v>0</v>
      </c>
      <c r="T213" s="53"/>
      <c r="U213" s="53">
        <v>4299529</v>
      </c>
      <c r="V213" s="53"/>
      <c r="W213" s="53">
        <f t="shared" si="59"/>
        <v>50443268</v>
      </c>
      <c r="X213" s="53"/>
      <c r="Y213" s="35" t="s">
        <v>242</v>
      </c>
      <c r="AA213" s="35" t="s">
        <v>27</v>
      </c>
      <c r="AB213" s="35"/>
      <c r="AC213" s="53">
        <v>5225116</v>
      </c>
      <c r="AD213" s="53"/>
      <c r="AE213" s="53">
        <f>6927281-2315047</f>
        <v>4612234</v>
      </c>
      <c r="AF213" s="53"/>
      <c r="AG213" s="53">
        <v>2315047</v>
      </c>
      <c r="AH213" s="53"/>
      <c r="AI213" s="45">
        <f t="shared" si="60"/>
        <v>-1702165</v>
      </c>
      <c r="AJ213" s="45"/>
      <c r="AK213" s="53">
        <v>-101673</v>
      </c>
      <c r="AL213" s="45"/>
      <c r="AM213" s="53">
        <v>0</v>
      </c>
      <c r="AN213" s="53"/>
      <c r="AO213" s="53">
        <v>0</v>
      </c>
      <c r="AP213" s="53"/>
      <c r="AQ213" s="53">
        <f>315006+81164+142198</f>
        <v>538368</v>
      </c>
      <c r="AR213" s="53"/>
      <c r="AS213" s="45">
        <f t="shared" si="64"/>
        <v>-1265470</v>
      </c>
      <c r="AT213" s="45"/>
      <c r="AU213" s="53">
        <v>0</v>
      </c>
      <c r="AV213" s="53"/>
      <c r="AW213" s="53">
        <v>0</v>
      </c>
      <c r="AX213" s="53"/>
      <c r="AY213" s="53">
        <f t="shared" si="62"/>
        <v>4017407</v>
      </c>
      <c r="AZ213" s="53"/>
      <c r="BA213" s="35" t="s">
        <v>242</v>
      </c>
      <c r="BC213" s="35" t="s">
        <v>27</v>
      </c>
      <c r="BD213" s="53"/>
      <c r="BE213" s="53">
        <f>415000+200000</f>
        <v>615000</v>
      </c>
      <c r="BF213" s="53"/>
      <c r="BG213" s="53">
        <v>0</v>
      </c>
      <c r="BH213" s="53"/>
      <c r="BI213" s="53">
        <f>2479699+171009</f>
        <v>2650708</v>
      </c>
      <c r="BJ213" s="53"/>
      <c r="BK213" s="53">
        <f>88887+130869</f>
        <v>219756</v>
      </c>
      <c r="BL213" s="53"/>
      <c r="BM213" s="53">
        <f t="shared" si="51"/>
        <v>3485464</v>
      </c>
      <c r="BN213" s="54" t="s">
        <v>347</v>
      </c>
      <c r="BR213" s="51"/>
      <c r="BS213" s="53"/>
      <c r="BT213" s="53"/>
      <c r="BU213" s="53"/>
      <c r="BV213" s="53"/>
      <c r="BW213" s="53"/>
      <c r="BX213" s="45"/>
      <c r="BY213" s="45"/>
      <c r="BZ213" s="53"/>
      <c r="CA213" s="53"/>
      <c r="CB213" s="53"/>
      <c r="CC213" s="53"/>
      <c r="CD213" s="53"/>
      <c r="CE213" s="53"/>
      <c r="CF213" s="35"/>
      <c r="CH213" s="35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4"/>
    </row>
    <row r="214" spans="1:105" s="55" customFormat="1" ht="12.75" customHeight="1" x14ac:dyDescent="0.2">
      <c r="A214" s="35" t="s">
        <v>243</v>
      </c>
      <c r="C214" s="35" t="s">
        <v>163</v>
      </c>
      <c r="D214" s="44"/>
      <c r="E214" s="53">
        <f t="shared" si="63"/>
        <v>1593425</v>
      </c>
      <c r="F214" s="53"/>
      <c r="G214" s="53">
        <v>10833671</v>
      </c>
      <c r="H214" s="53"/>
      <c r="I214" s="53">
        <v>12427096</v>
      </c>
      <c r="J214" s="53"/>
      <c r="K214" s="53">
        <f t="shared" si="58"/>
        <v>81635</v>
      </c>
      <c r="L214" s="53"/>
      <c r="M214" s="53">
        <v>81497</v>
      </c>
      <c r="N214" s="53"/>
      <c r="O214" s="53">
        <v>163132</v>
      </c>
      <c r="P214" s="53"/>
      <c r="Q214" s="53">
        <v>10833671</v>
      </c>
      <c r="R214" s="53"/>
      <c r="S214" s="53">
        <v>0</v>
      </c>
      <c r="T214" s="53"/>
      <c r="U214" s="53">
        <v>1430293</v>
      </c>
      <c r="V214" s="53"/>
      <c r="W214" s="53">
        <f t="shared" si="59"/>
        <v>12263964</v>
      </c>
      <c r="X214" s="53"/>
      <c r="Y214" s="35" t="s">
        <v>243</v>
      </c>
      <c r="AA214" s="35" t="s">
        <v>163</v>
      </c>
      <c r="AB214" s="35"/>
      <c r="AC214" s="53">
        <v>2262112</v>
      </c>
      <c r="AD214" s="53"/>
      <c r="AE214" s="53">
        <f>2403564-463813</f>
        <v>1939751</v>
      </c>
      <c r="AF214" s="53"/>
      <c r="AG214" s="53">
        <v>463813</v>
      </c>
      <c r="AH214" s="53"/>
      <c r="AI214" s="45">
        <f t="shared" si="60"/>
        <v>-141452</v>
      </c>
      <c r="AJ214" s="45"/>
      <c r="AK214" s="53">
        <v>227136</v>
      </c>
      <c r="AL214" s="45"/>
      <c r="AM214" s="53">
        <v>0</v>
      </c>
      <c r="AN214" s="53"/>
      <c r="AO214" s="53">
        <v>12483</v>
      </c>
      <c r="AP214" s="53"/>
      <c r="AQ214" s="53">
        <v>0</v>
      </c>
      <c r="AR214" s="53"/>
      <c r="AS214" s="45">
        <f t="shared" si="64"/>
        <v>73201</v>
      </c>
      <c r="AT214" s="45"/>
      <c r="AU214" s="53">
        <v>0</v>
      </c>
      <c r="AV214" s="53"/>
      <c r="AW214" s="53">
        <v>0</v>
      </c>
      <c r="AX214" s="53"/>
      <c r="AY214" s="53">
        <f t="shared" ref="AY214:AY239" si="65">+E214-K214</f>
        <v>1511790</v>
      </c>
      <c r="AZ214" s="53"/>
      <c r="BA214" s="35" t="s">
        <v>243</v>
      </c>
      <c r="BC214" s="35" t="s">
        <v>163</v>
      </c>
      <c r="BD214" s="53"/>
      <c r="BE214" s="53">
        <v>0</v>
      </c>
      <c r="BF214" s="53"/>
      <c r="BG214" s="53">
        <v>0</v>
      </c>
      <c r="BH214" s="53"/>
      <c r="BI214" s="53">
        <v>0</v>
      </c>
      <c r="BJ214" s="53"/>
      <c r="BK214" s="53">
        <v>81497</v>
      </c>
      <c r="BL214" s="53"/>
      <c r="BM214" s="53">
        <f t="shared" ref="BM214" si="66">SUM(BE214:BK214)</f>
        <v>81497</v>
      </c>
      <c r="BN214" s="54" t="s">
        <v>347</v>
      </c>
      <c r="BO214" s="55" t="s">
        <v>404</v>
      </c>
      <c r="BR214" s="51"/>
      <c r="BS214" s="53"/>
      <c r="BT214" s="53"/>
      <c r="BU214" s="53"/>
      <c r="BV214" s="53"/>
      <c r="BW214" s="53"/>
      <c r="BX214" s="45"/>
      <c r="BY214" s="45"/>
      <c r="BZ214" s="53"/>
      <c r="CA214" s="53"/>
      <c r="CB214" s="53"/>
      <c r="CC214" s="53"/>
      <c r="CD214" s="53"/>
      <c r="CE214" s="53"/>
      <c r="CF214" s="35"/>
      <c r="CH214" s="35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4"/>
    </row>
    <row r="215" spans="1:105" s="55" customFormat="1" ht="12.75" customHeight="1" x14ac:dyDescent="0.2">
      <c r="A215" s="35" t="s">
        <v>244</v>
      </c>
      <c r="B215" s="65"/>
      <c r="C215" s="35" t="s">
        <v>13</v>
      </c>
      <c r="D215" s="44"/>
      <c r="E215" s="53">
        <f t="shared" si="63"/>
        <v>4664774</v>
      </c>
      <c r="F215" s="53"/>
      <c r="G215" s="53">
        <v>4760256</v>
      </c>
      <c r="H215" s="53"/>
      <c r="I215" s="53">
        <v>9425030</v>
      </c>
      <c r="J215" s="53"/>
      <c r="K215" s="53">
        <f t="shared" si="58"/>
        <v>731870</v>
      </c>
      <c r="L215" s="53"/>
      <c r="M215" s="53">
        <v>170499</v>
      </c>
      <c r="N215" s="53"/>
      <c r="O215" s="53">
        <v>902369</v>
      </c>
      <c r="P215" s="53"/>
      <c r="Q215" s="53">
        <v>4551454</v>
      </c>
      <c r="R215" s="53"/>
      <c r="S215" s="53">
        <v>0</v>
      </c>
      <c r="T215" s="53"/>
      <c r="U215" s="53">
        <v>3971207</v>
      </c>
      <c r="V215" s="53"/>
      <c r="W215" s="53">
        <f t="shared" si="59"/>
        <v>8522661</v>
      </c>
      <c r="X215" s="53"/>
      <c r="Y215" s="35" t="s">
        <v>244</v>
      </c>
      <c r="AA215" s="35" t="s">
        <v>13</v>
      </c>
      <c r="AB215" s="35"/>
      <c r="AC215" s="53">
        <v>3029078</v>
      </c>
      <c r="AD215" s="53"/>
      <c r="AE215" s="53">
        <f>3394497-221153</f>
        <v>3173344</v>
      </c>
      <c r="AF215" s="53"/>
      <c r="AG215" s="53">
        <v>221153</v>
      </c>
      <c r="AH215" s="53"/>
      <c r="AI215" s="45">
        <f t="shared" si="60"/>
        <v>-365419</v>
      </c>
      <c r="AJ215" s="45"/>
      <c r="AK215" s="53">
        <v>-8627</v>
      </c>
      <c r="AL215" s="45"/>
      <c r="AM215" s="53">
        <v>0</v>
      </c>
      <c r="AN215" s="53"/>
      <c r="AO215" s="53">
        <v>0</v>
      </c>
      <c r="AP215" s="53"/>
      <c r="AQ215" s="53">
        <v>0</v>
      </c>
      <c r="AR215" s="53"/>
      <c r="AS215" s="45">
        <f t="shared" si="64"/>
        <v>-374046</v>
      </c>
      <c r="AT215" s="45"/>
      <c r="AU215" s="53">
        <v>0</v>
      </c>
      <c r="AV215" s="53"/>
      <c r="AW215" s="53">
        <v>0</v>
      </c>
      <c r="AX215" s="53"/>
      <c r="AY215" s="53">
        <f t="shared" si="65"/>
        <v>3932904</v>
      </c>
      <c r="AZ215" s="53"/>
      <c r="BA215" s="35" t="s">
        <v>244</v>
      </c>
      <c r="BC215" s="35" t="s">
        <v>13</v>
      </c>
      <c r="BD215" s="53"/>
      <c r="BE215" s="53">
        <v>0</v>
      </c>
      <c r="BF215" s="53"/>
      <c r="BG215" s="53">
        <v>0</v>
      </c>
      <c r="BH215" s="53"/>
      <c r="BI215" s="53">
        <v>0</v>
      </c>
      <c r="BJ215" s="53"/>
      <c r="BK215" s="53">
        <f>170499+45000+5425+1895</f>
        <v>222819</v>
      </c>
      <c r="BL215" s="53"/>
      <c r="BM215" s="53">
        <f t="shared" ref="BM215:BM235" si="67">SUM(BE215:BK215)</f>
        <v>222819</v>
      </c>
      <c r="BN215" s="54" t="s">
        <v>347</v>
      </c>
      <c r="BR215" s="65"/>
      <c r="BS215" s="53"/>
      <c r="BT215" s="53"/>
      <c r="BU215" s="53"/>
      <c r="BV215" s="53"/>
      <c r="BW215" s="53"/>
      <c r="BX215" s="45"/>
      <c r="BY215" s="45"/>
      <c r="BZ215" s="53"/>
      <c r="CA215" s="53"/>
      <c r="CB215" s="53"/>
      <c r="CC215" s="53"/>
      <c r="CD215" s="53"/>
      <c r="CE215" s="53"/>
      <c r="CF215" s="35"/>
      <c r="CH215" s="35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4"/>
    </row>
    <row r="216" spans="1:105" s="55" customFormat="1" ht="12.75" customHeight="1" x14ac:dyDescent="0.2">
      <c r="A216" s="35" t="s">
        <v>245</v>
      </c>
      <c r="B216" s="51"/>
      <c r="C216" s="35" t="s">
        <v>110</v>
      </c>
      <c r="D216" s="44"/>
      <c r="E216" s="53">
        <f t="shared" si="63"/>
        <v>4576127</v>
      </c>
      <c r="F216" s="53"/>
      <c r="G216" s="53">
        <v>22598016</v>
      </c>
      <c r="H216" s="53"/>
      <c r="I216" s="53">
        <v>27174143</v>
      </c>
      <c r="J216" s="53"/>
      <c r="K216" s="53">
        <f t="shared" si="58"/>
        <v>786759</v>
      </c>
      <c r="L216" s="53"/>
      <c r="M216" s="53">
        <v>9748456</v>
      </c>
      <c r="N216" s="53"/>
      <c r="O216" s="53">
        <v>10535215</v>
      </c>
      <c r="P216" s="53"/>
      <c r="Q216" s="53">
        <v>12589062</v>
      </c>
      <c r="R216" s="53"/>
      <c r="S216" s="53">
        <v>0</v>
      </c>
      <c r="T216" s="53"/>
      <c r="U216" s="53">
        <v>4049866</v>
      </c>
      <c r="V216" s="53"/>
      <c r="W216" s="53">
        <f t="shared" si="59"/>
        <v>16638928</v>
      </c>
      <c r="X216" s="53"/>
      <c r="Y216" s="35" t="s">
        <v>245</v>
      </c>
      <c r="AA216" s="35" t="s">
        <v>110</v>
      </c>
      <c r="AB216" s="35"/>
      <c r="AC216" s="53">
        <v>4139971</v>
      </c>
      <c r="AD216" s="53"/>
      <c r="AE216" s="53">
        <f>2914240-659600</f>
        <v>2254640</v>
      </c>
      <c r="AF216" s="53"/>
      <c r="AG216" s="53">
        <v>659600</v>
      </c>
      <c r="AH216" s="53"/>
      <c r="AI216" s="45">
        <f t="shared" si="60"/>
        <v>1225731</v>
      </c>
      <c r="AJ216" s="45"/>
      <c r="AK216" s="53">
        <v>-139115</v>
      </c>
      <c r="AL216" s="45"/>
      <c r="AM216" s="53">
        <v>0</v>
      </c>
      <c r="AN216" s="53"/>
      <c r="AO216" s="53">
        <v>0</v>
      </c>
      <c r="AP216" s="53"/>
      <c r="AQ216" s="53">
        <v>329408</v>
      </c>
      <c r="AR216" s="53"/>
      <c r="AS216" s="45">
        <f t="shared" si="64"/>
        <v>1416024</v>
      </c>
      <c r="AT216" s="45"/>
      <c r="AU216" s="53">
        <v>0</v>
      </c>
      <c r="AV216" s="53"/>
      <c r="AW216" s="53">
        <v>0</v>
      </c>
      <c r="AX216" s="53"/>
      <c r="AY216" s="53">
        <f t="shared" si="65"/>
        <v>3789368</v>
      </c>
      <c r="AZ216" s="53"/>
      <c r="BA216" s="35" t="s">
        <v>245</v>
      </c>
      <c r="BC216" s="35" t="s">
        <v>110</v>
      </c>
      <c r="BD216" s="53"/>
      <c r="BE216" s="53">
        <f>9300000+440000-115780</f>
        <v>9624220</v>
      </c>
      <c r="BF216" s="53"/>
      <c r="BG216" s="53">
        <v>0</v>
      </c>
      <c r="BH216" s="53"/>
      <c r="BI216" s="53">
        <v>153174</v>
      </c>
      <c r="BJ216" s="53"/>
      <c r="BK216" s="53">
        <f>179502+93112</f>
        <v>272614</v>
      </c>
      <c r="BL216" s="53"/>
      <c r="BM216" s="53">
        <f t="shared" si="67"/>
        <v>10050008</v>
      </c>
      <c r="BN216" s="54" t="s">
        <v>347</v>
      </c>
      <c r="BR216" s="51"/>
      <c r="BS216" s="53"/>
      <c r="BT216" s="53"/>
      <c r="BU216" s="53"/>
      <c r="BV216" s="53"/>
      <c r="BW216" s="53"/>
      <c r="BX216" s="45"/>
      <c r="BY216" s="45"/>
      <c r="BZ216" s="53"/>
      <c r="CA216" s="53"/>
      <c r="CB216" s="53"/>
      <c r="CC216" s="53"/>
      <c r="CD216" s="53"/>
      <c r="CE216" s="53"/>
      <c r="CF216" s="44"/>
      <c r="CH216" s="35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4"/>
    </row>
    <row r="217" spans="1:105" s="55" customFormat="1" ht="12.75" customHeight="1" x14ac:dyDescent="0.2">
      <c r="A217" s="35" t="s">
        <v>246</v>
      </c>
      <c r="B217" s="51"/>
      <c r="C217" s="35" t="s">
        <v>209</v>
      </c>
      <c r="D217" s="44"/>
      <c r="E217" s="53">
        <f t="shared" si="63"/>
        <v>1577124</v>
      </c>
      <c r="F217" s="53"/>
      <c r="G217" s="53">
        <v>11326344</v>
      </c>
      <c r="H217" s="53"/>
      <c r="I217" s="53">
        <v>12903468</v>
      </c>
      <c r="J217" s="53"/>
      <c r="K217" s="53">
        <f t="shared" si="58"/>
        <v>128760</v>
      </c>
      <c r="L217" s="53"/>
      <c r="M217" s="53">
        <v>531250</v>
      </c>
      <c r="N217" s="53"/>
      <c r="O217" s="53">
        <v>660010</v>
      </c>
      <c r="P217" s="53"/>
      <c r="Q217" s="53">
        <v>4617862</v>
      </c>
      <c r="R217" s="53"/>
      <c r="S217" s="53">
        <v>0</v>
      </c>
      <c r="T217" s="53"/>
      <c r="U217" s="53">
        <v>7625596</v>
      </c>
      <c r="V217" s="53"/>
      <c r="W217" s="53">
        <f t="shared" si="59"/>
        <v>12243458</v>
      </c>
      <c r="X217" s="53"/>
      <c r="Y217" s="35" t="s">
        <v>246</v>
      </c>
      <c r="AA217" s="35" t="s">
        <v>209</v>
      </c>
      <c r="AB217" s="35"/>
      <c r="AC217" s="53">
        <v>1375483</v>
      </c>
      <c r="AD217" s="53"/>
      <c r="AE217" s="53">
        <f>1322926-258684</f>
        <v>1064242</v>
      </c>
      <c r="AF217" s="53"/>
      <c r="AG217" s="53">
        <v>258684</v>
      </c>
      <c r="AH217" s="53"/>
      <c r="AI217" s="45">
        <f t="shared" si="60"/>
        <v>52557</v>
      </c>
      <c r="AJ217" s="45"/>
      <c r="AK217" s="53">
        <v>-255438</v>
      </c>
      <c r="AL217" s="45"/>
      <c r="AM217" s="53">
        <v>0</v>
      </c>
      <c r="AN217" s="53"/>
      <c r="AO217" s="53">
        <v>5195</v>
      </c>
      <c r="AP217" s="53"/>
      <c r="AQ217" s="53">
        <v>0</v>
      </c>
      <c r="AR217" s="53"/>
      <c r="AS217" s="45">
        <f t="shared" si="64"/>
        <v>-208076</v>
      </c>
      <c r="AT217" s="45"/>
      <c r="AU217" s="53">
        <v>0</v>
      </c>
      <c r="AV217" s="53"/>
      <c r="AW217" s="53">
        <v>0</v>
      </c>
      <c r="AX217" s="53"/>
      <c r="AY217" s="53">
        <f t="shared" si="65"/>
        <v>1448364</v>
      </c>
      <c r="AZ217" s="53"/>
      <c r="BA217" s="35" t="s">
        <v>246</v>
      </c>
      <c r="BC217" s="35" t="s">
        <v>209</v>
      </c>
      <c r="BD217" s="53"/>
      <c r="BE217" s="53">
        <f>125000+50000</f>
        <v>175000</v>
      </c>
      <c r="BF217" s="53"/>
      <c r="BG217" s="53">
        <v>0</v>
      </c>
      <c r="BH217" s="53"/>
      <c r="BI217" s="53">
        <v>397680</v>
      </c>
      <c r="BJ217" s="53"/>
      <c r="BK217" s="53">
        <f>8570+7451</f>
        <v>16021</v>
      </c>
      <c r="BL217" s="53"/>
      <c r="BM217" s="53">
        <f t="shared" si="67"/>
        <v>588701</v>
      </c>
      <c r="BN217" s="54" t="s">
        <v>347</v>
      </c>
      <c r="BR217" s="51"/>
      <c r="BS217" s="53"/>
      <c r="BT217" s="53"/>
      <c r="BU217" s="53"/>
      <c r="BV217" s="53"/>
      <c r="BW217" s="53"/>
      <c r="BX217" s="45"/>
      <c r="BY217" s="45"/>
      <c r="BZ217" s="53"/>
      <c r="CA217" s="53"/>
      <c r="CB217" s="53"/>
      <c r="CC217" s="53"/>
      <c r="CD217" s="53"/>
      <c r="CE217" s="53"/>
      <c r="CF217" s="35"/>
      <c r="CH217" s="35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4"/>
    </row>
    <row r="218" spans="1:105" s="140" customFormat="1" ht="12.75" hidden="1" customHeight="1" x14ac:dyDescent="0.2">
      <c r="A218" s="126" t="s">
        <v>247</v>
      </c>
      <c r="C218" s="126" t="s">
        <v>163</v>
      </c>
      <c r="D218" s="121"/>
      <c r="E218" s="137">
        <f t="shared" si="63"/>
        <v>41468000</v>
      </c>
      <c r="F218" s="137"/>
      <c r="G218" s="137">
        <v>485454000</v>
      </c>
      <c r="H218" s="137"/>
      <c r="I218" s="137">
        <v>526922000</v>
      </c>
      <c r="J218" s="137"/>
      <c r="K218" s="137">
        <f t="shared" si="58"/>
        <v>29267000</v>
      </c>
      <c r="L218" s="137"/>
      <c r="M218" s="137">
        <v>257356000</v>
      </c>
      <c r="N218" s="137"/>
      <c r="O218" s="137">
        <v>286623000</v>
      </c>
      <c r="P218" s="137"/>
      <c r="Q218" s="137">
        <v>220294000</v>
      </c>
      <c r="R218" s="137"/>
      <c r="S218" s="137">
        <v>19539000</v>
      </c>
      <c r="T218" s="137"/>
      <c r="U218" s="137">
        <v>466000</v>
      </c>
      <c r="V218" s="137"/>
      <c r="W218" s="137">
        <f t="shared" si="59"/>
        <v>240299000</v>
      </c>
      <c r="X218" s="137"/>
      <c r="Y218" s="126" t="s">
        <v>247</v>
      </c>
      <c r="AA218" s="126" t="s">
        <v>163</v>
      </c>
      <c r="AB218" s="126"/>
      <c r="AC218" s="137">
        <v>65608000</v>
      </c>
      <c r="AD218" s="137"/>
      <c r="AE218" s="137">
        <f>56013000-17993000</f>
        <v>38020000</v>
      </c>
      <c r="AF218" s="137"/>
      <c r="AG218" s="137">
        <v>17993000</v>
      </c>
      <c r="AH218" s="137"/>
      <c r="AI218" s="127">
        <f t="shared" si="60"/>
        <v>9595000</v>
      </c>
      <c r="AJ218" s="127"/>
      <c r="AK218" s="137">
        <v>-6443000</v>
      </c>
      <c r="AL218" s="127"/>
      <c r="AM218" s="137">
        <v>0</v>
      </c>
      <c r="AN218" s="137"/>
      <c r="AO218" s="137">
        <v>75000</v>
      </c>
      <c r="AP218" s="137"/>
      <c r="AQ218" s="137">
        <v>0</v>
      </c>
      <c r="AR218" s="137"/>
      <c r="AS218" s="127">
        <f t="shared" si="64"/>
        <v>3077000</v>
      </c>
      <c r="AT218" s="127"/>
      <c r="AU218" s="137">
        <v>0</v>
      </c>
      <c r="AV218" s="137"/>
      <c r="AW218" s="137">
        <v>0</v>
      </c>
      <c r="AX218" s="137"/>
      <c r="AY218" s="137">
        <f t="shared" si="65"/>
        <v>12201000</v>
      </c>
      <c r="AZ218" s="137"/>
      <c r="BA218" s="126" t="s">
        <v>247</v>
      </c>
      <c r="BC218" s="126" t="s">
        <v>163</v>
      </c>
      <c r="BD218" s="137"/>
      <c r="BE218" s="137">
        <f>253180000+14454000</f>
        <v>267634000</v>
      </c>
      <c r="BF218" s="137"/>
      <c r="BG218" s="137">
        <v>0</v>
      </c>
      <c r="BH218" s="137"/>
      <c r="BI218" s="137">
        <v>0</v>
      </c>
      <c r="BJ218" s="137"/>
      <c r="BK218" s="137">
        <f>127000+4176000</f>
        <v>4303000</v>
      </c>
      <c r="BL218" s="137"/>
      <c r="BM218" s="137">
        <f t="shared" si="67"/>
        <v>271937000</v>
      </c>
      <c r="BN218" s="139" t="s">
        <v>347</v>
      </c>
      <c r="BR218" s="124"/>
      <c r="BS218" s="122" t="s">
        <v>513</v>
      </c>
      <c r="BT218" s="137"/>
      <c r="BU218" s="137"/>
      <c r="BV218" s="137"/>
      <c r="BW218" s="137"/>
      <c r="BX218" s="127"/>
      <c r="BY218" s="127"/>
      <c r="BZ218" s="137"/>
      <c r="CA218" s="137"/>
      <c r="CB218" s="137"/>
      <c r="CC218" s="137"/>
      <c r="CD218" s="137"/>
      <c r="CE218" s="137"/>
      <c r="CF218" s="126"/>
      <c r="CH218" s="126"/>
      <c r="CI218" s="137"/>
      <c r="CJ218" s="137"/>
      <c r="CK218" s="137"/>
      <c r="CL218" s="137"/>
      <c r="CM218" s="137"/>
      <c r="CN218" s="137"/>
      <c r="CO218" s="137"/>
      <c r="CP218" s="137"/>
      <c r="CQ218" s="137"/>
      <c r="CR218" s="137"/>
      <c r="CS218" s="139"/>
    </row>
    <row r="219" spans="1:105" s="55" customFormat="1" ht="12.75" customHeight="1" x14ac:dyDescent="0.2">
      <c r="A219" s="35" t="s">
        <v>248</v>
      </c>
      <c r="C219" s="35" t="s">
        <v>249</v>
      </c>
      <c r="D219" s="44"/>
      <c r="E219" s="53">
        <f t="shared" si="63"/>
        <v>489915</v>
      </c>
      <c r="F219" s="53"/>
      <c r="G219" s="53">
        <v>1988564</v>
      </c>
      <c r="H219" s="53"/>
      <c r="I219" s="53">
        <v>2478479</v>
      </c>
      <c r="J219" s="53"/>
      <c r="K219" s="53">
        <f t="shared" si="58"/>
        <v>16963</v>
      </c>
      <c r="L219" s="53"/>
      <c r="M219" s="53">
        <v>222125</v>
      </c>
      <c r="N219" s="53"/>
      <c r="O219" s="53">
        <v>239088</v>
      </c>
      <c r="P219" s="53"/>
      <c r="Q219" s="53">
        <v>1755338</v>
      </c>
      <c r="R219" s="53"/>
      <c r="S219" s="53">
        <v>0</v>
      </c>
      <c r="T219" s="53"/>
      <c r="U219" s="53">
        <v>484053</v>
      </c>
      <c r="V219" s="53"/>
      <c r="W219" s="53">
        <f t="shared" si="59"/>
        <v>2239391</v>
      </c>
      <c r="X219" s="53"/>
      <c r="Y219" s="35" t="s">
        <v>248</v>
      </c>
      <c r="AA219" s="35" t="s">
        <v>249</v>
      </c>
      <c r="AB219" s="35"/>
      <c r="AC219" s="53">
        <v>612629</v>
      </c>
      <c r="AD219" s="53"/>
      <c r="AE219" s="53">
        <f>510033-49301</f>
        <v>460732</v>
      </c>
      <c r="AF219" s="53"/>
      <c r="AG219" s="53">
        <v>49301</v>
      </c>
      <c r="AH219" s="53"/>
      <c r="AI219" s="45">
        <f t="shared" si="60"/>
        <v>102596</v>
      </c>
      <c r="AJ219" s="45"/>
      <c r="AK219" s="53">
        <v>-2559</v>
      </c>
      <c r="AL219" s="45"/>
      <c r="AM219" s="53">
        <v>0</v>
      </c>
      <c r="AN219" s="53"/>
      <c r="AO219" s="53">
        <v>0</v>
      </c>
      <c r="AP219" s="53"/>
      <c r="AQ219" s="53">
        <v>0</v>
      </c>
      <c r="AR219" s="53"/>
      <c r="AS219" s="45">
        <f t="shared" si="64"/>
        <v>100037</v>
      </c>
      <c r="AT219" s="45"/>
      <c r="AU219" s="53">
        <v>0</v>
      </c>
      <c r="AV219" s="53"/>
      <c r="AW219" s="53">
        <v>0</v>
      </c>
      <c r="AX219" s="53"/>
      <c r="AY219" s="53">
        <f t="shared" si="65"/>
        <v>472952</v>
      </c>
      <c r="AZ219" s="53"/>
      <c r="BA219" s="35" t="s">
        <v>248</v>
      </c>
      <c r="BC219" s="35" t="s">
        <v>249</v>
      </c>
      <c r="BD219" s="53"/>
      <c r="BE219" s="53">
        <v>0</v>
      </c>
      <c r="BF219" s="53"/>
      <c r="BG219" s="53">
        <v>0</v>
      </c>
      <c r="BH219" s="53"/>
      <c r="BI219" s="53">
        <f>221019+12208</f>
        <v>233227</v>
      </c>
      <c r="BJ219" s="53"/>
      <c r="BK219" s="53">
        <f>1106+466</f>
        <v>1572</v>
      </c>
      <c r="BL219" s="53"/>
      <c r="BM219" s="53">
        <f t="shared" si="67"/>
        <v>234799</v>
      </c>
      <c r="BN219" s="54" t="s">
        <v>347</v>
      </c>
      <c r="BR219" s="51"/>
      <c r="BS219" s="53"/>
      <c r="BT219" s="53"/>
      <c r="BU219" s="53"/>
      <c r="BV219" s="53"/>
      <c r="BW219" s="53"/>
      <c r="BX219" s="45"/>
      <c r="BY219" s="45"/>
      <c r="BZ219" s="53"/>
      <c r="CA219" s="53"/>
      <c r="CB219" s="53"/>
      <c r="CC219" s="53"/>
      <c r="CD219" s="53"/>
      <c r="CE219" s="53"/>
      <c r="CF219" s="35"/>
      <c r="CH219" s="35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4"/>
    </row>
    <row r="220" spans="1:105" s="55" customFormat="1" ht="12.75" customHeight="1" x14ac:dyDescent="0.2">
      <c r="A220" s="35" t="s">
        <v>250</v>
      </c>
      <c r="B220" s="51"/>
      <c r="C220" s="35" t="s">
        <v>103</v>
      </c>
      <c r="D220" s="44"/>
      <c r="E220" s="53">
        <f t="shared" si="63"/>
        <v>1663541</v>
      </c>
      <c r="F220" s="53"/>
      <c r="G220" s="53">
        <v>866276</v>
      </c>
      <c r="H220" s="53"/>
      <c r="I220" s="53">
        <v>2529817</v>
      </c>
      <c r="J220" s="53"/>
      <c r="K220" s="53">
        <f t="shared" si="58"/>
        <v>136261</v>
      </c>
      <c r="L220" s="53"/>
      <c r="M220" s="53">
        <v>742185</v>
      </c>
      <c r="N220" s="53"/>
      <c r="O220" s="53">
        <v>878446</v>
      </c>
      <c r="P220" s="53"/>
      <c r="Q220" s="53">
        <v>98576</v>
      </c>
      <c r="R220" s="53"/>
      <c r="S220" s="53">
        <v>0</v>
      </c>
      <c r="T220" s="53"/>
      <c r="U220" s="53">
        <v>1552795</v>
      </c>
      <c r="V220" s="53"/>
      <c r="W220" s="53">
        <f t="shared" ref="W220:W235" si="68">SUM(Q220:U220)</f>
        <v>1651371</v>
      </c>
      <c r="X220" s="53"/>
      <c r="Y220" s="35" t="s">
        <v>250</v>
      </c>
      <c r="AA220" s="35" t="s">
        <v>103</v>
      </c>
      <c r="AB220" s="35"/>
      <c r="AC220" s="53">
        <v>1530948</v>
      </c>
      <c r="AD220" s="53"/>
      <c r="AE220" s="53">
        <f>1188702-49947</f>
        <v>1138755</v>
      </c>
      <c r="AF220" s="53"/>
      <c r="AG220" s="53">
        <v>49947</v>
      </c>
      <c r="AH220" s="53"/>
      <c r="AI220" s="45">
        <f t="shared" si="60"/>
        <v>342246</v>
      </c>
      <c r="AJ220" s="45"/>
      <c r="AK220" s="53">
        <v>-38</v>
      </c>
      <c r="AL220" s="45"/>
      <c r="AM220" s="53">
        <v>0</v>
      </c>
      <c r="AN220" s="53"/>
      <c r="AO220" s="53">
        <v>0</v>
      </c>
      <c r="AP220" s="53"/>
      <c r="AQ220" s="53">
        <v>0</v>
      </c>
      <c r="AR220" s="53"/>
      <c r="AS220" s="45">
        <f t="shared" si="64"/>
        <v>342208</v>
      </c>
      <c r="AT220" s="45"/>
      <c r="AU220" s="53">
        <v>0</v>
      </c>
      <c r="AV220" s="53"/>
      <c r="AW220" s="53">
        <v>0</v>
      </c>
      <c r="AX220" s="53"/>
      <c r="AY220" s="53">
        <f t="shared" si="65"/>
        <v>1527280</v>
      </c>
      <c r="AZ220" s="53"/>
      <c r="BA220" s="35" t="s">
        <v>250</v>
      </c>
      <c r="BC220" s="35" t="s">
        <v>103</v>
      </c>
      <c r="BD220" s="53"/>
      <c r="BE220" s="53">
        <v>0</v>
      </c>
      <c r="BF220" s="53"/>
      <c r="BG220" s="53">
        <v>0</v>
      </c>
      <c r="BH220" s="53"/>
      <c r="BI220" s="53">
        <f>725050+42650</f>
        <v>767700</v>
      </c>
      <c r="BJ220" s="53"/>
      <c r="BK220" s="53">
        <f>17135+12071</f>
        <v>29206</v>
      </c>
      <c r="BL220" s="53"/>
      <c r="BM220" s="53">
        <f t="shared" si="67"/>
        <v>796906</v>
      </c>
      <c r="BN220" s="54" t="s">
        <v>347</v>
      </c>
      <c r="BR220" s="51"/>
      <c r="BS220" s="53"/>
      <c r="BT220" s="53"/>
      <c r="BU220" s="53"/>
      <c r="BV220" s="53"/>
      <c r="BW220" s="53"/>
      <c r="BX220" s="45"/>
      <c r="BY220" s="45"/>
      <c r="BZ220" s="53"/>
      <c r="CA220" s="53"/>
      <c r="CB220" s="53"/>
      <c r="CC220" s="53"/>
      <c r="CD220" s="53"/>
      <c r="CE220" s="53"/>
      <c r="CF220" s="35"/>
      <c r="CH220" s="35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4"/>
    </row>
    <row r="221" spans="1:105" s="55" customFormat="1" ht="12.75" customHeight="1" x14ac:dyDescent="0.2">
      <c r="A221" s="35" t="s">
        <v>251</v>
      </c>
      <c r="B221" s="51"/>
      <c r="C221" s="35" t="s">
        <v>66</v>
      </c>
      <c r="D221" s="44"/>
      <c r="E221" s="53">
        <f t="shared" si="63"/>
        <v>763024</v>
      </c>
      <c r="F221" s="53"/>
      <c r="G221" s="53">
        <f>12026+369289</f>
        <v>381315</v>
      </c>
      <c r="H221" s="53"/>
      <c r="I221" s="53">
        <v>1144339</v>
      </c>
      <c r="J221" s="53"/>
      <c r="K221" s="53">
        <f t="shared" si="58"/>
        <v>305387</v>
      </c>
      <c r="L221" s="53"/>
      <c r="M221" s="53">
        <v>1069</v>
      </c>
      <c r="N221" s="53"/>
      <c r="O221" s="53">
        <v>306456</v>
      </c>
      <c r="P221" s="53"/>
      <c r="Q221" s="53">
        <v>378332</v>
      </c>
      <c r="R221" s="53"/>
      <c r="S221" s="53">
        <v>0</v>
      </c>
      <c r="T221" s="53"/>
      <c r="U221" s="53">
        <v>459551</v>
      </c>
      <c r="V221" s="53"/>
      <c r="W221" s="53">
        <f t="shared" si="68"/>
        <v>837883</v>
      </c>
      <c r="X221" s="53"/>
      <c r="Y221" s="35" t="s">
        <v>251</v>
      </c>
      <c r="AA221" s="35" t="s">
        <v>66</v>
      </c>
      <c r="AB221" s="35"/>
      <c r="AC221" s="53">
        <v>1034529</v>
      </c>
      <c r="AD221" s="53"/>
      <c r="AE221" s="53">
        <f>962581-32899</f>
        <v>929682</v>
      </c>
      <c r="AF221" s="53"/>
      <c r="AG221" s="53">
        <v>32899</v>
      </c>
      <c r="AH221" s="53"/>
      <c r="AI221" s="45">
        <f t="shared" si="60"/>
        <v>71948</v>
      </c>
      <c r="AJ221" s="45"/>
      <c r="AK221" s="53">
        <v>-20370</v>
      </c>
      <c r="AL221" s="45"/>
      <c r="AM221" s="53">
        <v>0</v>
      </c>
      <c r="AN221" s="53"/>
      <c r="AO221" s="53">
        <v>11250</v>
      </c>
      <c r="AP221" s="53"/>
      <c r="AQ221" s="53">
        <v>0</v>
      </c>
      <c r="AR221" s="53"/>
      <c r="AS221" s="45">
        <f t="shared" si="64"/>
        <v>40328</v>
      </c>
      <c r="AT221" s="45"/>
      <c r="AU221" s="53">
        <v>0</v>
      </c>
      <c r="AV221" s="53"/>
      <c r="AW221" s="53">
        <v>0</v>
      </c>
      <c r="AX221" s="53"/>
      <c r="AY221" s="53">
        <f t="shared" si="65"/>
        <v>457637</v>
      </c>
      <c r="AZ221" s="53"/>
      <c r="BA221" s="35" t="s">
        <v>251</v>
      </c>
      <c r="BC221" s="35" t="s">
        <v>66</v>
      </c>
      <c r="BD221" s="53"/>
      <c r="BE221" s="53">
        <v>0</v>
      </c>
      <c r="BF221" s="53"/>
      <c r="BG221" s="53">
        <v>0</v>
      </c>
      <c r="BH221" s="53"/>
      <c r="BI221" s="53">
        <v>0</v>
      </c>
      <c r="BJ221" s="53"/>
      <c r="BK221" s="53">
        <f>1069+2774</f>
        <v>3843</v>
      </c>
      <c r="BL221" s="53"/>
      <c r="BM221" s="53">
        <f t="shared" si="67"/>
        <v>3843</v>
      </c>
      <c r="BN221" s="54" t="s">
        <v>347</v>
      </c>
      <c r="BR221" s="51"/>
      <c r="BS221" s="53"/>
      <c r="BT221" s="53"/>
      <c r="BU221" s="53"/>
      <c r="BV221" s="53"/>
      <c r="BW221" s="53"/>
      <c r="BX221" s="45"/>
      <c r="BY221" s="45"/>
      <c r="BZ221" s="53"/>
      <c r="CA221" s="53"/>
      <c r="CB221" s="53"/>
      <c r="CC221" s="53"/>
      <c r="CD221" s="53"/>
      <c r="CE221" s="53"/>
      <c r="CF221" s="35"/>
      <c r="CH221" s="35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4"/>
    </row>
    <row r="222" spans="1:105" s="55" customFormat="1" ht="12.75" customHeight="1" x14ac:dyDescent="0.2">
      <c r="A222" s="35" t="s">
        <v>252</v>
      </c>
      <c r="B222" s="51"/>
      <c r="C222" s="35" t="s">
        <v>209</v>
      </c>
      <c r="D222" s="44"/>
      <c r="E222" s="53">
        <f t="shared" si="63"/>
        <v>6522322</v>
      </c>
      <c r="F222" s="53"/>
      <c r="G222" s="53">
        <v>19811318</v>
      </c>
      <c r="H222" s="53"/>
      <c r="I222" s="53">
        <v>26333640</v>
      </c>
      <c r="J222" s="53"/>
      <c r="K222" s="53">
        <f t="shared" si="58"/>
        <v>925455</v>
      </c>
      <c r="L222" s="53"/>
      <c r="M222" s="53">
        <v>5059024</v>
      </c>
      <c r="N222" s="53"/>
      <c r="O222" s="53">
        <v>5984479</v>
      </c>
      <c r="P222" s="53"/>
      <c r="Q222" s="53">
        <v>14333016</v>
      </c>
      <c r="R222" s="53"/>
      <c r="S222" s="53">
        <v>0</v>
      </c>
      <c r="T222" s="53"/>
      <c r="U222" s="53">
        <v>6016145</v>
      </c>
      <c r="V222" s="53"/>
      <c r="W222" s="53">
        <f t="shared" si="68"/>
        <v>20349161</v>
      </c>
      <c r="X222" s="53"/>
      <c r="Y222" s="35" t="s">
        <v>252</v>
      </c>
      <c r="AA222" s="35" t="s">
        <v>209</v>
      </c>
      <c r="AB222" s="35"/>
      <c r="AC222" s="53">
        <v>3473784</v>
      </c>
      <c r="AD222" s="53"/>
      <c r="AE222" s="53">
        <f>3844526-1007265</f>
        <v>2837261</v>
      </c>
      <c r="AF222" s="53"/>
      <c r="AG222" s="53">
        <v>1007265</v>
      </c>
      <c r="AH222" s="53"/>
      <c r="AI222" s="45">
        <f t="shared" si="60"/>
        <v>-370742</v>
      </c>
      <c r="AJ222" s="45"/>
      <c r="AK222" s="53">
        <v>-166318</v>
      </c>
      <c r="AL222" s="45"/>
      <c r="AM222" s="53">
        <v>0</v>
      </c>
      <c r="AN222" s="53"/>
      <c r="AO222" s="53">
        <v>0</v>
      </c>
      <c r="AP222" s="53"/>
      <c r="AQ222" s="53">
        <v>23602</v>
      </c>
      <c r="AR222" s="53"/>
      <c r="AS222" s="45">
        <f t="shared" si="64"/>
        <v>-513458</v>
      </c>
      <c r="AT222" s="45"/>
      <c r="AU222" s="53">
        <v>0</v>
      </c>
      <c r="AV222" s="53"/>
      <c r="AW222" s="53">
        <v>0</v>
      </c>
      <c r="AX222" s="53"/>
      <c r="AY222" s="53">
        <f t="shared" si="65"/>
        <v>5596867</v>
      </c>
      <c r="AZ222" s="53"/>
      <c r="BA222" s="35" t="s">
        <v>252</v>
      </c>
      <c r="BC222" s="35" t="s">
        <v>209</v>
      </c>
      <c r="BD222" s="53"/>
      <c r="BE222" s="53">
        <f>4853176+625126</f>
        <v>5478302</v>
      </c>
      <c r="BF222" s="53"/>
      <c r="BG222" s="53">
        <v>0</v>
      </c>
      <c r="BH222" s="53"/>
      <c r="BI222" s="53">
        <v>0</v>
      </c>
      <c r="BJ222" s="53"/>
      <c r="BK222" s="53">
        <f>205848+120083</f>
        <v>325931</v>
      </c>
      <c r="BL222" s="53"/>
      <c r="BM222" s="53">
        <f t="shared" si="67"/>
        <v>5804233</v>
      </c>
      <c r="BN222" s="54" t="s">
        <v>347</v>
      </c>
      <c r="BO222" s="55" t="s">
        <v>405</v>
      </c>
      <c r="BR222" s="51"/>
      <c r="BS222" s="53"/>
      <c r="BT222" s="53"/>
      <c r="BU222" s="53"/>
      <c r="BV222" s="53"/>
      <c r="BW222" s="53"/>
      <c r="BX222" s="45"/>
      <c r="BY222" s="45"/>
      <c r="BZ222" s="53"/>
      <c r="CA222" s="53"/>
      <c r="CB222" s="53"/>
      <c r="CC222" s="53"/>
      <c r="CD222" s="53"/>
      <c r="CE222" s="53"/>
      <c r="CF222" s="35"/>
      <c r="CH222" s="35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4"/>
    </row>
    <row r="223" spans="1:105" s="55" customFormat="1" ht="12.75" customHeight="1" x14ac:dyDescent="0.2">
      <c r="A223" s="35" t="s">
        <v>253</v>
      </c>
      <c r="B223" s="51"/>
      <c r="C223" s="35" t="s">
        <v>13</v>
      </c>
      <c r="D223" s="44"/>
      <c r="E223" s="53">
        <f t="shared" si="63"/>
        <v>3676500</v>
      </c>
      <c r="F223" s="53"/>
      <c r="G223" s="53">
        <v>32243150</v>
      </c>
      <c r="H223" s="53"/>
      <c r="I223" s="53">
        <v>35919650</v>
      </c>
      <c r="J223" s="53"/>
      <c r="K223" s="53">
        <f t="shared" si="58"/>
        <v>233037</v>
      </c>
      <c r="L223" s="53"/>
      <c r="M223" s="53">
        <v>168810</v>
      </c>
      <c r="N223" s="53"/>
      <c r="O223" s="53">
        <v>401847</v>
      </c>
      <c r="P223" s="53"/>
      <c r="Q223" s="53">
        <v>32243150</v>
      </c>
      <c r="R223" s="53"/>
      <c r="S223" s="53">
        <v>0</v>
      </c>
      <c r="T223" s="53"/>
      <c r="U223" s="53">
        <v>3274653</v>
      </c>
      <c r="V223" s="53"/>
      <c r="W223" s="53">
        <f t="shared" si="68"/>
        <v>35517803</v>
      </c>
      <c r="X223" s="53"/>
      <c r="Y223" s="35" t="s">
        <v>253</v>
      </c>
      <c r="AA223" s="35" t="s">
        <v>13</v>
      </c>
      <c r="AB223" s="35"/>
      <c r="AC223" s="53">
        <v>2963496</v>
      </c>
      <c r="AD223" s="53"/>
      <c r="AE223" s="53">
        <f>3323475-738508</f>
        <v>2584967</v>
      </c>
      <c r="AF223" s="53"/>
      <c r="AG223" s="53">
        <v>738508</v>
      </c>
      <c r="AH223" s="53"/>
      <c r="AI223" s="45">
        <f t="shared" si="60"/>
        <v>-359979</v>
      </c>
      <c r="AJ223" s="45"/>
      <c r="AK223" s="53">
        <v>-519</v>
      </c>
      <c r="AL223" s="45"/>
      <c r="AM223" s="53">
        <v>0</v>
      </c>
      <c r="AN223" s="53"/>
      <c r="AO223" s="53">
        <v>0</v>
      </c>
      <c r="AP223" s="53"/>
      <c r="AQ223" s="53">
        <v>0</v>
      </c>
      <c r="AR223" s="53"/>
      <c r="AS223" s="45">
        <f t="shared" si="64"/>
        <v>-360498</v>
      </c>
      <c r="AT223" s="45"/>
      <c r="AU223" s="53">
        <v>0</v>
      </c>
      <c r="AV223" s="53"/>
      <c r="AW223" s="53">
        <v>0</v>
      </c>
      <c r="AX223" s="53"/>
      <c r="AY223" s="53">
        <f t="shared" si="65"/>
        <v>3443463</v>
      </c>
      <c r="AZ223" s="53"/>
      <c r="BA223" s="35" t="s">
        <v>253</v>
      </c>
      <c r="BC223" s="35" t="s">
        <v>13</v>
      </c>
      <c r="BD223" s="53"/>
      <c r="BE223" s="53">
        <v>0</v>
      </c>
      <c r="BF223" s="53"/>
      <c r="BG223" s="53">
        <v>0</v>
      </c>
      <c r="BH223" s="53"/>
      <c r="BI223" s="53">
        <v>0</v>
      </c>
      <c r="BJ223" s="53"/>
      <c r="BK223" s="53">
        <v>168810</v>
      </c>
      <c r="BL223" s="53"/>
      <c r="BM223" s="53">
        <f>SUM(BE223:BK223)</f>
        <v>168810</v>
      </c>
      <c r="BN223" s="54" t="s">
        <v>347</v>
      </c>
      <c r="BO223" s="35"/>
      <c r="BP223" s="35"/>
      <c r="BQ223" s="35"/>
      <c r="BR223" s="51"/>
      <c r="BS223" s="53"/>
      <c r="BT223" s="53"/>
      <c r="BU223" s="53"/>
      <c r="BV223" s="53"/>
      <c r="BW223" s="45"/>
      <c r="BX223" s="45"/>
      <c r="BY223" s="53"/>
      <c r="BZ223" s="53"/>
      <c r="CA223" s="53"/>
      <c r="CB223" s="53"/>
      <c r="CC223" s="53"/>
      <c r="CD223" s="53"/>
      <c r="CE223" s="53"/>
      <c r="CF223" s="35"/>
      <c r="CH223" s="35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4"/>
      <c r="CT223" s="35"/>
      <c r="CU223" s="35"/>
      <c r="CV223" s="35"/>
      <c r="CW223" s="35"/>
      <c r="CX223" s="35"/>
      <c r="CY223" s="35"/>
      <c r="CZ223" s="35"/>
      <c r="DA223" s="35"/>
    </row>
    <row r="224" spans="1:105" s="140" customFormat="1" ht="12.75" hidden="1" customHeight="1" x14ac:dyDescent="0.2">
      <c r="A224" s="126" t="s">
        <v>254</v>
      </c>
      <c r="B224" s="124"/>
      <c r="C224" s="126" t="s">
        <v>89</v>
      </c>
      <c r="D224" s="121"/>
      <c r="E224" s="53">
        <f t="shared" si="63"/>
        <v>0</v>
      </c>
      <c r="F224" s="53"/>
      <c r="G224" s="53"/>
      <c r="H224" s="53"/>
      <c r="I224" s="53"/>
      <c r="J224" s="53"/>
      <c r="K224" s="53">
        <f t="shared" si="58"/>
        <v>0</v>
      </c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>
        <f t="shared" si="68"/>
        <v>0</v>
      </c>
      <c r="X224" s="137"/>
      <c r="Y224" s="126" t="s">
        <v>254</v>
      </c>
      <c r="AA224" s="126" t="s">
        <v>89</v>
      </c>
      <c r="AB224" s="126"/>
      <c r="AC224" s="53"/>
      <c r="AD224" s="53"/>
      <c r="AE224" s="53"/>
      <c r="AF224" s="53"/>
      <c r="AG224" s="53"/>
      <c r="AH224" s="53"/>
      <c r="AI224" s="45">
        <f t="shared" si="60"/>
        <v>0</v>
      </c>
      <c r="AJ224" s="45"/>
      <c r="AK224" s="53"/>
      <c r="AL224" s="45"/>
      <c r="AM224" s="53"/>
      <c r="AN224" s="53"/>
      <c r="AO224" s="53"/>
      <c r="AP224" s="53"/>
      <c r="AQ224" s="53"/>
      <c r="AR224" s="53"/>
      <c r="AS224" s="45">
        <f t="shared" si="64"/>
        <v>0</v>
      </c>
      <c r="AT224" s="45"/>
      <c r="AU224" s="53">
        <v>0</v>
      </c>
      <c r="AV224" s="53"/>
      <c r="AW224" s="53">
        <v>0</v>
      </c>
      <c r="AX224" s="53"/>
      <c r="AY224" s="53">
        <f t="shared" si="65"/>
        <v>0</v>
      </c>
      <c r="AZ224" s="53"/>
      <c r="BA224" s="126" t="s">
        <v>254</v>
      </c>
      <c r="BC224" s="126" t="s">
        <v>89</v>
      </c>
      <c r="BD224" s="137"/>
      <c r="BE224" s="53"/>
      <c r="BF224" s="53"/>
      <c r="BG224" s="53"/>
      <c r="BH224" s="53"/>
      <c r="BI224" s="53"/>
      <c r="BJ224" s="53"/>
      <c r="BK224" s="53"/>
      <c r="BL224" s="137"/>
      <c r="BM224" s="137">
        <f t="shared" si="67"/>
        <v>0</v>
      </c>
      <c r="BN224" s="139" t="s">
        <v>347</v>
      </c>
      <c r="BO224" s="126"/>
      <c r="BR224" s="124"/>
      <c r="BS224" s="137"/>
      <c r="BT224" s="137"/>
      <c r="BU224" s="137"/>
      <c r="BV224" s="137"/>
      <c r="BW224" s="127"/>
      <c r="BX224" s="127"/>
      <c r="BY224" s="137"/>
      <c r="BZ224" s="137"/>
      <c r="CA224" s="137"/>
      <c r="CB224" s="137"/>
      <c r="CC224" s="137"/>
      <c r="CD224" s="137"/>
      <c r="CE224" s="137"/>
      <c r="CF224" s="126"/>
      <c r="CH224" s="126"/>
      <c r="CI224" s="137"/>
      <c r="CJ224" s="137"/>
      <c r="CK224" s="137"/>
      <c r="CL224" s="137"/>
      <c r="CM224" s="137"/>
      <c r="CN224" s="137"/>
      <c r="CO224" s="137"/>
      <c r="CP224" s="137"/>
      <c r="CQ224" s="137"/>
      <c r="CR224" s="137"/>
      <c r="CS224" s="139"/>
      <c r="CT224" s="126"/>
    </row>
    <row r="225" spans="1:97" s="55" customFormat="1" ht="12.75" customHeight="1" x14ac:dyDescent="0.2">
      <c r="A225" s="35" t="s">
        <v>159</v>
      </c>
      <c r="C225" s="35" t="s">
        <v>66</v>
      </c>
      <c r="D225" s="44"/>
      <c r="E225" s="53">
        <f t="shared" si="63"/>
        <v>281439</v>
      </c>
      <c r="F225" s="53"/>
      <c r="G225" s="53">
        <v>5270772</v>
      </c>
      <c r="H225" s="53"/>
      <c r="I225" s="53">
        <v>5552211</v>
      </c>
      <c r="J225" s="53"/>
      <c r="K225" s="53">
        <f t="shared" si="58"/>
        <v>741697</v>
      </c>
      <c r="L225" s="53"/>
      <c r="M225" s="53">
        <v>670744</v>
      </c>
      <c r="N225" s="53"/>
      <c r="O225" s="53">
        <v>1412441</v>
      </c>
      <c r="P225" s="53"/>
      <c r="Q225" s="53">
        <v>3913702</v>
      </c>
      <c r="R225" s="53"/>
      <c r="S225" s="53">
        <v>0</v>
      </c>
      <c r="T225" s="53"/>
      <c r="U225" s="53">
        <v>226068</v>
      </c>
      <c r="V225" s="53"/>
      <c r="W225" s="53">
        <f t="shared" si="68"/>
        <v>4139770</v>
      </c>
      <c r="X225" s="53"/>
      <c r="Y225" s="35" t="s">
        <v>159</v>
      </c>
      <c r="AA225" s="35" t="s">
        <v>66</v>
      </c>
      <c r="AB225" s="35"/>
      <c r="AC225" s="53">
        <v>691133</v>
      </c>
      <c r="AD225" s="53"/>
      <c r="AE225" s="53">
        <f>803427-209611</f>
        <v>593816</v>
      </c>
      <c r="AF225" s="53"/>
      <c r="AG225" s="53">
        <v>209611</v>
      </c>
      <c r="AH225" s="53"/>
      <c r="AI225" s="45">
        <f t="shared" si="60"/>
        <v>-112294</v>
      </c>
      <c r="AJ225" s="45"/>
      <c r="AK225" s="53">
        <v>131464</v>
      </c>
      <c r="AL225" s="45"/>
      <c r="AM225" s="53">
        <v>0</v>
      </c>
      <c r="AN225" s="53"/>
      <c r="AO225" s="53">
        <v>0</v>
      </c>
      <c r="AP225" s="53"/>
      <c r="AQ225" s="53">
        <v>0</v>
      </c>
      <c r="AR225" s="53"/>
      <c r="AS225" s="45">
        <f t="shared" si="64"/>
        <v>19170</v>
      </c>
      <c r="AT225" s="45"/>
      <c r="AU225" s="53">
        <v>0</v>
      </c>
      <c r="AV225" s="53"/>
      <c r="AW225" s="53">
        <v>0</v>
      </c>
      <c r="AX225" s="53"/>
      <c r="AY225" s="53">
        <f t="shared" si="65"/>
        <v>-460258</v>
      </c>
      <c r="AZ225" s="53"/>
      <c r="BA225" s="35" t="s">
        <v>159</v>
      </c>
      <c r="BC225" s="35" t="s">
        <v>66</v>
      </c>
      <c r="BD225" s="53"/>
      <c r="BE225" s="53">
        <v>0</v>
      </c>
      <c r="BF225" s="53"/>
      <c r="BG225" s="53">
        <v>0</v>
      </c>
      <c r="BH225" s="53"/>
      <c r="BI225" s="53">
        <f>615569+23311</f>
        <v>638880</v>
      </c>
      <c r="BJ225" s="53"/>
      <c r="BK225" s="53">
        <f>21771+33404+949+5099</f>
        <v>61223</v>
      </c>
      <c r="BL225" s="53"/>
      <c r="BM225" s="53">
        <f>SUM(BE225:BK225)</f>
        <v>700103</v>
      </c>
      <c r="BN225" s="54" t="s">
        <v>347</v>
      </c>
      <c r="BR225" s="51"/>
      <c r="BS225" s="53"/>
      <c r="BT225" s="53"/>
      <c r="BU225" s="53"/>
      <c r="BV225" s="53"/>
      <c r="BW225" s="53"/>
      <c r="BX225" s="45"/>
      <c r="BY225" s="45"/>
      <c r="BZ225" s="53"/>
      <c r="CA225" s="53"/>
      <c r="CB225" s="53"/>
      <c r="CC225" s="53"/>
      <c r="CD225" s="53"/>
      <c r="CE225" s="53"/>
      <c r="CF225" s="35"/>
      <c r="CH225" s="35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4"/>
    </row>
    <row r="226" spans="1:97" s="140" customFormat="1" ht="12.75" hidden="1" customHeight="1" x14ac:dyDescent="0.2">
      <c r="A226" s="126" t="s">
        <v>255</v>
      </c>
      <c r="B226" s="124"/>
      <c r="C226" s="126" t="s">
        <v>27</v>
      </c>
      <c r="D226" s="121"/>
      <c r="E226" s="53">
        <f t="shared" si="63"/>
        <v>0</v>
      </c>
      <c r="F226" s="53"/>
      <c r="G226" s="53"/>
      <c r="H226" s="53"/>
      <c r="I226" s="53"/>
      <c r="J226" s="53"/>
      <c r="K226" s="53">
        <f t="shared" si="58"/>
        <v>0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>
        <f t="shared" si="68"/>
        <v>0</v>
      </c>
      <c r="X226" s="137"/>
      <c r="Y226" s="126" t="s">
        <v>255</v>
      </c>
      <c r="AA226" s="126" t="s">
        <v>27</v>
      </c>
      <c r="AB226" s="126"/>
      <c r="AC226" s="53"/>
      <c r="AD226" s="53"/>
      <c r="AE226" s="53"/>
      <c r="AF226" s="53"/>
      <c r="AG226" s="53"/>
      <c r="AH226" s="53"/>
      <c r="AI226" s="45">
        <f t="shared" si="60"/>
        <v>0</v>
      </c>
      <c r="AJ226" s="45"/>
      <c r="AK226" s="53"/>
      <c r="AL226" s="45"/>
      <c r="AM226" s="53"/>
      <c r="AN226" s="53"/>
      <c r="AO226" s="53"/>
      <c r="AP226" s="53"/>
      <c r="AQ226" s="53"/>
      <c r="AR226" s="53"/>
      <c r="AS226" s="45">
        <f t="shared" si="64"/>
        <v>0</v>
      </c>
      <c r="AT226" s="45"/>
      <c r="AU226" s="53">
        <v>0</v>
      </c>
      <c r="AV226" s="53"/>
      <c r="AW226" s="53">
        <v>0</v>
      </c>
      <c r="AX226" s="53"/>
      <c r="AY226" s="53">
        <f t="shared" si="65"/>
        <v>0</v>
      </c>
      <c r="AZ226" s="53"/>
      <c r="BA226" s="126" t="s">
        <v>255</v>
      </c>
      <c r="BC226" s="126" t="s">
        <v>27</v>
      </c>
      <c r="BD226" s="137"/>
      <c r="BE226" s="53"/>
      <c r="BF226" s="53"/>
      <c r="BG226" s="53"/>
      <c r="BH226" s="53"/>
      <c r="BI226" s="53"/>
      <c r="BJ226" s="53"/>
      <c r="BK226" s="53"/>
      <c r="BL226" s="137"/>
      <c r="BM226" s="137">
        <f t="shared" si="67"/>
        <v>0</v>
      </c>
      <c r="BN226" s="139" t="s">
        <v>347</v>
      </c>
      <c r="BR226" s="124"/>
      <c r="BS226" s="137"/>
      <c r="BT226" s="137"/>
      <c r="BU226" s="137"/>
      <c r="BV226" s="137"/>
      <c r="BW226" s="137"/>
      <c r="BX226" s="127"/>
      <c r="BY226" s="127"/>
      <c r="BZ226" s="137"/>
      <c r="CA226" s="137"/>
      <c r="CB226" s="137"/>
      <c r="CC226" s="137"/>
      <c r="CD226" s="137"/>
      <c r="CE226" s="137"/>
      <c r="CF226" s="126"/>
      <c r="CH226" s="126"/>
      <c r="CI226" s="137"/>
      <c r="CJ226" s="137"/>
      <c r="CK226" s="137"/>
      <c r="CL226" s="137"/>
      <c r="CM226" s="137"/>
      <c r="CN226" s="137"/>
      <c r="CO226" s="137"/>
      <c r="CP226" s="137"/>
      <c r="CQ226" s="137"/>
      <c r="CR226" s="137"/>
      <c r="CS226" s="139"/>
    </row>
    <row r="227" spans="1:97" s="55" customFormat="1" ht="12.75" customHeight="1" x14ac:dyDescent="0.2">
      <c r="A227" s="35" t="s">
        <v>256</v>
      </c>
      <c r="C227" s="35" t="s">
        <v>43</v>
      </c>
      <c r="D227" s="44"/>
      <c r="E227" s="53">
        <f t="shared" si="63"/>
        <v>441291</v>
      </c>
      <c r="F227" s="53"/>
      <c r="G227" s="53">
        <v>4919856</v>
      </c>
      <c r="H227" s="53"/>
      <c r="I227" s="53">
        <v>5361147</v>
      </c>
      <c r="J227" s="53"/>
      <c r="K227" s="53">
        <f t="shared" si="58"/>
        <v>179639</v>
      </c>
      <c r="L227" s="53"/>
      <c r="M227" s="53">
        <v>378502</v>
      </c>
      <c r="N227" s="53"/>
      <c r="O227" s="53">
        <v>558141</v>
      </c>
      <c r="P227" s="53"/>
      <c r="Q227" s="53">
        <v>4386349</v>
      </c>
      <c r="R227" s="53"/>
      <c r="S227" s="53">
        <v>0</v>
      </c>
      <c r="T227" s="53"/>
      <c r="U227" s="53">
        <v>416657</v>
      </c>
      <c r="V227" s="53"/>
      <c r="W227" s="53">
        <f t="shared" si="68"/>
        <v>4803006</v>
      </c>
      <c r="X227" s="53"/>
      <c r="Y227" s="35" t="s">
        <v>256</v>
      </c>
      <c r="AA227" s="35" t="s">
        <v>43</v>
      </c>
      <c r="AB227" s="35"/>
      <c r="AC227" s="53">
        <v>791375</v>
      </c>
      <c r="AD227" s="53"/>
      <c r="AE227" s="53">
        <f>655787-220684</f>
        <v>435103</v>
      </c>
      <c r="AF227" s="53"/>
      <c r="AG227" s="53">
        <v>220684</v>
      </c>
      <c r="AH227" s="53"/>
      <c r="AI227" s="45">
        <f t="shared" si="60"/>
        <v>135588</v>
      </c>
      <c r="AJ227" s="45"/>
      <c r="AK227" s="53">
        <v>-24418</v>
      </c>
      <c r="AL227" s="45"/>
      <c r="AM227" s="53">
        <v>0</v>
      </c>
      <c r="AN227" s="53"/>
      <c r="AO227" s="53">
        <v>0</v>
      </c>
      <c r="AP227" s="53"/>
      <c r="AQ227" s="53">
        <v>699390</v>
      </c>
      <c r="AR227" s="53"/>
      <c r="AS227" s="45">
        <f t="shared" si="64"/>
        <v>810560</v>
      </c>
      <c r="AT227" s="45"/>
      <c r="AU227" s="53">
        <v>0</v>
      </c>
      <c r="AV227" s="53"/>
      <c r="AW227" s="53">
        <v>0</v>
      </c>
      <c r="AX227" s="53"/>
      <c r="AY227" s="53">
        <f t="shared" si="65"/>
        <v>261652</v>
      </c>
      <c r="AZ227" s="53"/>
      <c r="BA227" s="35" t="s">
        <v>256</v>
      </c>
      <c r="BC227" s="35" t="s">
        <v>43</v>
      </c>
      <c r="BD227" s="53"/>
      <c r="BE227" s="53">
        <v>0</v>
      </c>
      <c r="BF227" s="53"/>
      <c r="BG227" s="53">
        <v>0</v>
      </c>
      <c r="BH227" s="53"/>
      <c r="BI227" s="53">
        <f>377639+155868</f>
        <v>533507</v>
      </c>
      <c r="BJ227" s="53"/>
      <c r="BK227" s="53">
        <f>863+8450</f>
        <v>9313</v>
      </c>
      <c r="BL227" s="53"/>
      <c r="BM227" s="53">
        <f>SUM(BE227:BK227)</f>
        <v>542820</v>
      </c>
      <c r="BN227" s="54" t="s">
        <v>347</v>
      </c>
      <c r="BR227" s="51"/>
      <c r="BS227" s="53"/>
      <c r="BT227" s="53"/>
      <c r="BU227" s="53"/>
      <c r="BV227" s="53"/>
      <c r="BW227" s="53"/>
      <c r="BX227" s="45"/>
      <c r="BY227" s="45"/>
      <c r="BZ227" s="53"/>
      <c r="CA227" s="53"/>
      <c r="CB227" s="53"/>
      <c r="CC227" s="53"/>
      <c r="CD227" s="53"/>
      <c r="CE227" s="53"/>
      <c r="CF227" s="35"/>
      <c r="CH227" s="35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4"/>
    </row>
    <row r="228" spans="1:97" s="55" customFormat="1" ht="12.75" customHeight="1" x14ac:dyDescent="0.2">
      <c r="A228" s="35" t="s">
        <v>257</v>
      </c>
      <c r="B228" s="51"/>
      <c r="C228" s="35" t="s">
        <v>258</v>
      </c>
      <c r="D228" s="44"/>
      <c r="E228" s="53">
        <f t="shared" si="63"/>
        <v>352747</v>
      </c>
      <c r="F228" s="53"/>
      <c r="G228" s="53">
        <v>9191848</v>
      </c>
      <c r="H228" s="53"/>
      <c r="I228" s="53">
        <v>9544595</v>
      </c>
      <c r="J228" s="53"/>
      <c r="K228" s="53">
        <f t="shared" si="58"/>
        <v>115809</v>
      </c>
      <c r="L228" s="53"/>
      <c r="M228" s="53">
        <v>181925</v>
      </c>
      <c r="N228" s="53"/>
      <c r="O228" s="53">
        <v>297734</v>
      </c>
      <c r="P228" s="53"/>
      <c r="Q228" s="53">
        <v>8948116</v>
      </c>
      <c r="R228" s="53"/>
      <c r="S228" s="53">
        <v>0</v>
      </c>
      <c r="T228" s="53"/>
      <c r="U228" s="53">
        <v>298745</v>
      </c>
      <c r="V228" s="53"/>
      <c r="W228" s="53">
        <f t="shared" si="68"/>
        <v>9246861</v>
      </c>
      <c r="X228" s="53"/>
      <c r="Y228" s="35" t="s">
        <v>257</v>
      </c>
      <c r="AA228" s="35" t="s">
        <v>258</v>
      </c>
      <c r="AB228" s="35"/>
      <c r="AC228" s="53">
        <v>1091845</v>
      </c>
      <c r="AD228" s="53"/>
      <c r="AE228" s="53">
        <f>437991-80633</f>
        <v>357358</v>
      </c>
      <c r="AF228" s="53"/>
      <c r="AG228" s="53">
        <v>80633</v>
      </c>
      <c r="AH228" s="53"/>
      <c r="AI228" s="45">
        <f t="shared" si="60"/>
        <v>653854</v>
      </c>
      <c r="AJ228" s="45"/>
      <c r="AK228" s="53">
        <v>-1885</v>
      </c>
      <c r="AL228" s="45"/>
      <c r="AM228" s="53">
        <v>0</v>
      </c>
      <c r="AN228" s="53"/>
      <c r="AO228" s="53">
        <v>170961</v>
      </c>
      <c r="AP228" s="53"/>
      <c r="AQ228" s="53">
        <v>0</v>
      </c>
      <c r="AR228" s="53"/>
      <c r="AS228" s="45">
        <f t="shared" si="64"/>
        <v>481008</v>
      </c>
      <c r="AT228" s="45"/>
      <c r="AU228" s="53">
        <v>0</v>
      </c>
      <c r="AV228" s="53"/>
      <c r="AW228" s="53">
        <v>0</v>
      </c>
      <c r="AX228" s="53"/>
      <c r="AY228" s="53">
        <f t="shared" si="65"/>
        <v>236938</v>
      </c>
      <c r="AZ228" s="53"/>
      <c r="BA228" s="35" t="s">
        <v>257</v>
      </c>
      <c r="BC228" s="35" t="s">
        <v>258</v>
      </c>
      <c r="BD228" s="53"/>
      <c r="BE228" s="53">
        <v>0</v>
      </c>
      <c r="BF228" s="53"/>
      <c r="BG228" s="53">
        <v>0</v>
      </c>
      <c r="BH228" s="53"/>
      <c r="BI228" s="53">
        <f>114721+30021</f>
        <v>144742</v>
      </c>
      <c r="BJ228" s="53"/>
      <c r="BK228" s="53">
        <f>67204+31786</f>
        <v>98990</v>
      </c>
      <c r="BL228" s="53"/>
      <c r="BM228" s="53">
        <f t="shared" si="67"/>
        <v>243732</v>
      </c>
      <c r="BN228" s="54" t="s">
        <v>347</v>
      </c>
      <c r="BR228" s="51"/>
      <c r="BS228" s="53"/>
      <c r="BT228" s="53"/>
      <c r="BU228" s="53"/>
      <c r="BV228" s="53"/>
      <c r="BW228" s="53"/>
      <c r="BX228" s="45"/>
      <c r="BY228" s="45"/>
      <c r="BZ228" s="53"/>
      <c r="CA228" s="53"/>
      <c r="CB228" s="53"/>
      <c r="CC228" s="53"/>
      <c r="CD228" s="53"/>
      <c r="CE228" s="53"/>
      <c r="CF228" s="35"/>
      <c r="CH228" s="35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4"/>
    </row>
    <row r="229" spans="1:97" s="55" customFormat="1" ht="12.75" customHeight="1" x14ac:dyDescent="0.2">
      <c r="A229" s="35" t="s">
        <v>259</v>
      </c>
      <c r="B229" s="51"/>
      <c r="C229" s="35" t="s">
        <v>369</v>
      </c>
      <c r="D229" s="44"/>
      <c r="E229" s="53">
        <f t="shared" si="63"/>
        <v>649595</v>
      </c>
      <c r="F229" s="53"/>
      <c r="G229" s="53">
        <v>5727559</v>
      </c>
      <c r="H229" s="53"/>
      <c r="I229" s="53">
        <v>6377154</v>
      </c>
      <c r="J229" s="53"/>
      <c r="K229" s="53">
        <f t="shared" si="58"/>
        <v>874150</v>
      </c>
      <c r="L229" s="53"/>
      <c r="M229" s="53">
        <v>3365319</v>
      </c>
      <c r="N229" s="53"/>
      <c r="O229" s="53">
        <v>4239469</v>
      </c>
      <c r="P229" s="53"/>
      <c r="Q229" s="53">
        <v>1818245</v>
      </c>
      <c r="R229" s="53"/>
      <c r="S229" s="53">
        <v>0</v>
      </c>
      <c r="T229" s="53"/>
      <c r="U229" s="53">
        <v>319440</v>
      </c>
      <c r="V229" s="53"/>
      <c r="W229" s="53">
        <f t="shared" si="68"/>
        <v>2137685</v>
      </c>
      <c r="X229" s="53"/>
      <c r="Y229" s="35" t="s">
        <v>259</v>
      </c>
      <c r="AA229" s="35" t="s">
        <v>369</v>
      </c>
      <c r="AB229" s="35"/>
      <c r="AC229" s="53">
        <v>2511104</v>
      </c>
      <c r="AD229" s="53"/>
      <c r="AE229" s="53">
        <f>1616757-176081</f>
        <v>1440676</v>
      </c>
      <c r="AF229" s="53"/>
      <c r="AG229" s="53">
        <v>176081</v>
      </c>
      <c r="AH229" s="53"/>
      <c r="AI229" s="45">
        <f t="shared" si="60"/>
        <v>894347</v>
      </c>
      <c r="AJ229" s="45"/>
      <c r="AK229" s="53">
        <v>-158610</v>
      </c>
      <c r="AL229" s="45"/>
      <c r="AM229" s="53">
        <v>0</v>
      </c>
      <c r="AN229" s="53"/>
      <c r="AO229" s="53">
        <v>0</v>
      </c>
      <c r="AP229" s="53"/>
      <c r="AQ229" s="53">
        <v>0</v>
      </c>
      <c r="AR229" s="53"/>
      <c r="AS229" s="45">
        <f t="shared" si="64"/>
        <v>735737</v>
      </c>
      <c r="AT229" s="45"/>
      <c r="AU229" s="53">
        <v>0</v>
      </c>
      <c r="AV229" s="53"/>
      <c r="AW229" s="53">
        <v>0</v>
      </c>
      <c r="AX229" s="53"/>
      <c r="AY229" s="53">
        <f t="shared" si="65"/>
        <v>-224555</v>
      </c>
      <c r="AZ229" s="53"/>
      <c r="BA229" s="35" t="s">
        <v>259</v>
      </c>
      <c r="BC229" s="35" t="s">
        <v>369</v>
      </c>
      <c r="BD229" s="53"/>
      <c r="BE229" s="53">
        <f>474494+19105</f>
        <v>493599</v>
      </c>
      <c r="BF229" s="53"/>
      <c r="BG229" s="53">
        <v>0</v>
      </c>
      <c r="BH229" s="53"/>
      <c r="BI229" s="53">
        <f>2852533+563062</f>
        <v>3415595</v>
      </c>
      <c r="BJ229" s="53"/>
      <c r="BK229" s="53">
        <f>38292+45467</f>
        <v>83759</v>
      </c>
      <c r="BL229" s="53"/>
      <c r="BM229" s="53">
        <f t="shared" si="67"/>
        <v>3992953</v>
      </c>
      <c r="BN229" s="54" t="s">
        <v>347</v>
      </c>
      <c r="BO229" s="55" t="s">
        <v>405</v>
      </c>
      <c r="BR229" s="51"/>
      <c r="BS229" s="53"/>
      <c r="BT229" s="53"/>
      <c r="BU229" s="53"/>
      <c r="BV229" s="53"/>
      <c r="BW229" s="45"/>
      <c r="BX229" s="45"/>
      <c r="BY229" s="53"/>
      <c r="BZ229" s="53"/>
      <c r="CA229" s="53"/>
      <c r="CB229" s="53"/>
      <c r="CC229" s="53"/>
      <c r="CD229" s="53"/>
      <c r="CE229" s="53"/>
      <c r="CF229" s="35"/>
      <c r="CH229" s="35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4"/>
    </row>
    <row r="230" spans="1:97" s="55" customFormat="1" ht="12.75" customHeight="1" x14ac:dyDescent="0.2">
      <c r="A230" s="35" t="s">
        <v>261</v>
      </c>
      <c r="B230" s="51"/>
      <c r="C230" s="35" t="s">
        <v>66</v>
      </c>
      <c r="D230" s="44"/>
      <c r="E230" s="53">
        <f t="shared" si="63"/>
        <v>673691</v>
      </c>
      <c r="F230" s="53"/>
      <c r="G230" s="53">
        <v>17719420</v>
      </c>
      <c r="H230" s="53"/>
      <c r="I230" s="53">
        <v>18393111</v>
      </c>
      <c r="J230" s="53"/>
      <c r="K230" s="53">
        <f t="shared" si="58"/>
        <v>139298</v>
      </c>
      <c r="L230" s="53"/>
      <c r="M230" s="53">
        <v>27065</v>
      </c>
      <c r="N230" s="53"/>
      <c r="O230" s="53">
        <v>166363</v>
      </c>
      <c r="P230" s="53"/>
      <c r="Q230" s="53">
        <v>9399372</v>
      </c>
      <c r="R230" s="53"/>
      <c r="S230" s="53">
        <v>0</v>
      </c>
      <c r="T230" s="53"/>
      <c r="U230" s="53">
        <v>8827376</v>
      </c>
      <c r="V230" s="53"/>
      <c r="W230" s="53">
        <f t="shared" si="68"/>
        <v>18226748</v>
      </c>
      <c r="X230" s="53"/>
      <c r="Y230" s="35" t="s">
        <v>261</v>
      </c>
      <c r="AA230" s="35" t="s">
        <v>66</v>
      </c>
      <c r="AB230" s="35"/>
      <c r="AC230" s="53">
        <v>1379668</v>
      </c>
      <c r="AD230" s="53"/>
      <c r="AE230" s="53">
        <f>1506805-243870</f>
        <v>1262935</v>
      </c>
      <c r="AF230" s="53"/>
      <c r="AG230" s="53">
        <v>243870</v>
      </c>
      <c r="AH230" s="53"/>
      <c r="AI230" s="45">
        <f t="shared" si="60"/>
        <v>-127137</v>
      </c>
      <c r="AJ230" s="45"/>
      <c r="AK230" s="53">
        <v>-236365</v>
      </c>
      <c r="AL230" s="45"/>
      <c r="AM230" s="53">
        <v>0</v>
      </c>
      <c r="AN230" s="53"/>
      <c r="AO230" s="53">
        <v>0</v>
      </c>
      <c r="AP230" s="53"/>
      <c r="AQ230" s="53">
        <v>321997</v>
      </c>
      <c r="AR230" s="53"/>
      <c r="AS230" s="45">
        <f t="shared" si="64"/>
        <v>-41505</v>
      </c>
      <c r="AT230" s="45"/>
      <c r="AU230" s="53">
        <v>0</v>
      </c>
      <c r="AV230" s="53"/>
      <c r="AW230" s="53">
        <v>0</v>
      </c>
      <c r="AX230" s="53"/>
      <c r="AY230" s="53">
        <f t="shared" si="65"/>
        <v>534393</v>
      </c>
      <c r="AZ230" s="53"/>
      <c r="BA230" s="35" t="s">
        <v>261</v>
      </c>
      <c r="BC230" s="35" t="s">
        <v>66</v>
      </c>
      <c r="BD230" s="53"/>
      <c r="BE230" s="53">
        <v>0</v>
      </c>
      <c r="BF230" s="53"/>
      <c r="BG230" s="53">
        <v>0</v>
      </c>
      <c r="BH230" s="53"/>
      <c r="BI230" s="53">
        <v>0</v>
      </c>
      <c r="BJ230" s="53"/>
      <c r="BK230" s="53">
        <f>27065+33901</f>
        <v>60966</v>
      </c>
      <c r="BL230" s="53"/>
      <c r="BM230" s="53">
        <f t="shared" si="67"/>
        <v>60966</v>
      </c>
      <c r="BN230" s="54" t="s">
        <v>347</v>
      </c>
      <c r="BR230" s="51"/>
      <c r="BS230" s="53"/>
      <c r="BT230" s="53"/>
      <c r="BU230" s="53"/>
      <c r="BV230" s="53"/>
      <c r="BW230" s="53"/>
      <c r="BX230" s="45"/>
      <c r="BY230" s="45"/>
      <c r="BZ230" s="53"/>
      <c r="CA230" s="53"/>
      <c r="CB230" s="53"/>
      <c r="CC230" s="53"/>
      <c r="CD230" s="53"/>
      <c r="CE230" s="53"/>
      <c r="CF230" s="35"/>
      <c r="CH230" s="35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4"/>
    </row>
    <row r="231" spans="1:97" s="55" customFormat="1" ht="12.75" customHeight="1" x14ac:dyDescent="0.2">
      <c r="A231" s="35" t="s">
        <v>262</v>
      </c>
      <c r="C231" s="35" t="s">
        <v>132</v>
      </c>
      <c r="D231" s="44"/>
      <c r="E231" s="53">
        <f t="shared" si="63"/>
        <v>4334190</v>
      </c>
      <c r="F231" s="53"/>
      <c r="G231" s="53">
        <v>5641209</v>
      </c>
      <c r="H231" s="53"/>
      <c r="I231" s="53">
        <v>9975399</v>
      </c>
      <c r="J231" s="53"/>
      <c r="K231" s="53">
        <f t="shared" si="58"/>
        <v>1012766</v>
      </c>
      <c r="L231" s="53"/>
      <c r="M231" s="53">
        <v>7560876</v>
      </c>
      <c r="N231" s="53"/>
      <c r="O231" s="53">
        <v>8573642</v>
      </c>
      <c r="P231" s="53"/>
      <c r="Q231" s="53">
        <v>-1385314</v>
      </c>
      <c r="R231" s="53"/>
      <c r="S231" s="53">
        <v>0</v>
      </c>
      <c r="T231" s="53"/>
      <c r="U231" s="53">
        <v>2787071</v>
      </c>
      <c r="V231" s="53"/>
      <c r="W231" s="53">
        <f t="shared" ref="W231:W233" si="69">SUM(Q231:U231)</f>
        <v>1401757</v>
      </c>
      <c r="X231" s="53"/>
      <c r="Y231" s="35" t="s">
        <v>262</v>
      </c>
      <c r="AA231" s="35" t="s">
        <v>132</v>
      </c>
      <c r="AB231" s="35"/>
      <c r="AC231" s="53">
        <v>2071215</v>
      </c>
      <c r="AD231" s="53"/>
      <c r="AE231" s="53">
        <v>1593920</v>
      </c>
      <c r="AF231" s="53"/>
      <c r="AG231" s="53">
        <v>0</v>
      </c>
      <c r="AH231" s="53"/>
      <c r="AI231" s="45">
        <f t="shared" si="60"/>
        <v>477295</v>
      </c>
      <c r="AJ231" s="45"/>
      <c r="AK231" s="53">
        <v>2227329</v>
      </c>
      <c r="AL231" s="45"/>
      <c r="AM231" s="53">
        <v>14534</v>
      </c>
      <c r="AN231" s="53"/>
      <c r="AO231" s="53">
        <v>0</v>
      </c>
      <c r="AP231" s="53"/>
      <c r="AQ231" s="53">
        <v>0</v>
      </c>
      <c r="AR231" s="53"/>
      <c r="AS231" s="45">
        <f t="shared" ref="AS231:AS233" si="70">+AI231+AK231+AM231-AO231+AQ231</f>
        <v>2719158</v>
      </c>
      <c r="AT231" s="45"/>
      <c r="AU231" s="53">
        <v>0</v>
      </c>
      <c r="AV231" s="53"/>
      <c r="AW231" s="53">
        <v>0</v>
      </c>
      <c r="AX231" s="53"/>
      <c r="AY231" s="53">
        <f>+E231-K231</f>
        <v>3321424</v>
      </c>
      <c r="AZ231" s="53"/>
      <c r="BA231" s="35" t="s">
        <v>262</v>
      </c>
      <c r="BC231" s="35" t="s">
        <v>132</v>
      </c>
      <c r="BD231" s="53"/>
      <c r="BE231" s="53">
        <f>2936020+169575</f>
        <v>3105595</v>
      </c>
      <c r="BF231" s="53"/>
      <c r="BG231" s="53">
        <v>0</v>
      </c>
      <c r="BH231" s="53"/>
      <c r="BI231" s="53">
        <f>1080206+777318+121903+67445</f>
        <v>2046872</v>
      </c>
      <c r="BJ231" s="53"/>
      <c r="BK231" s="53">
        <f>71352+2695980+100925+29102</f>
        <v>2897359</v>
      </c>
      <c r="BL231" s="53"/>
      <c r="BM231" s="53">
        <f t="shared" ref="BM231:BM233" si="71">SUM(BE231:BK231)</f>
        <v>8049826</v>
      </c>
      <c r="BN231" s="54" t="s">
        <v>347</v>
      </c>
      <c r="BO231" s="55" t="s">
        <v>410</v>
      </c>
      <c r="BR231" s="51"/>
      <c r="BS231" s="53"/>
      <c r="BT231" s="53"/>
      <c r="BU231" s="53"/>
      <c r="BV231" s="53"/>
      <c r="BW231" s="53"/>
      <c r="BX231" s="45"/>
      <c r="BY231" s="45"/>
      <c r="BZ231" s="53"/>
      <c r="CA231" s="53"/>
      <c r="CB231" s="53"/>
      <c r="CC231" s="53"/>
      <c r="CD231" s="53"/>
      <c r="CE231" s="53"/>
      <c r="CF231" s="35"/>
      <c r="CH231" s="35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4"/>
    </row>
    <row r="232" spans="1:97" s="55" customFormat="1" ht="12.75" hidden="1" customHeight="1" x14ac:dyDescent="0.2">
      <c r="A232" s="44" t="s">
        <v>511</v>
      </c>
      <c r="B232" s="47"/>
      <c r="C232" s="44" t="s">
        <v>45</v>
      </c>
      <c r="D232" s="44"/>
      <c r="E232" s="53">
        <f t="shared" si="63"/>
        <v>0</v>
      </c>
      <c r="F232" s="53"/>
      <c r="G232" s="53"/>
      <c r="H232" s="53"/>
      <c r="I232" s="53"/>
      <c r="J232" s="53"/>
      <c r="K232" s="53">
        <f t="shared" si="58"/>
        <v>0</v>
      </c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>
        <f t="shared" si="69"/>
        <v>0</v>
      </c>
      <c r="X232" s="53"/>
      <c r="Y232" s="44" t="s">
        <v>512</v>
      </c>
      <c r="Z232" s="47"/>
      <c r="AA232" s="44" t="s">
        <v>45</v>
      </c>
      <c r="AB232" s="35"/>
      <c r="AC232" s="53"/>
      <c r="AD232" s="53"/>
      <c r="AE232" s="53"/>
      <c r="AF232" s="53"/>
      <c r="AG232" s="53"/>
      <c r="AH232" s="53"/>
      <c r="AI232" s="45">
        <f t="shared" si="60"/>
        <v>0</v>
      </c>
      <c r="AJ232" s="45"/>
      <c r="AK232" s="53"/>
      <c r="AL232" s="45"/>
      <c r="AM232" s="53"/>
      <c r="AN232" s="53"/>
      <c r="AO232" s="53"/>
      <c r="AP232" s="53"/>
      <c r="AQ232" s="53"/>
      <c r="AR232" s="53"/>
      <c r="AS232" s="45">
        <f t="shared" si="70"/>
        <v>0</v>
      </c>
      <c r="AT232" s="45"/>
      <c r="AU232" s="53"/>
      <c r="AV232" s="53"/>
      <c r="AW232" s="53"/>
      <c r="AX232" s="53"/>
      <c r="AY232" s="53">
        <f>+E232-K232</f>
        <v>0</v>
      </c>
      <c r="AZ232" s="53"/>
      <c r="BA232" s="44" t="s">
        <v>512</v>
      </c>
      <c r="BB232" s="47"/>
      <c r="BC232" s="44" t="s">
        <v>45</v>
      </c>
      <c r="BD232" s="53"/>
      <c r="BE232" s="53"/>
      <c r="BF232" s="53"/>
      <c r="BG232" s="53"/>
      <c r="BH232" s="53"/>
      <c r="BI232" s="53"/>
      <c r="BJ232" s="53"/>
      <c r="BK232" s="53"/>
      <c r="BL232" s="53"/>
      <c r="BM232" s="53">
        <f t="shared" si="71"/>
        <v>0</v>
      </c>
      <c r="BN232" s="54"/>
      <c r="BR232" s="51"/>
      <c r="BS232" s="53"/>
      <c r="BT232" s="53"/>
      <c r="BU232" s="53"/>
      <c r="BV232" s="53"/>
      <c r="BW232" s="53"/>
      <c r="BX232" s="45"/>
      <c r="BY232" s="45"/>
      <c r="BZ232" s="53"/>
      <c r="CA232" s="53"/>
      <c r="CB232" s="53"/>
      <c r="CC232" s="53"/>
      <c r="CD232" s="53"/>
      <c r="CE232" s="53"/>
      <c r="CF232" s="35"/>
      <c r="CH232" s="35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4"/>
    </row>
    <row r="233" spans="1:97" s="55" customFormat="1" ht="12.75" customHeight="1" x14ac:dyDescent="0.2">
      <c r="A233" s="35" t="s">
        <v>263</v>
      </c>
      <c r="B233" s="51"/>
      <c r="C233" s="35" t="s">
        <v>53</v>
      </c>
      <c r="D233" s="44"/>
      <c r="E233" s="53">
        <f t="shared" si="63"/>
        <v>3704854</v>
      </c>
      <c r="F233" s="53"/>
      <c r="G233" s="53">
        <v>28157596</v>
      </c>
      <c r="H233" s="53"/>
      <c r="I233" s="53">
        <v>31862450</v>
      </c>
      <c r="J233" s="53"/>
      <c r="K233" s="53">
        <f t="shared" si="58"/>
        <v>1192534</v>
      </c>
      <c r="L233" s="53"/>
      <c r="M233" s="53">
        <v>18732936</v>
      </c>
      <c r="N233" s="53"/>
      <c r="O233" s="53">
        <v>19925470</v>
      </c>
      <c r="P233" s="53"/>
      <c r="Q233" s="53">
        <v>8653037</v>
      </c>
      <c r="R233" s="53"/>
      <c r="S233" s="53">
        <v>0</v>
      </c>
      <c r="T233" s="53"/>
      <c r="U233" s="53">
        <v>3283943</v>
      </c>
      <c r="V233" s="53"/>
      <c r="W233" s="53">
        <f t="shared" si="69"/>
        <v>11936980</v>
      </c>
      <c r="X233" s="53"/>
      <c r="Y233" s="35" t="s">
        <v>263</v>
      </c>
      <c r="AA233" s="35" t="s">
        <v>53</v>
      </c>
      <c r="AB233" s="35"/>
      <c r="AC233" s="53">
        <v>3026873</v>
      </c>
      <c r="AD233" s="53"/>
      <c r="AE233" s="53">
        <f>2822102-729735</f>
        <v>2092367</v>
      </c>
      <c r="AF233" s="53"/>
      <c r="AG233" s="53">
        <v>729735</v>
      </c>
      <c r="AH233" s="53"/>
      <c r="AI233" s="45">
        <f t="shared" si="60"/>
        <v>204771</v>
      </c>
      <c r="AJ233" s="45"/>
      <c r="AK233" s="53">
        <v>-725988</v>
      </c>
      <c r="AL233" s="45"/>
      <c r="AM233" s="53">
        <v>0</v>
      </c>
      <c r="AN233" s="53"/>
      <c r="AO233" s="53">
        <v>0</v>
      </c>
      <c r="AP233" s="53"/>
      <c r="AQ233" s="53">
        <v>0</v>
      </c>
      <c r="AR233" s="53"/>
      <c r="AS233" s="45">
        <f t="shared" si="70"/>
        <v>-521217</v>
      </c>
      <c r="AT233" s="45"/>
      <c r="AU233" s="53">
        <v>0</v>
      </c>
      <c r="AV233" s="53"/>
      <c r="AW233" s="53">
        <v>0</v>
      </c>
      <c r="AX233" s="53"/>
      <c r="AY233" s="53">
        <f t="shared" ref="AY233" si="72">+E233-K233</f>
        <v>2512320</v>
      </c>
      <c r="AZ233" s="53"/>
      <c r="BA233" s="35" t="s">
        <v>263</v>
      </c>
      <c r="BC233" s="35" t="s">
        <v>53</v>
      </c>
      <c r="BD233" s="53"/>
      <c r="BE233" s="53">
        <f>18579435+925124</f>
        <v>19504559</v>
      </c>
      <c r="BF233" s="53"/>
      <c r="BG233" s="53">
        <v>0</v>
      </c>
      <c r="BH233" s="53"/>
      <c r="BI233" s="53">
        <v>0</v>
      </c>
      <c r="BJ233" s="53"/>
      <c r="BK233" s="53">
        <f>24718+153501</f>
        <v>178219</v>
      </c>
      <c r="BL233" s="53"/>
      <c r="BM233" s="53">
        <f t="shared" si="71"/>
        <v>19682778</v>
      </c>
      <c r="BN233" s="54" t="s">
        <v>347</v>
      </c>
      <c r="BR233" s="51"/>
      <c r="BS233" s="53"/>
      <c r="BT233" s="53"/>
      <c r="BU233" s="53"/>
      <c r="BV233" s="53"/>
      <c r="BW233" s="53"/>
      <c r="BX233" s="45"/>
      <c r="BY233" s="45"/>
      <c r="BZ233" s="53"/>
      <c r="CA233" s="53"/>
      <c r="CB233" s="53"/>
      <c r="CC233" s="53"/>
      <c r="CD233" s="53"/>
      <c r="CE233" s="53"/>
      <c r="CF233" s="35"/>
      <c r="CH233" s="35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4"/>
    </row>
    <row r="234" spans="1:97" s="55" customFormat="1" ht="12.75" customHeight="1" x14ac:dyDescent="0.2">
      <c r="A234" s="35" t="s">
        <v>264</v>
      </c>
      <c r="B234" s="51"/>
      <c r="C234" s="35" t="s">
        <v>239</v>
      </c>
      <c r="D234" s="44"/>
      <c r="E234" s="53">
        <f t="shared" si="63"/>
        <v>688400</v>
      </c>
      <c r="F234" s="53"/>
      <c r="G234" s="53">
        <v>15339035</v>
      </c>
      <c r="H234" s="53"/>
      <c r="I234" s="53">
        <v>16027435</v>
      </c>
      <c r="J234" s="53"/>
      <c r="K234" s="53">
        <f t="shared" si="58"/>
        <v>851609</v>
      </c>
      <c r="L234" s="53"/>
      <c r="M234" s="53">
        <v>9049088</v>
      </c>
      <c r="N234" s="53"/>
      <c r="O234" s="53">
        <v>9900697</v>
      </c>
      <c r="P234" s="53"/>
      <c r="Q234" s="53">
        <v>5392065</v>
      </c>
      <c r="R234" s="53"/>
      <c r="S234" s="53">
        <f>15507+1099392</f>
        <v>1114899</v>
      </c>
      <c r="T234" s="53"/>
      <c r="U234" s="53">
        <v>-380226</v>
      </c>
      <c r="V234" s="53"/>
      <c r="W234" s="53">
        <f t="shared" si="68"/>
        <v>6126738</v>
      </c>
      <c r="X234" s="53"/>
      <c r="Y234" s="35" t="s">
        <v>264</v>
      </c>
      <c r="AA234" s="35" t="s">
        <v>239</v>
      </c>
      <c r="AB234" s="35"/>
      <c r="AC234" s="53">
        <v>2418284</v>
      </c>
      <c r="AD234" s="53"/>
      <c r="AE234" s="53">
        <f>1733989-418480</f>
        <v>1315509</v>
      </c>
      <c r="AF234" s="53"/>
      <c r="AG234" s="53">
        <v>418480</v>
      </c>
      <c r="AH234" s="53"/>
      <c r="AI234" s="45">
        <f t="shared" si="60"/>
        <v>684295</v>
      </c>
      <c r="AJ234" s="45"/>
      <c r="AK234" s="53">
        <v>-437199</v>
      </c>
      <c r="AL234" s="45"/>
      <c r="AM234" s="53">
        <v>0</v>
      </c>
      <c r="AN234" s="53"/>
      <c r="AO234" s="53">
        <v>38107</v>
      </c>
      <c r="AP234" s="53"/>
      <c r="AQ234" s="53">
        <v>37307</v>
      </c>
      <c r="AR234" s="53"/>
      <c r="AS234" s="45">
        <f t="shared" si="64"/>
        <v>246296</v>
      </c>
      <c r="AT234" s="45"/>
      <c r="AU234" s="53">
        <v>0</v>
      </c>
      <c r="AV234" s="53"/>
      <c r="AW234" s="53">
        <v>0</v>
      </c>
      <c r="AX234" s="53"/>
      <c r="AY234" s="53">
        <f t="shared" si="65"/>
        <v>-163209</v>
      </c>
      <c r="AZ234" s="53"/>
      <c r="BA234" s="35" t="s">
        <v>264</v>
      </c>
      <c r="BC234" s="35" t="s">
        <v>239</v>
      </c>
      <c r="BD234" s="53"/>
      <c r="BE234" s="53">
        <v>0</v>
      </c>
      <c r="BF234" s="53"/>
      <c r="BG234" s="53">
        <f>8130000+410000</f>
        <v>8540000</v>
      </c>
      <c r="BH234" s="53"/>
      <c r="BI234" s="53">
        <f>210696+34153+622630+90325+16158</f>
        <v>973962</v>
      </c>
      <c r="BJ234" s="53"/>
      <c r="BK234" s="53">
        <f>2500+1250+82944+50359</f>
        <v>137053</v>
      </c>
      <c r="BL234" s="53"/>
      <c r="BM234" s="53">
        <f t="shared" si="67"/>
        <v>9651015</v>
      </c>
      <c r="BN234" s="54" t="s">
        <v>347</v>
      </c>
      <c r="BR234" s="51"/>
      <c r="BS234" s="53"/>
      <c r="BT234" s="53"/>
      <c r="BU234" s="53"/>
      <c r="BV234" s="53"/>
      <c r="BW234" s="53"/>
      <c r="BX234" s="45"/>
      <c r="BY234" s="45"/>
      <c r="BZ234" s="53"/>
      <c r="CA234" s="53"/>
      <c r="CB234" s="53"/>
      <c r="CC234" s="53"/>
      <c r="CD234" s="53"/>
      <c r="CE234" s="53"/>
      <c r="CF234" s="35"/>
      <c r="CH234" s="35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4"/>
    </row>
    <row r="235" spans="1:97" s="55" customFormat="1" ht="12.75" customHeight="1" x14ac:dyDescent="0.2">
      <c r="A235" s="35" t="s">
        <v>111</v>
      </c>
      <c r="B235" s="51"/>
      <c r="C235" s="44" t="s">
        <v>80</v>
      </c>
      <c r="D235" s="44"/>
      <c r="E235" s="53">
        <f t="shared" si="63"/>
        <v>2796361</v>
      </c>
      <c r="F235" s="53"/>
      <c r="G235" s="53">
        <v>16517715</v>
      </c>
      <c r="H235" s="53"/>
      <c r="I235" s="53">
        <v>19314076</v>
      </c>
      <c r="J235" s="53"/>
      <c r="K235" s="53">
        <f t="shared" si="58"/>
        <v>2338219</v>
      </c>
      <c r="L235" s="53"/>
      <c r="M235" s="53">
        <v>8395031</v>
      </c>
      <c r="N235" s="53"/>
      <c r="O235" s="53">
        <v>10733250</v>
      </c>
      <c r="P235" s="53"/>
      <c r="Q235" s="53">
        <v>6523356</v>
      </c>
      <c r="R235" s="53"/>
      <c r="S235" s="53">
        <v>0</v>
      </c>
      <c r="T235" s="53"/>
      <c r="U235" s="53">
        <v>2057470</v>
      </c>
      <c r="V235" s="53"/>
      <c r="W235" s="53">
        <f t="shared" si="68"/>
        <v>8580826</v>
      </c>
      <c r="X235" s="53"/>
      <c r="Y235" s="35" t="s">
        <v>111</v>
      </c>
      <c r="AA235" s="44" t="s">
        <v>80</v>
      </c>
      <c r="AB235" s="44"/>
      <c r="AC235" s="53">
        <v>9921833</v>
      </c>
      <c r="AD235" s="53"/>
      <c r="AE235" s="53">
        <f>6557102-701089</f>
        <v>5856013</v>
      </c>
      <c r="AF235" s="53"/>
      <c r="AG235" s="53">
        <v>701089</v>
      </c>
      <c r="AH235" s="53"/>
      <c r="AI235" s="45">
        <f t="shared" si="60"/>
        <v>3364731</v>
      </c>
      <c r="AJ235" s="45"/>
      <c r="AK235" s="53">
        <v>-432775</v>
      </c>
      <c r="AL235" s="45"/>
      <c r="AM235" s="53">
        <v>0</v>
      </c>
      <c r="AN235" s="53"/>
      <c r="AO235" s="53">
        <v>29189</v>
      </c>
      <c r="AP235" s="53"/>
      <c r="AQ235" s="53">
        <v>246037</v>
      </c>
      <c r="AR235" s="53"/>
      <c r="AS235" s="45">
        <f t="shared" si="64"/>
        <v>3148804</v>
      </c>
      <c r="AT235" s="45"/>
      <c r="AU235" s="53">
        <v>0</v>
      </c>
      <c r="AV235" s="53"/>
      <c r="AW235" s="53">
        <v>0</v>
      </c>
      <c r="AX235" s="53"/>
      <c r="AY235" s="53">
        <f t="shared" si="65"/>
        <v>458142</v>
      </c>
      <c r="AZ235" s="53"/>
      <c r="BA235" s="35" t="s">
        <v>111</v>
      </c>
      <c r="BC235" s="44" t="s">
        <v>80</v>
      </c>
      <c r="BD235" s="53"/>
      <c r="BE235" s="53">
        <f>531851+552500</f>
        <v>1084351</v>
      </c>
      <c r="BF235" s="53"/>
      <c r="BG235" s="53">
        <v>0</v>
      </c>
      <c r="BH235" s="53"/>
      <c r="BI235" s="53">
        <f>7632218+1277790</f>
        <v>8910008</v>
      </c>
      <c r="BJ235" s="53"/>
      <c r="BK235" s="53">
        <f>230962+157546</f>
        <v>388508</v>
      </c>
      <c r="BL235" s="53"/>
      <c r="BM235" s="53">
        <f t="shared" si="67"/>
        <v>10382867</v>
      </c>
      <c r="BN235" s="54" t="s">
        <v>347</v>
      </c>
      <c r="BR235" s="51"/>
      <c r="BS235" s="53"/>
      <c r="BT235" s="53"/>
      <c r="BU235" s="53"/>
      <c r="BV235" s="53"/>
      <c r="BW235" s="53"/>
      <c r="BX235" s="45"/>
      <c r="BY235" s="45"/>
      <c r="BZ235" s="53"/>
      <c r="CA235" s="53"/>
      <c r="CB235" s="53"/>
      <c r="CC235" s="53"/>
      <c r="CD235" s="53"/>
      <c r="CE235" s="53"/>
      <c r="CF235" s="35"/>
      <c r="CH235" s="35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4"/>
    </row>
    <row r="236" spans="1:97" s="140" customFormat="1" ht="12.75" hidden="1" customHeight="1" x14ac:dyDescent="0.2">
      <c r="A236" s="126" t="s">
        <v>265</v>
      </c>
      <c r="B236" s="124"/>
      <c r="C236" s="121" t="s">
        <v>27</v>
      </c>
      <c r="D236" s="121"/>
      <c r="E236" s="53">
        <f t="shared" si="63"/>
        <v>0</v>
      </c>
      <c r="F236" s="53"/>
      <c r="G236" s="53"/>
      <c r="H236" s="53"/>
      <c r="I236" s="53"/>
      <c r="J236" s="53"/>
      <c r="K236" s="53">
        <f t="shared" si="58"/>
        <v>0</v>
      </c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>
        <f t="shared" ref="W236:W239" si="73">SUM(Q236:U236)</f>
        <v>0</v>
      </c>
      <c r="X236" s="137"/>
      <c r="Y236" s="126" t="s">
        <v>265</v>
      </c>
      <c r="AA236" s="121" t="s">
        <v>27</v>
      </c>
      <c r="AB236" s="121"/>
      <c r="AC236" s="53"/>
      <c r="AD236" s="53"/>
      <c r="AE236" s="53"/>
      <c r="AF236" s="53"/>
      <c r="AG236" s="53"/>
      <c r="AH236" s="53"/>
      <c r="AI236" s="45">
        <f t="shared" si="60"/>
        <v>0</v>
      </c>
      <c r="AJ236" s="45"/>
      <c r="AK236" s="53"/>
      <c r="AL236" s="45"/>
      <c r="AM236" s="53"/>
      <c r="AN236" s="53"/>
      <c r="AO236" s="53"/>
      <c r="AP236" s="53"/>
      <c r="AQ236" s="53"/>
      <c r="AR236" s="53"/>
      <c r="AS236" s="45">
        <f t="shared" si="64"/>
        <v>0</v>
      </c>
      <c r="AT236" s="45"/>
      <c r="AU236" s="53">
        <v>0</v>
      </c>
      <c r="AV236" s="53"/>
      <c r="AW236" s="53">
        <v>0</v>
      </c>
      <c r="AX236" s="53"/>
      <c r="AY236" s="53">
        <f t="shared" si="65"/>
        <v>0</v>
      </c>
      <c r="AZ236" s="53"/>
      <c r="BA236" s="126" t="s">
        <v>265</v>
      </c>
      <c r="BC236" s="121" t="s">
        <v>27</v>
      </c>
      <c r="BD236" s="137"/>
      <c r="BE236" s="53"/>
      <c r="BF236" s="53"/>
      <c r="BG236" s="53"/>
      <c r="BH236" s="53"/>
      <c r="BI236" s="53"/>
      <c r="BJ236" s="53"/>
      <c r="BK236" s="53"/>
      <c r="BL236" s="137"/>
      <c r="BM236" s="137">
        <f t="shared" ref="BM236:BM239" si="74">SUM(BE236:BK236)</f>
        <v>0</v>
      </c>
      <c r="BN236" s="139" t="s">
        <v>347</v>
      </c>
      <c r="BR236" s="124"/>
      <c r="BS236" s="137"/>
      <c r="BT236" s="137"/>
      <c r="BU236" s="137"/>
      <c r="BV236" s="137"/>
      <c r="BW236" s="137"/>
      <c r="BX236" s="127"/>
      <c r="BY236" s="127"/>
      <c r="BZ236" s="137"/>
      <c r="CA236" s="137"/>
      <c r="CB236" s="137"/>
      <c r="CC236" s="137"/>
      <c r="CD236" s="137"/>
      <c r="CE236" s="137"/>
      <c r="CF236" s="126"/>
      <c r="CH236" s="126"/>
      <c r="CI236" s="137"/>
      <c r="CJ236" s="137"/>
      <c r="CK236" s="137"/>
      <c r="CL236" s="137"/>
      <c r="CM236" s="137"/>
      <c r="CN236" s="137"/>
      <c r="CO236" s="137"/>
      <c r="CP236" s="137"/>
      <c r="CQ236" s="137"/>
      <c r="CR236" s="137"/>
      <c r="CS236" s="139"/>
    </row>
    <row r="237" spans="1:97" s="55" customFormat="1" ht="12.75" customHeight="1" x14ac:dyDescent="0.2">
      <c r="A237" s="35" t="s">
        <v>514</v>
      </c>
      <c r="B237" s="51"/>
      <c r="C237" s="47" t="s">
        <v>451</v>
      </c>
      <c r="D237" s="44"/>
      <c r="E237" s="53">
        <f t="shared" si="63"/>
        <v>768059</v>
      </c>
      <c r="F237" s="53"/>
      <c r="G237" s="53">
        <v>20260991</v>
      </c>
      <c r="H237" s="53"/>
      <c r="I237" s="53">
        <v>21029050</v>
      </c>
      <c r="J237" s="53"/>
      <c r="K237" s="53">
        <f t="shared" si="58"/>
        <v>950624</v>
      </c>
      <c r="L237" s="53"/>
      <c r="M237" s="53">
        <v>3710527</v>
      </c>
      <c r="N237" s="53"/>
      <c r="O237" s="53">
        <v>4661151</v>
      </c>
      <c r="P237" s="53"/>
      <c r="Q237" s="53">
        <v>15858644</v>
      </c>
      <c r="R237" s="53"/>
      <c r="S237" s="53">
        <v>0</v>
      </c>
      <c r="T237" s="53"/>
      <c r="U237" s="53">
        <v>509255</v>
      </c>
      <c r="V237" s="53"/>
      <c r="W237" s="53">
        <f t="shared" si="73"/>
        <v>16367899</v>
      </c>
      <c r="X237" s="53"/>
      <c r="Y237" s="35" t="s">
        <v>514</v>
      </c>
      <c r="AA237" s="47" t="s">
        <v>451</v>
      </c>
      <c r="AB237" s="35"/>
      <c r="AC237" s="53">
        <v>2626947</v>
      </c>
      <c r="AD237" s="53"/>
      <c r="AE237" s="53">
        <f>2832754-658965</f>
        <v>2173789</v>
      </c>
      <c r="AF237" s="53"/>
      <c r="AG237" s="53">
        <v>658965</v>
      </c>
      <c r="AH237" s="53"/>
      <c r="AI237" s="45">
        <f t="shared" si="60"/>
        <v>-205807</v>
      </c>
      <c r="AJ237" s="45"/>
      <c r="AK237" s="53">
        <v>-145099</v>
      </c>
      <c r="AL237" s="45"/>
      <c r="AM237" s="53">
        <v>0</v>
      </c>
      <c r="AN237" s="53"/>
      <c r="AO237" s="53">
        <v>0</v>
      </c>
      <c r="AP237" s="53"/>
      <c r="AQ237" s="53">
        <v>313099</v>
      </c>
      <c r="AR237" s="53"/>
      <c r="AS237" s="45">
        <f t="shared" si="64"/>
        <v>-37807</v>
      </c>
      <c r="AT237" s="45"/>
      <c r="AU237" s="53">
        <v>0</v>
      </c>
      <c r="AV237" s="53"/>
      <c r="AW237" s="53">
        <v>0</v>
      </c>
      <c r="AX237" s="53"/>
      <c r="AY237" s="53">
        <f t="shared" si="65"/>
        <v>-182565</v>
      </c>
      <c r="AZ237" s="53"/>
      <c r="BA237" s="35" t="s">
        <v>514</v>
      </c>
      <c r="BC237" s="47" t="s">
        <v>451</v>
      </c>
      <c r="BD237" s="53"/>
      <c r="BE237" s="53">
        <v>0</v>
      </c>
      <c r="BF237" s="53"/>
      <c r="BG237" s="53">
        <v>0</v>
      </c>
      <c r="BH237" s="53"/>
      <c r="BI237" s="53">
        <f>3656519+348200</f>
        <v>4004719</v>
      </c>
      <c r="BJ237" s="53"/>
      <c r="BK237" s="53">
        <f>28474+54008</f>
        <v>82482</v>
      </c>
      <c r="BL237" s="53"/>
      <c r="BM237" s="53">
        <f t="shared" si="74"/>
        <v>4087201</v>
      </c>
      <c r="BN237" s="54" t="s">
        <v>347</v>
      </c>
      <c r="BR237" s="51"/>
      <c r="BS237" s="53"/>
      <c r="BT237" s="53"/>
      <c r="BU237" s="53"/>
      <c r="BV237" s="53"/>
      <c r="BW237" s="53"/>
      <c r="BX237" s="45"/>
      <c r="BY237" s="45"/>
      <c r="BZ237" s="53"/>
      <c r="CA237" s="53"/>
      <c r="CB237" s="53"/>
      <c r="CC237" s="53"/>
      <c r="CD237" s="53"/>
      <c r="CE237" s="53"/>
      <c r="CF237" s="35"/>
      <c r="CH237" s="44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4"/>
    </row>
    <row r="238" spans="1:97" s="55" customFormat="1" ht="12.75" customHeight="1" x14ac:dyDescent="0.2">
      <c r="A238" s="44" t="s">
        <v>515</v>
      </c>
      <c r="B238" s="47"/>
      <c r="C238" s="44" t="s">
        <v>163</v>
      </c>
      <c r="D238" s="44"/>
      <c r="E238" s="53">
        <f t="shared" si="63"/>
        <v>920895</v>
      </c>
      <c r="F238" s="53"/>
      <c r="G238" s="53">
        <v>6868995</v>
      </c>
      <c r="H238" s="53"/>
      <c r="I238" s="53">
        <v>7789890</v>
      </c>
      <c r="J238" s="53"/>
      <c r="K238" s="53">
        <f t="shared" si="58"/>
        <v>719462</v>
      </c>
      <c r="L238" s="53"/>
      <c r="M238" s="53">
        <v>2292407</v>
      </c>
      <c r="N238" s="53"/>
      <c r="O238" s="53">
        <v>3011869</v>
      </c>
      <c r="P238" s="53"/>
      <c r="Q238" s="53">
        <v>5936852</v>
      </c>
      <c r="R238" s="53"/>
      <c r="S238" s="53">
        <v>0</v>
      </c>
      <c r="T238" s="53"/>
      <c r="U238" s="53">
        <v>-1158831</v>
      </c>
      <c r="V238" s="53"/>
      <c r="W238" s="53">
        <f t="shared" ref="W238" si="75">SUM(Q238:U238)</f>
        <v>4778021</v>
      </c>
      <c r="X238" s="53"/>
      <c r="Y238" s="44" t="s">
        <v>515</v>
      </c>
      <c r="Z238" s="47"/>
      <c r="AA238" s="44" t="s">
        <v>163</v>
      </c>
      <c r="AB238" s="35"/>
      <c r="AC238" s="53">
        <v>971489</v>
      </c>
      <c r="AD238" s="53"/>
      <c r="AE238" s="53">
        <f>756592-239157</f>
        <v>517435</v>
      </c>
      <c r="AF238" s="53"/>
      <c r="AG238" s="53">
        <v>239157</v>
      </c>
      <c r="AH238" s="53"/>
      <c r="AI238" s="45">
        <f t="shared" si="60"/>
        <v>214897</v>
      </c>
      <c r="AJ238" s="45"/>
      <c r="AK238" s="53">
        <v>-110563</v>
      </c>
      <c r="AL238" s="45"/>
      <c r="AM238" s="53">
        <v>0</v>
      </c>
      <c r="AN238" s="53"/>
      <c r="AO238" s="53">
        <v>0</v>
      </c>
      <c r="AP238" s="53"/>
      <c r="AQ238" s="53">
        <v>0</v>
      </c>
      <c r="AR238" s="53"/>
      <c r="AS238" s="45">
        <f t="shared" si="64"/>
        <v>104334</v>
      </c>
      <c r="AT238" s="45"/>
      <c r="AU238" s="53">
        <v>0</v>
      </c>
      <c r="AV238" s="53"/>
      <c r="AW238" s="53">
        <v>0</v>
      </c>
      <c r="AX238" s="53"/>
      <c r="AY238" s="53">
        <f t="shared" si="65"/>
        <v>201433</v>
      </c>
      <c r="AZ238" s="53"/>
      <c r="BA238" s="44" t="s">
        <v>515</v>
      </c>
      <c r="BB238" s="47"/>
      <c r="BC238" s="44" t="s">
        <v>163</v>
      </c>
      <c r="BD238" s="53"/>
      <c r="BE238" s="53">
        <v>0</v>
      </c>
      <c r="BF238" s="53"/>
      <c r="BG238" s="53">
        <v>0</v>
      </c>
      <c r="BH238" s="53"/>
      <c r="BI238" s="53">
        <f>309807+44391+37767</f>
        <v>391965</v>
      </c>
      <c r="BJ238" s="53"/>
      <c r="BK238" s="53">
        <f>1902458+35751+8731+122383</f>
        <v>2069323</v>
      </c>
      <c r="BL238" s="53"/>
      <c r="BM238" s="53">
        <f t="shared" si="74"/>
        <v>2461288</v>
      </c>
      <c r="BN238" s="54"/>
      <c r="BR238" s="51"/>
      <c r="BS238" s="53"/>
      <c r="BT238" s="53"/>
      <c r="BU238" s="53"/>
      <c r="BV238" s="53"/>
      <c r="BW238" s="53"/>
      <c r="BX238" s="45"/>
      <c r="BY238" s="45"/>
      <c r="BZ238" s="53"/>
      <c r="CA238" s="53"/>
      <c r="CB238" s="53"/>
      <c r="CC238" s="53"/>
      <c r="CD238" s="53"/>
      <c r="CE238" s="53"/>
      <c r="CF238" s="35"/>
      <c r="CH238" s="44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4"/>
    </row>
    <row r="239" spans="1:97" s="55" customFormat="1" ht="12.75" customHeight="1" x14ac:dyDescent="0.2">
      <c r="A239" s="35" t="s">
        <v>266</v>
      </c>
      <c r="B239" s="51"/>
      <c r="C239" s="35" t="s">
        <v>267</v>
      </c>
      <c r="D239" s="44"/>
      <c r="E239" s="53">
        <f t="shared" si="63"/>
        <v>2623848</v>
      </c>
      <c r="F239" s="53"/>
      <c r="G239" s="53">
        <v>8350339</v>
      </c>
      <c r="H239" s="53"/>
      <c r="I239" s="53">
        <v>10974187</v>
      </c>
      <c r="J239" s="53"/>
      <c r="K239" s="53">
        <f t="shared" si="58"/>
        <v>161855</v>
      </c>
      <c r="L239" s="53"/>
      <c r="M239" s="53">
        <v>2891556</v>
      </c>
      <c r="N239" s="53"/>
      <c r="O239" s="53">
        <v>3053411</v>
      </c>
      <c r="P239" s="53"/>
      <c r="Q239" s="53">
        <v>5376448</v>
      </c>
      <c r="R239" s="53"/>
      <c r="S239" s="53">
        <v>0</v>
      </c>
      <c r="T239" s="53"/>
      <c r="U239" s="53">
        <v>2544328</v>
      </c>
      <c r="V239" s="53"/>
      <c r="W239" s="53">
        <f t="shared" si="73"/>
        <v>7920776</v>
      </c>
      <c r="X239" s="53"/>
      <c r="Y239" s="35" t="s">
        <v>266</v>
      </c>
      <c r="AA239" s="35" t="s">
        <v>267</v>
      </c>
      <c r="AB239" s="35"/>
      <c r="AC239" s="53">
        <v>1256142</v>
      </c>
      <c r="AD239" s="53"/>
      <c r="AE239" s="53">
        <f>1116995-238226</f>
        <v>878769</v>
      </c>
      <c r="AF239" s="53"/>
      <c r="AG239" s="53">
        <v>238226</v>
      </c>
      <c r="AH239" s="53"/>
      <c r="AI239" s="45">
        <f t="shared" si="60"/>
        <v>139147</v>
      </c>
      <c r="AJ239" s="45"/>
      <c r="AK239" s="53">
        <v>3141</v>
      </c>
      <c r="AL239" s="45"/>
      <c r="AM239" s="53">
        <v>0</v>
      </c>
      <c r="AN239" s="53"/>
      <c r="AO239" s="53">
        <v>0</v>
      </c>
      <c r="AP239" s="53"/>
      <c r="AQ239" s="53">
        <v>0</v>
      </c>
      <c r="AR239" s="53"/>
      <c r="AS239" s="45">
        <f t="shared" si="64"/>
        <v>142288</v>
      </c>
      <c r="AT239" s="45"/>
      <c r="AU239" s="53">
        <v>0</v>
      </c>
      <c r="AV239" s="53"/>
      <c r="AW239" s="53">
        <v>0</v>
      </c>
      <c r="AX239" s="53"/>
      <c r="AY239" s="53">
        <f t="shared" si="65"/>
        <v>2461993</v>
      </c>
      <c r="AZ239" s="53"/>
      <c r="BA239" s="35" t="s">
        <v>266</v>
      </c>
      <c r="BC239" s="35" t="s">
        <v>267</v>
      </c>
      <c r="BD239" s="53"/>
      <c r="BE239" s="53">
        <v>0</v>
      </c>
      <c r="BF239" s="53"/>
      <c r="BG239" s="53">
        <v>0</v>
      </c>
      <c r="BH239" s="53"/>
      <c r="BI239" s="53">
        <v>2872406</v>
      </c>
      <c r="BJ239" s="53"/>
      <c r="BK239" s="53">
        <f>19150+12140</f>
        <v>31290</v>
      </c>
      <c r="BL239" s="53"/>
      <c r="BM239" s="53">
        <f t="shared" si="74"/>
        <v>2903696</v>
      </c>
      <c r="BN239" s="54" t="s">
        <v>347</v>
      </c>
      <c r="BO239" s="55" t="s">
        <v>404</v>
      </c>
      <c r="BR239" s="51"/>
      <c r="BS239" s="53"/>
      <c r="BT239" s="53"/>
      <c r="BU239" s="53"/>
      <c r="BV239" s="53"/>
      <c r="BW239" s="53"/>
      <c r="BX239" s="45"/>
      <c r="BY239" s="45"/>
      <c r="BZ239" s="53"/>
      <c r="CA239" s="53"/>
      <c r="CB239" s="53"/>
      <c r="CC239" s="53"/>
      <c r="CD239" s="53"/>
      <c r="CE239" s="53"/>
      <c r="CF239" s="35"/>
      <c r="CH239" s="35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4"/>
    </row>
    <row r="240" spans="1:97" s="55" customFormat="1" ht="12.75" customHeight="1" x14ac:dyDescent="0.2">
      <c r="A240" s="35"/>
      <c r="C240" s="35"/>
      <c r="D240" s="44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 t="s">
        <v>484</v>
      </c>
      <c r="X240" s="53"/>
      <c r="Y240" s="35"/>
      <c r="AA240" s="35"/>
      <c r="AB240" s="35"/>
      <c r="AC240" s="53"/>
      <c r="AD240" s="53"/>
      <c r="AE240" s="53"/>
      <c r="AF240" s="53"/>
      <c r="AG240" s="53"/>
      <c r="AH240" s="53"/>
      <c r="AI240" s="45"/>
      <c r="AJ240" s="45"/>
      <c r="AK240" s="53"/>
      <c r="AL240" s="45"/>
      <c r="AM240" s="53"/>
      <c r="AN240" s="53"/>
      <c r="AO240" s="53"/>
      <c r="AP240" s="53"/>
      <c r="AQ240" s="53"/>
      <c r="AR240" s="53"/>
      <c r="AS240" s="45"/>
      <c r="AT240" s="45"/>
      <c r="AU240" s="53"/>
      <c r="AV240" s="53"/>
      <c r="AW240" s="53"/>
      <c r="AX240" s="53"/>
      <c r="AY240" s="53" t="s">
        <v>484</v>
      </c>
      <c r="AZ240" s="53"/>
      <c r="BA240" s="35"/>
      <c r="BC240" s="35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 t="s">
        <v>484</v>
      </c>
      <c r="BN240" s="54"/>
      <c r="BR240" s="51"/>
      <c r="BS240" s="53"/>
      <c r="BT240" s="53"/>
      <c r="BU240" s="53"/>
      <c r="BV240" s="53"/>
      <c r="BW240" s="53"/>
      <c r="BX240" s="45"/>
      <c r="BY240" s="45"/>
      <c r="BZ240" s="53"/>
      <c r="CA240" s="53"/>
      <c r="CB240" s="53"/>
      <c r="CC240" s="53"/>
      <c r="CD240" s="53"/>
      <c r="CE240" s="53"/>
      <c r="CF240" s="35"/>
      <c r="CH240" s="35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4"/>
    </row>
    <row r="241" spans="1:97" s="90" customFormat="1" ht="12.75" customHeight="1" x14ac:dyDescent="0.2">
      <c r="A241" s="64" t="s">
        <v>268</v>
      </c>
      <c r="B241" s="66"/>
      <c r="C241" s="64" t="s">
        <v>269</v>
      </c>
      <c r="D241" s="46"/>
      <c r="E241" s="79">
        <f t="shared" ref="E241:E257" si="76">I241-G241</f>
        <v>338386</v>
      </c>
      <c r="F241" s="79"/>
      <c r="G241" s="79">
        <v>4192443</v>
      </c>
      <c r="H241" s="79"/>
      <c r="I241" s="79">
        <v>4530829</v>
      </c>
      <c r="J241" s="79"/>
      <c r="K241" s="79">
        <f t="shared" ref="K241:K257" si="77">O241-M241</f>
        <v>256647</v>
      </c>
      <c r="L241" s="79"/>
      <c r="M241" s="79">
        <v>2438375</v>
      </c>
      <c r="N241" s="79"/>
      <c r="O241" s="79">
        <v>2695022</v>
      </c>
      <c r="P241" s="79"/>
      <c r="Q241" s="79">
        <v>1526419</v>
      </c>
      <c r="R241" s="79"/>
      <c r="S241" s="79">
        <v>0</v>
      </c>
      <c r="T241" s="79"/>
      <c r="U241" s="79">
        <v>309388</v>
      </c>
      <c r="V241" s="79"/>
      <c r="W241" s="79">
        <f t="shared" ref="W241:W257" si="78">SUM(Q241:U241)</f>
        <v>1835807</v>
      </c>
      <c r="X241" s="79"/>
      <c r="Y241" s="64" t="s">
        <v>268</v>
      </c>
      <c r="AA241" s="64" t="s">
        <v>269</v>
      </c>
      <c r="AB241" s="64"/>
      <c r="AC241" s="79">
        <v>936931</v>
      </c>
      <c r="AD241" s="79"/>
      <c r="AE241" s="79">
        <f>739292-138717</f>
        <v>600575</v>
      </c>
      <c r="AF241" s="79"/>
      <c r="AG241" s="79">
        <v>138717</v>
      </c>
      <c r="AH241" s="79"/>
      <c r="AI241" s="94">
        <f t="shared" ref="AI241:AI257" si="79">+AC241-AE241-AG241</f>
        <v>197639</v>
      </c>
      <c r="AJ241" s="94"/>
      <c r="AK241" s="79">
        <v>1849</v>
      </c>
      <c r="AL241" s="94"/>
      <c r="AM241" s="79">
        <v>50000</v>
      </c>
      <c r="AN241" s="79"/>
      <c r="AO241" s="79">
        <v>0</v>
      </c>
      <c r="AP241" s="79"/>
      <c r="AQ241" s="79">
        <v>0</v>
      </c>
      <c r="AR241" s="79"/>
      <c r="AS241" s="94">
        <f t="shared" ref="AS241:AS257" si="80">+AI241+AK241+AM241-AO241+AQ241</f>
        <v>249488</v>
      </c>
      <c r="AT241" s="94"/>
      <c r="AU241" s="79">
        <v>0</v>
      </c>
      <c r="AV241" s="79"/>
      <c r="AW241" s="79">
        <v>0</v>
      </c>
      <c r="AX241" s="79"/>
      <c r="AY241" s="79">
        <f t="shared" ref="AY241:AY257" si="81">+E241-K241</f>
        <v>81739</v>
      </c>
      <c r="AZ241" s="79"/>
      <c r="BA241" s="64" t="s">
        <v>268</v>
      </c>
      <c r="BC241" s="64" t="s">
        <v>269</v>
      </c>
      <c r="BD241" s="79"/>
      <c r="BE241" s="79">
        <v>0</v>
      </c>
      <c r="BF241" s="79"/>
      <c r="BG241" s="79">
        <v>0</v>
      </c>
      <c r="BH241" s="79"/>
      <c r="BI241" s="79">
        <f>8662+2424335+1925+192818</f>
        <v>2627740</v>
      </c>
      <c r="BJ241" s="79"/>
      <c r="BK241" s="79">
        <f>4262+5378</f>
        <v>9640</v>
      </c>
      <c r="BL241" s="79"/>
      <c r="BM241" s="79">
        <f t="shared" ref="BM241:BM257" si="82">SUM(BE241:BK241)</f>
        <v>2637380</v>
      </c>
      <c r="BN241" s="91" t="s">
        <v>347</v>
      </c>
      <c r="BR241" s="66"/>
      <c r="BS241" s="79"/>
      <c r="BT241" s="79"/>
      <c r="BU241" s="79"/>
      <c r="BV241" s="79"/>
      <c r="BW241" s="79"/>
      <c r="BX241" s="94"/>
      <c r="BY241" s="94"/>
      <c r="BZ241" s="79"/>
      <c r="CA241" s="79"/>
      <c r="CB241" s="79"/>
      <c r="CC241" s="79"/>
      <c r="CD241" s="79"/>
      <c r="CE241" s="79"/>
      <c r="CF241" s="64"/>
      <c r="CH241" s="64"/>
      <c r="CI241" s="79"/>
      <c r="CJ241" s="79"/>
      <c r="CK241" s="79"/>
      <c r="CL241" s="79"/>
      <c r="CM241" s="79"/>
      <c r="CN241" s="79"/>
      <c r="CO241" s="79"/>
      <c r="CP241" s="79"/>
      <c r="CQ241" s="79"/>
      <c r="CR241" s="79"/>
      <c r="CS241" s="91"/>
    </row>
    <row r="242" spans="1:97" s="55" customFormat="1" ht="12.75" customHeight="1" x14ac:dyDescent="0.2">
      <c r="A242" s="35" t="s">
        <v>270</v>
      </c>
      <c r="B242" s="51"/>
      <c r="C242" s="35" t="s">
        <v>136</v>
      </c>
      <c r="D242" s="44"/>
      <c r="E242" s="53">
        <f t="shared" si="76"/>
        <v>526990</v>
      </c>
      <c r="F242" s="53"/>
      <c r="G242" s="53">
        <v>6554704</v>
      </c>
      <c r="H242" s="53"/>
      <c r="I242" s="53">
        <v>7081694</v>
      </c>
      <c r="J242" s="53"/>
      <c r="K242" s="53">
        <f t="shared" si="77"/>
        <v>296948</v>
      </c>
      <c r="L242" s="53"/>
      <c r="M242" s="53">
        <v>2630328</v>
      </c>
      <c r="N242" s="53"/>
      <c r="O242" s="53">
        <v>2927276</v>
      </c>
      <c r="P242" s="53"/>
      <c r="Q242" s="53">
        <v>3738292</v>
      </c>
      <c r="R242" s="53"/>
      <c r="S242" s="53">
        <v>0</v>
      </c>
      <c r="T242" s="53"/>
      <c r="U242" s="53">
        <v>416126</v>
      </c>
      <c r="V242" s="53"/>
      <c r="W242" s="53">
        <f t="shared" si="78"/>
        <v>4154418</v>
      </c>
      <c r="X242" s="53"/>
      <c r="Y242" s="35" t="s">
        <v>270</v>
      </c>
      <c r="AA242" s="35" t="s">
        <v>136</v>
      </c>
      <c r="AB242" s="35"/>
      <c r="AC242" s="53">
        <v>1044575</v>
      </c>
      <c r="AD242" s="53"/>
      <c r="AE242" s="53">
        <f>983922-264831</f>
        <v>719091</v>
      </c>
      <c r="AF242" s="53"/>
      <c r="AG242" s="53">
        <v>264831</v>
      </c>
      <c r="AH242" s="53"/>
      <c r="AI242" s="45">
        <f t="shared" si="79"/>
        <v>60653</v>
      </c>
      <c r="AJ242" s="45"/>
      <c r="AK242" s="53">
        <v>-122400</v>
      </c>
      <c r="AL242" s="45"/>
      <c r="AM242" s="53">
        <v>0</v>
      </c>
      <c r="AN242" s="53"/>
      <c r="AO242" s="53">
        <v>0</v>
      </c>
      <c r="AP242" s="53"/>
      <c r="AQ242" s="53">
        <v>0</v>
      </c>
      <c r="AR242" s="53"/>
      <c r="AS242" s="45">
        <f t="shared" si="80"/>
        <v>-61747</v>
      </c>
      <c r="AT242" s="45"/>
      <c r="AU242" s="53">
        <v>0</v>
      </c>
      <c r="AV242" s="53"/>
      <c r="AW242" s="53">
        <v>0</v>
      </c>
      <c r="AX242" s="53"/>
      <c r="AY242" s="53">
        <f t="shared" si="81"/>
        <v>230042</v>
      </c>
      <c r="AZ242" s="53"/>
      <c r="BA242" s="35" t="s">
        <v>270</v>
      </c>
      <c r="BC242" s="35" t="s">
        <v>136</v>
      </c>
      <c r="BD242" s="53"/>
      <c r="BE242" s="53">
        <v>0</v>
      </c>
      <c r="BF242" s="53"/>
      <c r="BG242" s="53">
        <f>59000+2052000</f>
        <v>2111000</v>
      </c>
      <c r="BH242" s="53"/>
      <c r="BI242" s="53">
        <f>24256+542845+3032+135279</f>
        <v>705412</v>
      </c>
      <c r="BJ242" s="53"/>
      <c r="BK242" s="53">
        <f>12062+11227</f>
        <v>23289</v>
      </c>
      <c r="BL242" s="53"/>
      <c r="BM242" s="53">
        <f>SUM(BE242:BK242)</f>
        <v>2839701</v>
      </c>
      <c r="BN242" s="54" t="s">
        <v>347</v>
      </c>
      <c r="BR242" s="51"/>
      <c r="BS242" s="53"/>
      <c r="BT242" s="53"/>
      <c r="BU242" s="53"/>
      <c r="BV242" s="53"/>
      <c r="BW242" s="53"/>
      <c r="BX242" s="45"/>
      <c r="BY242" s="45"/>
      <c r="BZ242" s="53"/>
      <c r="CA242" s="53"/>
      <c r="CB242" s="53"/>
      <c r="CC242" s="53"/>
      <c r="CD242" s="53"/>
      <c r="CE242" s="53"/>
      <c r="CF242" s="35"/>
      <c r="CH242" s="35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4"/>
    </row>
    <row r="243" spans="1:97" s="55" customFormat="1" ht="12.75" customHeight="1" x14ac:dyDescent="0.2">
      <c r="A243" s="35" t="s">
        <v>271</v>
      </c>
      <c r="B243" s="51"/>
      <c r="C243" s="35" t="s">
        <v>66</v>
      </c>
      <c r="D243" s="44"/>
      <c r="E243" s="53">
        <f t="shared" si="76"/>
        <v>1611301</v>
      </c>
      <c r="F243" s="53"/>
      <c r="G243" s="53">
        <f>24000+457797</f>
        <v>481797</v>
      </c>
      <c r="H243" s="53"/>
      <c r="I243" s="53">
        <v>2093098</v>
      </c>
      <c r="J243" s="53"/>
      <c r="K243" s="53">
        <f t="shared" si="77"/>
        <v>57783</v>
      </c>
      <c r="L243" s="53"/>
      <c r="M243" s="53">
        <f>5861+198904</f>
        <v>204765</v>
      </c>
      <c r="N243" s="53"/>
      <c r="O243" s="53">
        <v>262548</v>
      </c>
      <c r="P243" s="53"/>
      <c r="Q243" s="53">
        <v>272141</v>
      </c>
      <c r="R243" s="53"/>
      <c r="S243" s="53">
        <v>0</v>
      </c>
      <c r="T243" s="53"/>
      <c r="U243" s="53">
        <v>1558409</v>
      </c>
      <c r="V243" s="53"/>
      <c r="W243" s="53">
        <f t="shared" si="78"/>
        <v>1830550</v>
      </c>
      <c r="X243" s="53"/>
      <c r="Y243" s="35" t="s">
        <v>271</v>
      </c>
      <c r="AA243" s="35" t="s">
        <v>66</v>
      </c>
      <c r="AB243" s="35"/>
      <c r="AC243" s="53">
        <v>1408947</v>
      </c>
      <c r="AD243" s="53"/>
      <c r="AE243" s="53">
        <f>1229685-58321</f>
        <v>1171364</v>
      </c>
      <c r="AF243" s="53"/>
      <c r="AG243" s="53">
        <v>58321</v>
      </c>
      <c r="AH243" s="53"/>
      <c r="AI243" s="45">
        <f t="shared" si="79"/>
        <v>179262</v>
      </c>
      <c r="AJ243" s="45"/>
      <c r="AK243" s="53">
        <v>7059</v>
      </c>
      <c r="AL243" s="45"/>
      <c r="AM243" s="53">
        <v>0</v>
      </c>
      <c r="AN243" s="53"/>
      <c r="AO243" s="53">
        <v>0</v>
      </c>
      <c r="AP243" s="53"/>
      <c r="AQ243" s="53">
        <v>0</v>
      </c>
      <c r="AR243" s="53"/>
      <c r="AS243" s="45">
        <f t="shared" si="80"/>
        <v>186321</v>
      </c>
      <c r="AT243" s="45"/>
      <c r="AU243" s="53">
        <v>0</v>
      </c>
      <c r="AV243" s="53"/>
      <c r="AW243" s="53">
        <v>0</v>
      </c>
      <c r="AX243" s="53"/>
      <c r="AY243" s="53">
        <f t="shared" si="81"/>
        <v>1553518</v>
      </c>
      <c r="AZ243" s="53"/>
      <c r="BA243" s="35" t="s">
        <v>271</v>
      </c>
      <c r="BC243" s="35" t="s">
        <v>66</v>
      </c>
      <c r="BD243" s="53"/>
      <c r="BE243" s="53">
        <v>0</v>
      </c>
      <c r="BF243" s="53"/>
      <c r="BG243" s="53">
        <v>0</v>
      </c>
      <c r="BH243" s="53"/>
      <c r="BI243" s="53">
        <f>10752+198904</f>
        <v>209656</v>
      </c>
      <c r="BJ243" s="53"/>
      <c r="BK243" s="53">
        <f>5861+10383</f>
        <v>16244</v>
      </c>
      <c r="BL243" s="53"/>
      <c r="BM243" s="53">
        <f t="shared" si="82"/>
        <v>225900</v>
      </c>
      <c r="BN243" s="54" t="s">
        <v>347</v>
      </c>
      <c r="BO243" s="55" t="s">
        <v>405</v>
      </c>
      <c r="BR243" s="51"/>
      <c r="BS243" s="53"/>
      <c r="BT243" s="53"/>
      <c r="BU243" s="53"/>
      <c r="BV243" s="53"/>
      <c r="BW243" s="53"/>
      <c r="BX243" s="45"/>
      <c r="BY243" s="45"/>
      <c r="BZ243" s="53"/>
      <c r="CA243" s="53"/>
      <c r="CB243" s="53"/>
      <c r="CC243" s="53"/>
      <c r="CD243" s="53"/>
      <c r="CE243" s="53"/>
      <c r="CF243" s="35"/>
      <c r="CH243" s="35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4"/>
    </row>
    <row r="244" spans="1:97" s="55" customFormat="1" ht="12.75" customHeight="1" x14ac:dyDescent="0.2">
      <c r="A244" s="64" t="s">
        <v>272</v>
      </c>
      <c r="B244" s="90"/>
      <c r="C244" s="64" t="s">
        <v>43</v>
      </c>
      <c r="D244" s="46"/>
      <c r="E244" s="53">
        <f t="shared" si="76"/>
        <v>6533060</v>
      </c>
      <c r="F244" s="53"/>
      <c r="G244" s="53">
        <v>14150856</v>
      </c>
      <c r="H244" s="53"/>
      <c r="I244" s="53">
        <v>20683916</v>
      </c>
      <c r="J244" s="53"/>
      <c r="K244" s="53">
        <f t="shared" si="77"/>
        <v>1682845</v>
      </c>
      <c r="L244" s="53"/>
      <c r="M244" s="53">
        <v>1184000</v>
      </c>
      <c r="N244" s="53"/>
      <c r="O244" s="53">
        <v>2866845</v>
      </c>
      <c r="P244" s="53"/>
      <c r="Q244" s="53">
        <v>12931809</v>
      </c>
      <c r="R244" s="53"/>
      <c r="S244" s="53">
        <v>0</v>
      </c>
      <c r="T244" s="53"/>
      <c r="U244" s="53">
        <v>4885262</v>
      </c>
      <c r="V244" s="53"/>
      <c r="W244" s="53">
        <f t="shared" si="78"/>
        <v>17817071</v>
      </c>
      <c r="X244" s="79"/>
      <c r="Y244" s="64" t="s">
        <v>272</v>
      </c>
      <c r="Z244" s="90"/>
      <c r="AA244" s="64" t="s">
        <v>43</v>
      </c>
      <c r="AB244" s="64"/>
      <c r="AC244" s="53">
        <v>7476186</v>
      </c>
      <c r="AD244" s="53"/>
      <c r="AE244" s="53">
        <f>7543781-438764</f>
        <v>7105017</v>
      </c>
      <c r="AF244" s="53"/>
      <c r="AG244" s="53">
        <v>438764</v>
      </c>
      <c r="AH244" s="53"/>
      <c r="AI244" s="45">
        <f t="shared" si="79"/>
        <v>-67595</v>
      </c>
      <c r="AJ244" s="45"/>
      <c r="AK244" s="53">
        <f>-41554+119150</f>
        <v>77596</v>
      </c>
      <c r="AL244" s="45"/>
      <c r="AM244" s="53">
        <v>0</v>
      </c>
      <c r="AN244" s="53"/>
      <c r="AO244" s="53">
        <v>0</v>
      </c>
      <c r="AP244" s="53"/>
      <c r="AQ244" s="53">
        <v>2400</v>
      </c>
      <c r="AR244" s="53"/>
      <c r="AS244" s="45">
        <f t="shared" si="80"/>
        <v>12401</v>
      </c>
      <c r="AT244" s="45"/>
      <c r="AU244" s="53">
        <v>0</v>
      </c>
      <c r="AV244" s="53"/>
      <c r="AW244" s="53">
        <v>0</v>
      </c>
      <c r="AX244" s="53"/>
      <c r="AY244" s="53">
        <f t="shared" si="81"/>
        <v>4850215</v>
      </c>
      <c r="AZ244" s="53"/>
      <c r="BA244" s="64" t="s">
        <v>272</v>
      </c>
      <c r="BB244" s="90"/>
      <c r="BC244" s="64" t="s">
        <v>43</v>
      </c>
      <c r="BD244" s="79"/>
      <c r="BE244" s="53">
        <f>52315+1166732</f>
        <v>1219047</v>
      </c>
      <c r="BF244" s="53"/>
      <c r="BG244" s="53">
        <v>0</v>
      </c>
      <c r="BH244" s="53"/>
      <c r="BI244" s="53">
        <v>0</v>
      </c>
      <c r="BJ244" s="53"/>
      <c r="BK244" s="53">
        <f>17268+35434</f>
        <v>52702</v>
      </c>
      <c r="BL244" s="53"/>
      <c r="BM244" s="53">
        <f t="shared" si="82"/>
        <v>1271749</v>
      </c>
      <c r="BN244" s="54" t="s">
        <v>347</v>
      </c>
      <c r="BR244" s="51"/>
      <c r="BS244" s="53"/>
      <c r="BT244" s="53"/>
      <c r="BU244" s="53"/>
      <c r="BV244" s="53"/>
      <c r="BW244" s="53"/>
      <c r="BX244" s="45"/>
      <c r="BY244" s="45"/>
      <c r="BZ244" s="53"/>
      <c r="CA244" s="53"/>
      <c r="CB244" s="53"/>
      <c r="CC244" s="53"/>
      <c r="CD244" s="53"/>
      <c r="CE244" s="53"/>
      <c r="CF244" s="35"/>
      <c r="CH244" s="35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4"/>
    </row>
    <row r="245" spans="1:97" s="55" customFormat="1" ht="12.75" customHeight="1" x14ac:dyDescent="0.2">
      <c r="A245" s="35" t="s">
        <v>273</v>
      </c>
      <c r="B245" s="51"/>
      <c r="C245" s="35" t="s">
        <v>27</v>
      </c>
      <c r="D245" s="44"/>
      <c r="E245" s="53">
        <f t="shared" si="76"/>
        <v>6491976</v>
      </c>
      <c r="F245" s="53"/>
      <c r="G245" s="53">
        <v>37516105</v>
      </c>
      <c r="H245" s="53"/>
      <c r="I245" s="53">
        <v>44008081</v>
      </c>
      <c r="J245" s="53"/>
      <c r="K245" s="53">
        <f t="shared" si="77"/>
        <v>200940</v>
      </c>
      <c r="L245" s="53"/>
      <c r="M245" s="53">
        <v>0</v>
      </c>
      <c r="N245" s="53"/>
      <c r="O245" s="53">
        <v>200940</v>
      </c>
      <c r="P245" s="53"/>
      <c r="Q245" s="53">
        <v>28448987</v>
      </c>
      <c r="R245" s="53"/>
      <c r="S245" s="53">
        <v>0</v>
      </c>
      <c r="T245" s="53"/>
      <c r="U245" s="53">
        <v>15358154</v>
      </c>
      <c r="V245" s="53"/>
      <c r="W245" s="53">
        <f t="shared" si="78"/>
        <v>43807141</v>
      </c>
      <c r="X245" s="53"/>
      <c r="Y245" s="35" t="s">
        <v>273</v>
      </c>
      <c r="AA245" s="35" t="s">
        <v>27</v>
      </c>
      <c r="AB245" s="35"/>
      <c r="AC245" s="53">
        <v>1874458</v>
      </c>
      <c r="AD245" s="53"/>
      <c r="AE245" s="53">
        <f>3324148-1052131</f>
        <v>2272017</v>
      </c>
      <c r="AF245" s="53"/>
      <c r="AG245" s="53">
        <v>1052131</v>
      </c>
      <c r="AH245" s="53"/>
      <c r="AI245" s="45">
        <f t="shared" si="79"/>
        <v>-1449690</v>
      </c>
      <c r="AJ245" s="45"/>
      <c r="AK245" s="53">
        <v>-327116</v>
      </c>
      <c r="AL245" s="45"/>
      <c r="AM245" s="53">
        <v>0</v>
      </c>
      <c r="AN245" s="53"/>
      <c r="AO245" s="53">
        <v>0</v>
      </c>
      <c r="AP245" s="53"/>
      <c r="AQ245" s="53">
        <v>0</v>
      </c>
      <c r="AR245" s="53"/>
      <c r="AS245" s="45">
        <f t="shared" si="80"/>
        <v>-1776806</v>
      </c>
      <c r="AT245" s="45"/>
      <c r="AU245" s="53">
        <v>0</v>
      </c>
      <c r="AV245" s="53"/>
      <c r="AW245" s="53">
        <v>0</v>
      </c>
      <c r="AX245" s="53"/>
      <c r="AY245" s="53">
        <f t="shared" si="81"/>
        <v>6291036</v>
      </c>
      <c r="AZ245" s="53"/>
      <c r="BA245" s="35" t="s">
        <v>273</v>
      </c>
      <c r="BC245" s="35" t="s">
        <v>27</v>
      </c>
      <c r="BD245" s="53"/>
      <c r="BE245" s="53">
        <v>0</v>
      </c>
      <c r="BF245" s="53"/>
      <c r="BG245" s="53">
        <v>0</v>
      </c>
      <c r="BH245" s="53"/>
      <c r="BI245" s="53">
        <v>0</v>
      </c>
      <c r="BJ245" s="53"/>
      <c r="BK245" s="53">
        <v>0</v>
      </c>
      <c r="BL245" s="53"/>
      <c r="BM245" s="53">
        <f t="shared" si="82"/>
        <v>0</v>
      </c>
      <c r="BN245" s="54" t="s">
        <v>347</v>
      </c>
      <c r="BR245" s="51"/>
      <c r="BS245" s="53"/>
      <c r="BT245" s="53"/>
      <c r="BU245" s="53"/>
      <c r="BV245" s="53"/>
      <c r="BW245" s="53"/>
      <c r="BX245" s="45"/>
      <c r="BY245" s="45"/>
      <c r="BZ245" s="53"/>
      <c r="CA245" s="53"/>
      <c r="CB245" s="53"/>
      <c r="CC245" s="53"/>
      <c r="CD245" s="53"/>
      <c r="CE245" s="53"/>
      <c r="CF245" s="35"/>
      <c r="CH245" s="35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4"/>
    </row>
    <row r="246" spans="1:97" s="55" customFormat="1" ht="12.75" customHeight="1" x14ac:dyDescent="0.2">
      <c r="A246" s="35" t="s">
        <v>275</v>
      </c>
      <c r="B246" s="51"/>
      <c r="C246" s="35" t="s">
        <v>92</v>
      </c>
      <c r="D246" s="44"/>
      <c r="E246" s="53">
        <f t="shared" si="76"/>
        <v>1535742</v>
      </c>
      <c r="F246" s="53"/>
      <c r="G246" s="53">
        <v>3689233</v>
      </c>
      <c r="H246" s="53"/>
      <c r="I246" s="53">
        <v>5224975</v>
      </c>
      <c r="J246" s="53"/>
      <c r="K246" s="53">
        <f t="shared" si="77"/>
        <v>0</v>
      </c>
      <c r="L246" s="53"/>
      <c r="M246" s="53">
        <v>0</v>
      </c>
      <c r="N246" s="53"/>
      <c r="O246" s="53">
        <v>0</v>
      </c>
      <c r="P246" s="53"/>
      <c r="Q246" s="53">
        <v>3689233</v>
      </c>
      <c r="R246" s="53"/>
      <c r="S246" s="53">
        <v>0</v>
      </c>
      <c r="T246" s="53"/>
      <c r="U246" s="53">
        <v>1535742</v>
      </c>
      <c r="V246" s="53"/>
      <c r="W246" s="53">
        <f t="shared" si="78"/>
        <v>5224975</v>
      </c>
      <c r="X246" s="53"/>
      <c r="Y246" s="35" t="s">
        <v>275</v>
      </c>
      <c r="AA246" s="35" t="s">
        <v>92</v>
      </c>
      <c r="AB246" s="35"/>
      <c r="AC246" s="53">
        <v>2075895</v>
      </c>
      <c r="AD246" s="53"/>
      <c r="AE246" s="53">
        <v>1975786</v>
      </c>
      <c r="AF246" s="53"/>
      <c r="AG246" s="53">
        <v>170529</v>
      </c>
      <c r="AH246" s="53"/>
      <c r="AI246" s="45">
        <f t="shared" si="79"/>
        <v>-70420</v>
      </c>
      <c r="AJ246" s="45"/>
      <c r="AK246" s="53"/>
      <c r="AL246" s="45"/>
      <c r="AM246" s="53">
        <v>0</v>
      </c>
      <c r="AN246" s="53"/>
      <c r="AO246" s="53">
        <v>0</v>
      </c>
      <c r="AP246" s="53"/>
      <c r="AQ246" s="53">
        <v>0</v>
      </c>
      <c r="AR246" s="53"/>
      <c r="AS246" s="45">
        <f t="shared" si="80"/>
        <v>-70420</v>
      </c>
      <c r="AT246" s="45"/>
      <c r="AU246" s="53">
        <v>0</v>
      </c>
      <c r="AV246" s="53"/>
      <c r="AW246" s="53">
        <v>0</v>
      </c>
      <c r="AX246" s="53"/>
      <c r="AY246" s="53">
        <f t="shared" si="81"/>
        <v>1535742</v>
      </c>
      <c r="AZ246" s="53"/>
      <c r="BA246" s="35" t="s">
        <v>275</v>
      </c>
      <c r="BC246" s="35" t="s">
        <v>92</v>
      </c>
      <c r="BD246" s="53"/>
      <c r="BE246" s="53">
        <v>0</v>
      </c>
      <c r="BF246" s="53"/>
      <c r="BG246" s="53">
        <v>0</v>
      </c>
      <c r="BH246" s="53"/>
      <c r="BI246" s="53">
        <v>0</v>
      </c>
      <c r="BJ246" s="53"/>
      <c r="BK246" s="53">
        <v>0</v>
      </c>
      <c r="BL246" s="53"/>
      <c r="BM246" s="53">
        <f t="shared" si="82"/>
        <v>0</v>
      </c>
      <c r="BN246" s="54" t="s">
        <v>347</v>
      </c>
      <c r="BO246" s="55" t="s">
        <v>404</v>
      </c>
      <c r="BR246" s="51"/>
      <c r="BS246" s="53"/>
      <c r="BT246" s="53"/>
      <c r="BU246" s="53"/>
      <c r="BV246" s="53"/>
      <c r="BW246" s="53"/>
      <c r="BX246" s="45"/>
      <c r="BY246" s="45"/>
      <c r="BZ246" s="53"/>
      <c r="CA246" s="53"/>
      <c r="CB246" s="53"/>
      <c r="CC246" s="53"/>
      <c r="CD246" s="53"/>
      <c r="CE246" s="53"/>
      <c r="CF246" s="35"/>
      <c r="CH246" s="35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4"/>
    </row>
    <row r="247" spans="1:97" s="55" customFormat="1" ht="12.75" customHeight="1" x14ac:dyDescent="0.2">
      <c r="A247" s="35" t="s">
        <v>276</v>
      </c>
      <c r="B247" s="51"/>
      <c r="C247" s="35" t="s">
        <v>38</v>
      </c>
      <c r="D247" s="44"/>
      <c r="E247" s="53">
        <f t="shared" si="76"/>
        <v>3239305</v>
      </c>
      <c r="F247" s="53"/>
      <c r="G247" s="53">
        <v>5461346</v>
      </c>
      <c r="H247" s="53"/>
      <c r="I247" s="53">
        <v>8700651</v>
      </c>
      <c r="J247" s="53"/>
      <c r="K247" s="53">
        <f t="shared" si="77"/>
        <v>1282635</v>
      </c>
      <c r="L247" s="53"/>
      <c r="M247" s="53">
        <v>1066119</v>
      </c>
      <c r="N247" s="53"/>
      <c r="O247" s="53">
        <v>2348754</v>
      </c>
      <c r="P247" s="53"/>
      <c r="Q247" s="53">
        <v>4405943</v>
      </c>
      <c r="R247" s="53"/>
      <c r="S247" s="53">
        <v>0</v>
      </c>
      <c r="T247" s="53"/>
      <c r="U247" s="53">
        <v>1945954</v>
      </c>
      <c r="V247" s="53"/>
      <c r="W247" s="53">
        <f t="shared" si="78"/>
        <v>6351897</v>
      </c>
      <c r="X247" s="53"/>
      <c r="Y247" s="35" t="s">
        <v>276</v>
      </c>
      <c r="AA247" s="35" t="s">
        <v>38</v>
      </c>
      <c r="AB247" s="35"/>
      <c r="AC247" s="53">
        <v>1723889</v>
      </c>
      <c r="AD247" s="53"/>
      <c r="AE247" s="53">
        <f>1855928-272276</f>
        <v>1583652</v>
      </c>
      <c r="AF247" s="53"/>
      <c r="AG247" s="53">
        <v>272276</v>
      </c>
      <c r="AH247" s="53"/>
      <c r="AI247" s="45">
        <f t="shared" si="79"/>
        <v>-132039</v>
      </c>
      <c r="AJ247" s="45"/>
      <c r="AK247" s="53">
        <v>75101</v>
      </c>
      <c r="AL247" s="45"/>
      <c r="AM247" s="53">
        <v>165487</v>
      </c>
      <c r="AN247" s="53"/>
      <c r="AO247" s="53">
        <v>0</v>
      </c>
      <c r="AP247" s="53"/>
      <c r="AQ247" s="53">
        <v>25245</v>
      </c>
      <c r="AR247" s="53"/>
      <c r="AS247" s="45">
        <f t="shared" si="80"/>
        <v>133794</v>
      </c>
      <c r="AT247" s="45"/>
      <c r="AU247" s="53">
        <v>0</v>
      </c>
      <c r="AV247" s="53"/>
      <c r="AW247" s="53">
        <v>0</v>
      </c>
      <c r="AX247" s="53"/>
      <c r="AY247" s="53">
        <f t="shared" si="81"/>
        <v>1956670</v>
      </c>
      <c r="AZ247" s="53"/>
      <c r="BA247" s="35" t="s">
        <v>276</v>
      </c>
      <c r="BC247" s="35" t="s">
        <v>38</v>
      </c>
      <c r="BD247" s="53"/>
      <c r="BE247" s="53">
        <v>0</v>
      </c>
      <c r="BF247" s="53"/>
      <c r="BG247" s="53">
        <v>0</v>
      </c>
      <c r="BH247" s="53"/>
      <c r="BI247" s="53">
        <f>92627+1210+1000000+880148+81418</f>
        <v>2055403</v>
      </c>
      <c r="BJ247" s="53"/>
      <c r="BK247" s="53">
        <f>82777+104553</f>
        <v>187330</v>
      </c>
      <c r="BL247" s="53"/>
      <c r="BM247" s="53">
        <f t="shared" si="82"/>
        <v>2242733</v>
      </c>
      <c r="BN247" s="54" t="s">
        <v>347</v>
      </c>
      <c r="BO247" s="55" t="s">
        <v>404</v>
      </c>
      <c r="BR247" s="51"/>
      <c r="BS247" s="53"/>
      <c r="BT247" s="53"/>
      <c r="BU247" s="53"/>
      <c r="BV247" s="53"/>
      <c r="BW247" s="53"/>
      <c r="BX247" s="45"/>
      <c r="BY247" s="45"/>
      <c r="BZ247" s="53"/>
      <c r="CA247" s="53"/>
      <c r="CB247" s="53"/>
      <c r="CC247" s="53"/>
      <c r="CD247" s="53"/>
      <c r="CE247" s="53"/>
      <c r="CF247" s="35"/>
      <c r="CH247" s="35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4"/>
    </row>
    <row r="248" spans="1:97" s="55" customFormat="1" ht="12.75" customHeight="1" x14ac:dyDescent="0.2">
      <c r="A248" s="35" t="s">
        <v>277</v>
      </c>
      <c r="B248" s="51"/>
      <c r="C248" s="35" t="s">
        <v>92</v>
      </c>
      <c r="D248" s="44"/>
      <c r="E248" s="53">
        <f t="shared" si="76"/>
        <v>2449683</v>
      </c>
      <c r="F248" s="53"/>
      <c r="G248" s="53">
        <v>32403816</v>
      </c>
      <c r="H248" s="53"/>
      <c r="I248" s="53">
        <v>34853499</v>
      </c>
      <c r="J248" s="53"/>
      <c r="K248" s="53">
        <f t="shared" si="77"/>
        <v>2900425</v>
      </c>
      <c r="L248" s="53"/>
      <c r="M248" s="53">
        <v>6589476</v>
      </c>
      <c r="N248" s="53"/>
      <c r="O248" s="53">
        <v>9489901</v>
      </c>
      <c r="P248" s="53"/>
      <c r="Q248" s="53">
        <v>23467723</v>
      </c>
      <c r="R248" s="53"/>
      <c r="S248" s="53">
        <v>292434</v>
      </c>
      <c r="T248" s="53"/>
      <c r="U248" s="53">
        <v>1603441</v>
      </c>
      <c r="V248" s="53"/>
      <c r="W248" s="53">
        <f t="shared" si="78"/>
        <v>25363598</v>
      </c>
      <c r="X248" s="53"/>
      <c r="Y248" s="35" t="s">
        <v>277</v>
      </c>
      <c r="AA248" s="35" t="s">
        <v>92</v>
      </c>
      <c r="AB248" s="35"/>
      <c r="AC248" s="53">
        <v>4668672</v>
      </c>
      <c r="AD248" s="53"/>
      <c r="AE248" s="53">
        <f>4977069-1627177</f>
        <v>3349892</v>
      </c>
      <c r="AF248" s="53"/>
      <c r="AG248" s="53">
        <v>1627177</v>
      </c>
      <c r="AH248" s="53"/>
      <c r="AI248" s="45">
        <f t="shared" si="79"/>
        <v>-308397</v>
      </c>
      <c r="AJ248" s="45"/>
      <c r="AK248" s="53">
        <v>-261495</v>
      </c>
      <c r="AL248" s="45"/>
      <c r="AM248" s="53">
        <v>0</v>
      </c>
      <c r="AN248" s="53"/>
      <c r="AO248" s="53">
        <v>0</v>
      </c>
      <c r="AP248" s="53"/>
      <c r="AQ248" s="53">
        <v>470256</v>
      </c>
      <c r="AR248" s="53"/>
      <c r="AS248" s="45">
        <f t="shared" si="80"/>
        <v>-99636</v>
      </c>
      <c r="AT248" s="45"/>
      <c r="AU248" s="53">
        <v>0</v>
      </c>
      <c r="AV248" s="53"/>
      <c r="AW248" s="53">
        <v>0</v>
      </c>
      <c r="AX248" s="53"/>
      <c r="AY248" s="53">
        <f t="shared" si="81"/>
        <v>-450742</v>
      </c>
      <c r="AZ248" s="53"/>
      <c r="BA248" s="35" t="s">
        <v>277</v>
      </c>
      <c r="BC248" s="35" t="s">
        <v>92</v>
      </c>
      <c r="BD248" s="53"/>
      <c r="BE248" s="53">
        <f>6151257+619967</f>
        <v>6771224</v>
      </c>
      <c r="BF248" s="53"/>
      <c r="BG248" s="53">
        <v>0</v>
      </c>
      <c r="BH248" s="53"/>
      <c r="BI248" s="53">
        <v>0</v>
      </c>
      <c r="BJ248" s="53"/>
      <c r="BK248" s="53">
        <v>438219</v>
      </c>
      <c r="BL248" s="53"/>
      <c r="BM248" s="53">
        <f t="shared" si="82"/>
        <v>7209443</v>
      </c>
      <c r="BN248" s="54" t="s">
        <v>347</v>
      </c>
      <c r="BR248" s="51"/>
      <c r="BS248" s="53"/>
      <c r="BT248" s="53"/>
      <c r="BU248" s="53"/>
      <c r="BV248" s="53"/>
      <c r="BW248" s="53"/>
      <c r="BX248" s="45"/>
      <c r="BY248" s="45"/>
      <c r="BZ248" s="53"/>
      <c r="CA248" s="53"/>
      <c r="CB248" s="53"/>
      <c r="CC248" s="53"/>
      <c r="CD248" s="53"/>
      <c r="CE248" s="53"/>
      <c r="CF248" s="35"/>
      <c r="CH248" s="35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4"/>
    </row>
    <row r="249" spans="1:97" s="55" customFormat="1" ht="12.75" customHeight="1" x14ac:dyDescent="0.2">
      <c r="A249" s="35" t="s">
        <v>278</v>
      </c>
      <c r="B249" s="51"/>
      <c r="C249" s="35" t="s">
        <v>92</v>
      </c>
      <c r="D249" s="44"/>
      <c r="E249" s="53">
        <f t="shared" si="76"/>
        <v>1333228</v>
      </c>
      <c r="F249" s="53"/>
      <c r="G249" s="53">
        <v>21172084</v>
      </c>
      <c r="H249" s="53"/>
      <c r="I249" s="53">
        <v>22505312</v>
      </c>
      <c r="J249" s="53"/>
      <c r="K249" s="53">
        <f t="shared" si="77"/>
        <v>1101869</v>
      </c>
      <c r="L249" s="53"/>
      <c r="M249" s="53">
        <v>13383990</v>
      </c>
      <c r="N249" s="53"/>
      <c r="O249" s="53">
        <v>14485859</v>
      </c>
      <c r="P249" s="53"/>
      <c r="Q249" s="53">
        <v>7011044</v>
      </c>
      <c r="R249" s="53"/>
      <c r="S249" s="53">
        <v>0</v>
      </c>
      <c r="T249" s="53"/>
      <c r="U249" s="53">
        <v>1008409</v>
      </c>
      <c r="V249" s="53"/>
      <c r="W249" s="53">
        <f t="shared" si="78"/>
        <v>8019453</v>
      </c>
      <c r="X249" s="53"/>
      <c r="Y249" s="35" t="s">
        <v>278</v>
      </c>
      <c r="AA249" s="35" t="s">
        <v>92</v>
      </c>
      <c r="AB249" s="35"/>
      <c r="AC249" s="53">
        <v>1047472</v>
      </c>
      <c r="AD249" s="53"/>
      <c r="AE249" s="53">
        <f>921543-119570</f>
        <v>801973</v>
      </c>
      <c r="AF249" s="53"/>
      <c r="AG249" s="53">
        <v>119570</v>
      </c>
      <c r="AH249" s="53"/>
      <c r="AI249" s="45">
        <f t="shared" si="79"/>
        <v>125929</v>
      </c>
      <c r="AJ249" s="45"/>
      <c r="AK249" s="53">
        <v>558844</v>
      </c>
      <c r="AL249" s="45"/>
      <c r="AM249" s="53">
        <v>0</v>
      </c>
      <c r="AN249" s="53"/>
      <c r="AO249" s="53">
        <v>0</v>
      </c>
      <c r="AP249" s="53"/>
      <c r="AQ249" s="53">
        <v>0</v>
      </c>
      <c r="AR249" s="53"/>
      <c r="AS249" s="45">
        <f t="shared" si="80"/>
        <v>684773</v>
      </c>
      <c r="AT249" s="45"/>
      <c r="AU249" s="53">
        <v>0</v>
      </c>
      <c r="AV249" s="53"/>
      <c r="AW249" s="53">
        <v>0</v>
      </c>
      <c r="AX249" s="53"/>
      <c r="AY249" s="53">
        <f t="shared" si="81"/>
        <v>231359</v>
      </c>
      <c r="AZ249" s="53"/>
      <c r="BA249" s="35" t="s">
        <v>278</v>
      </c>
      <c r="BC249" s="35" t="s">
        <v>92</v>
      </c>
      <c r="BD249" s="53"/>
      <c r="BE249" s="53">
        <v>0</v>
      </c>
      <c r="BF249" s="53"/>
      <c r="BG249" s="53">
        <v>0</v>
      </c>
      <c r="BH249" s="53"/>
      <c r="BI249" s="53">
        <f>12828779+518025+660799+37450</f>
        <v>14045053</v>
      </c>
      <c r="BJ249" s="53"/>
      <c r="BK249" s="53">
        <f>35416+37186</f>
        <v>72602</v>
      </c>
      <c r="BL249" s="53"/>
      <c r="BM249" s="53">
        <f t="shared" si="82"/>
        <v>14117655</v>
      </c>
      <c r="BN249" s="54" t="s">
        <v>347</v>
      </c>
      <c r="BR249" s="51"/>
      <c r="BS249" s="53"/>
      <c r="BT249" s="53"/>
      <c r="BU249" s="53"/>
      <c r="BV249" s="53"/>
      <c r="BW249" s="53"/>
      <c r="BX249" s="45"/>
      <c r="BY249" s="45"/>
      <c r="BZ249" s="53"/>
      <c r="CA249" s="53"/>
      <c r="CB249" s="53"/>
      <c r="CC249" s="53"/>
      <c r="CD249" s="53"/>
      <c r="CE249" s="53"/>
      <c r="CF249" s="35"/>
      <c r="CH249" s="35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4"/>
    </row>
    <row r="250" spans="1:97" s="55" customFormat="1" ht="12.75" customHeight="1" x14ac:dyDescent="0.2">
      <c r="A250" s="35" t="s">
        <v>279</v>
      </c>
      <c r="B250" s="51"/>
      <c r="C250" s="35" t="s">
        <v>92</v>
      </c>
      <c r="D250" s="44"/>
      <c r="E250" s="53">
        <f t="shared" si="76"/>
        <v>983550</v>
      </c>
      <c r="F250" s="53"/>
      <c r="G250" s="53">
        <v>5724943</v>
      </c>
      <c r="H250" s="53"/>
      <c r="I250" s="53">
        <v>6708493</v>
      </c>
      <c r="J250" s="53"/>
      <c r="K250" s="53">
        <f t="shared" si="77"/>
        <v>447931</v>
      </c>
      <c r="L250" s="53"/>
      <c r="M250" s="53">
        <v>888929</v>
      </c>
      <c r="N250" s="53"/>
      <c r="O250" s="53">
        <v>1336860</v>
      </c>
      <c r="P250" s="53"/>
      <c r="Q250" s="53">
        <v>4834066</v>
      </c>
      <c r="R250" s="53"/>
      <c r="S250" s="53">
        <v>0</v>
      </c>
      <c r="T250" s="53"/>
      <c r="U250" s="53">
        <v>537567</v>
      </c>
      <c r="V250" s="53"/>
      <c r="W250" s="53">
        <f t="shared" si="78"/>
        <v>5371633</v>
      </c>
      <c r="X250" s="53"/>
      <c r="Y250" s="35" t="s">
        <v>279</v>
      </c>
      <c r="AA250" s="35" t="s">
        <v>92</v>
      </c>
      <c r="AB250" s="35"/>
      <c r="AC250" s="53">
        <v>1836257</v>
      </c>
      <c r="AD250" s="53"/>
      <c r="AE250" s="53">
        <f>2213859-155574</f>
        <v>2058285</v>
      </c>
      <c r="AF250" s="53"/>
      <c r="AG250" s="53">
        <v>155574</v>
      </c>
      <c r="AH250" s="53"/>
      <c r="AI250" s="45">
        <f t="shared" si="79"/>
        <v>-377602</v>
      </c>
      <c r="AJ250" s="45"/>
      <c r="AK250" s="53">
        <v>28892</v>
      </c>
      <c r="AL250" s="45"/>
      <c r="AM250" s="53">
        <v>0</v>
      </c>
      <c r="AN250" s="53"/>
      <c r="AO250" s="53">
        <v>11307</v>
      </c>
      <c r="AP250" s="53"/>
      <c r="AQ250" s="53">
        <v>269077</v>
      </c>
      <c r="AR250" s="53"/>
      <c r="AS250" s="45">
        <f t="shared" si="80"/>
        <v>-90940</v>
      </c>
      <c r="AT250" s="45"/>
      <c r="AU250" s="53">
        <v>0</v>
      </c>
      <c r="AV250" s="53"/>
      <c r="AW250" s="53">
        <v>0</v>
      </c>
      <c r="AX250" s="53"/>
      <c r="AY250" s="53">
        <f t="shared" si="81"/>
        <v>535619</v>
      </c>
      <c r="AZ250" s="53"/>
      <c r="BA250" s="35" t="s">
        <v>279</v>
      </c>
      <c r="BC250" s="35" t="s">
        <v>92</v>
      </c>
      <c r="BD250" s="53"/>
      <c r="BE250" s="53">
        <v>0</v>
      </c>
      <c r="BF250" s="53"/>
      <c r="BG250" s="53">
        <v>0</v>
      </c>
      <c r="BH250" s="53"/>
      <c r="BI250" s="53">
        <f>590000+275463+20000+5414</f>
        <v>890877</v>
      </c>
      <c r="BJ250" s="53"/>
      <c r="BK250" s="53">
        <v>41143</v>
      </c>
      <c r="BL250" s="53"/>
      <c r="BM250" s="53">
        <f t="shared" si="82"/>
        <v>932020</v>
      </c>
      <c r="BN250" s="54" t="s">
        <v>347</v>
      </c>
      <c r="BO250" s="55" t="s">
        <v>404</v>
      </c>
      <c r="BR250" s="51"/>
      <c r="BS250" s="53"/>
      <c r="BT250" s="53"/>
      <c r="BU250" s="53"/>
      <c r="BV250" s="53"/>
      <c r="BW250" s="53"/>
      <c r="BX250" s="45"/>
      <c r="BY250" s="45"/>
      <c r="BZ250" s="53"/>
      <c r="CA250" s="53"/>
      <c r="CB250" s="53"/>
      <c r="CC250" s="53"/>
      <c r="CD250" s="53"/>
      <c r="CE250" s="53"/>
      <c r="CF250" s="35"/>
      <c r="CH250" s="35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4"/>
    </row>
    <row r="251" spans="1:97" s="55" customFormat="1" ht="12.75" customHeight="1" x14ac:dyDescent="0.2">
      <c r="A251" s="35" t="s">
        <v>280</v>
      </c>
      <c r="B251" s="51"/>
      <c r="C251" s="35" t="s">
        <v>370</v>
      </c>
      <c r="D251" s="44"/>
      <c r="E251" s="53">
        <f t="shared" si="76"/>
        <v>3755588</v>
      </c>
      <c r="F251" s="53"/>
      <c r="G251" s="53">
        <v>12883131</v>
      </c>
      <c r="H251" s="53"/>
      <c r="I251" s="53">
        <v>16638719</v>
      </c>
      <c r="J251" s="53"/>
      <c r="K251" s="53">
        <f t="shared" si="77"/>
        <v>817201</v>
      </c>
      <c r="L251" s="53"/>
      <c r="M251" s="53">
        <v>2664885</v>
      </c>
      <c r="N251" s="53"/>
      <c r="O251" s="53">
        <v>3482086</v>
      </c>
      <c r="P251" s="53"/>
      <c r="Q251" s="53">
        <v>10076159</v>
      </c>
      <c r="R251" s="53"/>
      <c r="S251" s="53">
        <v>1102898</v>
      </c>
      <c r="T251" s="53"/>
      <c r="U251" s="53">
        <v>1977576</v>
      </c>
      <c r="V251" s="53"/>
      <c r="W251" s="53">
        <f t="shared" si="78"/>
        <v>13156633</v>
      </c>
      <c r="X251" s="53"/>
      <c r="Y251" s="35" t="s">
        <v>280</v>
      </c>
      <c r="AA251" s="35" t="s">
        <v>370</v>
      </c>
      <c r="AB251" s="35"/>
      <c r="AC251" s="53">
        <v>2690901</v>
      </c>
      <c r="AD251" s="53"/>
      <c r="AE251" s="53">
        <f>3769736-904059</f>
        <v>2865677</v>
      </c>
      <c r="AF251" s="53"/>
      <c r="AG251" s="53">
        <v>904059</v>
      </c>
      <c r="AH251" s="53"/>
      <c r="AI251" s="45">
        <f t="shared" si="79"/>
        <v>-1078835</v>
      </c>
      <c r="AJ251" s="45"/>
      <c r="AK251" s="53">
        <v>719018</v>
      </c>
      <c r="AL251" s="45"/>
      <c r="AM251" s="53">
        <v>0</v>
      </c>
      <c r="AN251" s="53"/>
      <c r="AO251" s="53">
        <v>0</v>
      </c>
      <c r="AP251" s="53"/>
      <c r="AQ251" s="53">
        <v>163604</v>
      </c>
      <c r="AR251" s="53"/>
      <c r="AS251" s="45">
        <f t="shared" si="80"/>
        <v>-196213</v>
      </c>
      <c r="AT251" s="45"/>
      <c r="AU251" s="53">
        <v>0</v>
      </c>
      <c r="AV251" s="53"/>
      <c r="AW251" s="53">
        <v>0</v>
      </c>
      <c r="AX251" s="53"/>
      <c r="AY251" s="53">
        <f t="shared" si="81"/>
        <v>2938387</v>
      </c>
      <c r="AZ251" s="53"/>
      <c r="BA251" s="35" t="s">
        <v>280</v>
      </c>
      <c r="BC251" s="35" t="s">
        <v>370</v>
      </c>
      <c r="BD251" s="53"/>
      <c r="BE251" s="53">
        <v>0</v>
      </c>
      <c r="BF251" s="53"/>
      <c r="BG251" s="53">
        <f>1400000+195000</f>
        <v>1595000</v>
      </c>
      <c r="BH251" s="53"/>
      <c r="BI251" s="53">
        <f>42979+1168993</f>
        <v>1211972</v>
      </c>
      <c r="BJ251" s="53"/>
      <c r="BK251" s="53">
        <f>96958+95892</f>
        <v>192850</v>
      </c>
      <c r="BL251" s="53"/>
      <c r="BM251" s="53">
        <f t="shared" si="82"/>
        <v>2999822</v>
      </c>
      <c r="BN251" s="54" t="s">
        <v>347</v>
      </c>
      <c r="BR251" s="51"/>
      <c r="BS251" s="53"/>
      <c r="BT251" s="53"/>
      <c r="BU251" s="53"/>
      <c r="BV251" s="53"/>
      <c r="BW251" s="45"/>
      <c r="BX251" s="45"/>
      <c r="BY251" s="53"/>
      <c r="BZ251" s="53"/>
      <c r="CA251" s="53"/>
      <c r="CB251" s="53"/>
      <c r="CC251" s="53"/>
      <c r="CD251" s="53"/>
      <c r="CE251" s="53"/>
      <c r="CF251" s="35"/>
      <c r="CH251" s="35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4"/>
    </row>
    <row r="252" spans="1:97" s="140" customFormat="1" ht="12.75" customHeight="1" x14ac:dyDescent="0.2">
      <c r="A252" s="35" t="s">
        <v>282</v>
      </c>
      <c r="B252" s="51"/>
      <c r="C252" s="35" t="s">
        <v>199</v>
      </c>
      <c r="D252" s="44"/>
      <c r="E252" s="53">
        <f t="shared" si="76"/>
        <v>2282186</v>
      </c>
      <c r="F252" s="53"/>
      <c r="G252" s="53">
        <v>29672401</v>
      </c>
      <c r="H252" s="53"/>
      <c r="I252" s="53">
        <v>31954587</v>
      </c>
      <c r="J252" s="53"/>
      <c r="K252" s="53">
        <f t="shared" si="77"/>
        <v>1354773</v>
      </c>
      <c r="L252" s="53"/>
      <c r="M252" s="53">
        <v>16500927</v>
      </c>
      <c r="N252" s="53"/>
      <c r="O252" s="53">
        <v>17855700</v>
      </c>
      <c r="P252" s="53"/>
      <c r="Q252" s="53">
        <v>12176296</v>
      </c>
      <c r="R252" s="53"/>
      <c r="S252" s="53">
        <v>0</v>
      </c>
      <c r="T252" s="53"/>
      <c r="U252" s="53">
        <v>1922591</v>
      </c>
      <c r="V252" s="53"/>
      <c r="W252" s="53">
        <f t="shared" si="78"/>
        <v>14098887</v>
      </c>
      <c r="X252" s="137"/>
      <c r="Y252" s="35" t="s">
        <v>282</v>
      </c>
      <c r="Z252" s="55"/>
      <c r="AA252" s="35" t="s">
        <v>199</v>
      </c>
      <c r="AB252" s="35"/>
      <c r="AC252" s="53">
        <v>5010767</v>
      </c>
      <c r="AD252" s="53"/>
      <c r="AE252" s="53">
        <f>5311769-1760852</f>
        <v>3550917</v>
      </c>
      <c r="AF252" s="53"/>
      <c r="AG252" s="53">
        <v>1760852</v>
      </c>
      <c r="AH252" s="53"/>
      <c r="AI252" s="45">
        <f t="shared" si="79"/>
        <v>-301002</v>
      </c>
      <c r="AJ252" s="45"/>
      <c r="AK252" s="53">
        <v>-432301</v>
      </c>
      <c r="AL252" s="45"/>
      <c r="AM252" s="53">
        <v>0</v>
      </c>
      <c r="AN252" s="53"/>
      <c r="AO252" s="53">
        <v>0</v>
      </c>
      <c r="AP252" s="53"/>
      <c r="AQ252" s="53">
        <v>13381</v>
      </c>
      <c r="AR252" s="53"/>
      <c r="AS252" s="45">
        <f t="shared" si="80"/>
        <v>-719922</v>
      </c>
      <c r="AT252" s="45"/>
      <c r="AU252" s="53">
        <v>0</v>
      </c>
      <c r="AV252" s="53"/>
      <c r="AW252" s="53">
        <v>0</v>
      </c>
      <c r="AX252" s="53"/>
      <c r="AY252" s="53">
        <f t="shared" si="81"/>
        <v>927413</v>
      </c>
      <c r="AZ252" s="53"/>
      <c r="BA252" s="35" t="s">
        <v>282</v>
      </c>
      <c r="BB252" s="55"/>
      <c r="BC252" s="35" t="s">
        <v>199</v>
      </c>
      <c r="BD252" s="53"/>
      <c r="BE252" s="53">
        <v>356320</v>
      </c>
      <c r="BF252" s="53"/>
      <c r="BG252" s="53">
        <v>0</v>
      </c>
      <c r="BH252" s="53"/>
      <c r="BI252" s="53">
        <f>4559305+9704216+61017+2586892</f>
        <v>16911430</v>
      </c>
      <c r="BJ252" s="53"/>
      <c r="BK252" s="53">
        <v>183143</v>
      </c>
      <c r="BL252" s="53"/>
      <c r="BM252" s="53">
        <f t="shared" si="82"/>
        <v>17450893</v>
      </c>
      <c r="BN252" s="54" t="s">
        <v>347</v>
      </c>
      <c r="BO252" s="55"/>
      <c r="BP252" s="55"/>
      <c r="BQ252" s="55"/>
      <c r="BR252" s="51"/>
      <c r="BS252" s="53"/>
      <c r="BT252" s="53"/>
      <c r="BU252" s="53"/>
      <c r="BV252" s="53"/>
      <c r="BW252" s="45"/>
      <c r="BX252" s="45"/>
      <c r="BY252" s="53"/>
      <c r="BZ252" s="53"/>
      <c r="CA252" s="53"/>
      <c r="CB252" s="53"/>
      <c r="CC252" s="53"/>
      <c r="CD252" s="53"/>
      <c r="CE252" s="53"/>
      <c r="CF252" s="126"/>
      <c r="CH252" s="126"/>
      <c r="CI252" s="137"/>
      <c r="CJ252" s="137"/>
      <c r="CK252" s="137"/>
      <c r="CL252" s="137"/>
      <c r="CM252" s="137"/>
      <c r="CN252" s="137"/>
      <c r="CO252" s="137"/>
      <c r="CP252" s="137"/>
      <c r="CQ252" s="137"/>
      <c r="CR252" s="137"/>
      <c r="CS252" s="139"/>
    </row>
    <row r="253" spans="1:97" s="140" customFormat="1" ht="12.75" hidden="1" customHeight="1" x14ac:dyDescent="0.2">
      <c r="A253" s="126" t="s">
        <v>283</v>
      </c>
      <c r="B253" s="124"/>
      <c r="C253" s="126" t="s">
        <v>43</v>
      </c>
      <c r="D253" s="121"/>
      <c r="E253" s="53">
        <f t="shared" si="76"/>
        <v>0</v>
      </c>
      <c r="F253" s="53"/>
      <c r="G253" s="53"/>
      <c r="H253" s="53"/>
      <c r="I253" s="53"/>
      <c r="J253" s="53"/>
      <c r="K253" s="53">
        <f t="shared" si="77"/>
        <v>0</v>
      </c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>
        <f t="shared" si="78"/>
        <v>0</v>
      </c>
      <c r="X253" s="137"/>
      <c r="Y253" s="126" t="s">
        <v>283</v>
      </c>
      <c r="AA253" s="126" t="s">
        <v>43</v>
      </c>
      <c r="AB253" s="126"/>
      <c r="AC253" s="53"/>
      <c r="AD253" s="53"/>
      <c r="AE253" s="53"/>
      <c r="AF253" s="53"/>
      <c r="AG253" s="53"/>
      <c r="AH253" s="53"/>
      <c r="AI253" s="45">
        <f t="shared" si="79"/>
        <v>0</v>
      </c>
      <c r="AJ253" s="45"/>
      <c r="AK253" s="53"/>
      <c r="AL253" s="45"/>
      <c r="AM253" s="53"/>
      <c r="AN253" s="53"/>
      <c r="AO253" s="53"/>
      <c r="AP253" s="53"/>
      <c r="AQ253" s="53"/>
      <c r="AR253" s="53"/>
      <c r="AS253" s="45">
        <f t="shared" si="80"/>
        <v>0</v>
      </c>
      <c r="AT253" s="45"/>
      <c r="AU253" s="53">
        <v>0</v>
      </c>
      <c r="AV253" s="53"/>
      <c r="AW253" s="53">
        <v>0</v>
      </c>
      <c r="AX253" s="53"/>
      <c r="AY253" s="53">
        <f t="shared" si="81"/>
        <v>0</v>
      </c>
      <c r="AZ253" s="53"/>
      <c r="BA253" s="126" t="s">
        <v>283</v>
      </c>
      <c r="BC253" s="126" t="s">
        <v>43</v>
      </c>
      <c r="BD253" s="137"/>
      <c r="BE253" s="53"/>
      <c r="BF253" s="53"/>
      <c r="BG253" s="53"/>
      <c r="BH253" s="53"/>
      <c r="BI253" s="53"/>
      <c r="BJ253" s="53"/>
      <c r="BK253" s="53"/>
      <c r="BL253" s="137"/>
      <c r="BM253" s="137">
        <f t="shared" si="82"/>
        <v>0</v>
      </c>
      <c r="BN253" s="139" t="s">
        <v>347</v>
      </c>
      <c r="BR253" s="124"/>
      <c r="BS253" s="137"/>
      <c r="BT253" s="137"/>
      <c r="BU253" s="137"/>
      <c r="BV253" s="137"/>
      <c r="BW253" s="137"/>
      <c r="BX253" s="127"/>
      <c r="BY253" s="127"/>
      <c r="BZ253" s="137"/>
      <c r="CA253" s="137"/>
      <c r="CB253" s="137"/>
      <c r="CC253" s="137"/>
      <c r="CD253" s="137"/>
      <c r="CE253" s="137"/>
      <c r="CF253" s="126"/>
      <c r="CH253" s="126"/>
      <c r="CI253" s="137"/>
      <c r="CJ253" s="137"/>
      <c r="CK253" s="137"/>
      <c r="CL253" s="137"/>
      <c r="CM253" s="137"/>
      <c r="CN253" s="137"/>
      <c r="CO253" s="137"/>
      <c r="CP253" s="137"/>
      <c r="CQ253" s="137"/>
      <c r="CR253" s="137"/>
      <c r="CS253" s="139"/>
    </row>
    <row r="254" spans="1:97" s="140" customFormat="1" ht="12.75" hidden="1" customHeight="1" x14ac:dyDescent="0.2">
      <c r="A254" s="126" t="s">
        <v>284</v>
      </c>
      <c r="B254" s="124"/>
      <c r="C254" s="126" t="s">
        <v>45</v>
      </c>
      <c r="D254" s="121"/>
      <c r="E254" s="53">
        <f t="shared" si="76"/>
        <v>0</v>
      </c>
      <c r="F254" s="53"/>
      <c r="G254" s="53"/>
      <c r="H254" s="53"/>
      <c r="I254" s="53"/>
      <c r="J254" s="53"/>
      <c r="K254" s="53">
        <f t="shared" si="77"/>
        <v>0</v>
      </c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>
        <f t="shared" si="78"/>
        <v>0</v>
      </c>
      <c r="X254" s="137"/>
      <c r="Y254" s="126" t="s">
        <v>284</v>
      </c>
      <c r="AA254" s="126" t="s">
        <v>45</v>
      </c>
      <c r="AB254" s="126"/>
      <c r="AC254" s="53"/>
      <c r="AD254" s="53"/>
      <c r="AE254" s="53"/>
      <c r="AF254" s="53"/>
      <c r="AG254" s="53"/>
      <c r="AH254" s="53"/>
      <c r="AI254" s="45">
        <f t="shared" si="79"/>
        <v>0</v>
      </c>
      <c r="AJ254" s="45"/>
      <c r="AK254" s="53"/>
      <c r="AL254" s="45"/>
      <c r="AM254" s="53"/>
      <c r="AN254" s="53"/>
      <c r="AO254" s="53"/>
      <c r="AP254" s="53"/>
      <c r="AQ254" s="53"/>
      <c r="AR254" s="53"/>
      <c r="AS254" s="45">
        <f t="shared" si="80"/>
        <v>0</v>
      </c>
      <c r="AT254" s="45"/>
      <c r="AU254" s="53">
        <v>0</v>
      </c>
      <c r="AV254" s="53"/>
      <c r="AW254" s="53">
        <v>0</v>
      </c>
      <c r="AX254" s="53"/>
      <c r="AY254" s="53">
        <f t="shared" si="81"/>
        <v>0</v>
      </c>
      <c r="AZ254" s="53"/>
      <c r="BA254" s="126" t="s">
        <v>284</v>
      </c>
      <c r="BC254" s="126" t="s">
        <v>45</v>
      </c>
      <c r="BD254" s="137"/>
      <c r="BE254" s="53"/>
      <c r="BF254" s="53"/>
      <c r="BG254" s="53"/>
      <c r="BH254" s="53"/>
      <c r="BI254" s="53"/>
      <c r="BJ254" s="53"/>
      <c r="BK254" s="53"/>
      <c r="BL254" s="137"/>
      <c r="BM254" s="137">
        <f t="shared" si="82"/>
        <v>0</v>
      </c>
      <c r="BN254" s="139" t="s">
        <v>347</v>
      </c>
      <c r="BR254" s="124"/>
      <c r="BS254" s="137"/>
      <c r="BT254" s="137"/>
      <c r="BU254" s="137"/>
      <c r="BV254" s="137"/>
      <c r="BW254" s="137"/>
      <c r="BX254" s="127"/>
      <c r="BY254" s="127"/>
      <c r="BZ254" s="137"/>
      <c r="CA254" s="137"/>
      <c r="CB254" s="137"/>
      <c r="CC254" s="137"/>
      <c r="CD254" s="137"/>
      <c r="CE254" s="137"/>
      <c r="CF254" s="126"/>
      <c r="CH254" s="126"/>
      <c r="CI254" s="137"/>
      <c r="CJ254" s="137"/>
      <c r="CK254" s="137"/>
      <c r="CL254" s="137"/>
      <c r="CM254" s="137"/>
      <c r="CN254" s="137"/>
      <c r="CO254" s="137"/>
      <c r="CP254" s="137"/>
      <c r="CQ254" s="137"/>
      <c r="CR254" s="137"/>
      <c r="CS254" s="139"/>
    </row>
    <row r="255" spans="1:97" s="55" customFormat="1" ht="12.75" customHeight="1" x14ac:dyDescent="0.2">
      <c r="A255" s="35" t="s">
        <v>285</v>
      </c>
      <c r="B255" s="51"/>
      <c r="C255" s="35" t="s">
        <v>30</v>
      </c>
      <c r="D255" s="44"/>
      <c r="E255" s="53">
        <f t="shared" si="76"/>
        <v>3571051</v>
      </c>
      <c r="F255" s="53"/>
      <c r="G255" s="53">
        <v>13892427</v>
      </c>
      <c r="H255" s="53"/>
      <c r="I255" s="53">
        <v>17463478</v>
      </c>
      <c r="J255" s="53"/>
      <c r="K255" s="53">
        <f t="shared" si="77"/>
        <v>706087</v>
      </c>
      <c r="L255" s="53"/>
      <c r="M255" s="53">
        <v>5921434</v>
      </c>
      <c r="N255" s="53"/>
      <c r="O255" s="53">
        <v>6627521</v>
      </c>
      <c r="P255" s="53"/>
      <c r="Q255" s="53">
        <v>7674451</v>
      </c>
      <c r="R255" s="53"/>
      <c r="S255" s="53">
        <v>54559</v>
      </c>
      <c r="T255" s="53"/>
      <c r="U255" s="53">
        <v>3106947</v>
      </c>
      <c r="V255" s="53"/>
      <c r="W255" s="53">
        <f t="shared" si="78"/>
        <v>10835957</v>
      </c>
      <c r="X255" s="53"/>
      <c r="Y255" s="35" t="s">
        <v>285</v>
      </c>
      <c r="AA255" s="35" t="s">
        <v>30</v>
      </c>
      <c r="AB255" s="35"/>
      <c r="AC255" s="53">
        <v>3431894</v>
      </c>
      <c r="AD255" s="53"/>
      <c r="AE255" s="53">
        <f>4131349-857896</f>
        <v>3273453</v>
      </c>
      <c r="AF255" s="53"/>
      <c r="AG255" s="53">
        <v>857896</v>
      </c>
      <c r="AH255" s="53"/>
      <c r="AI255" s="45">
        <f t="shared" si="79"/>
        <v>-699455</v>
      </c>
      <c r="AJ255" s="45"/>
      <c r="AK255" s="53">
        <f>297748-210700</f>
        <v>87048</v>
      </c>
      <c r="AL255" s="45"/>
      <c r="AM255" s="53">
        <v>0</v>
      </c>
      <c r="AN255" s="53"/>
      <c r="AO255" s="53">
        <v>0</v>
      </c>
      <c r="AP255" s="53"/>
      <c r="AQ255" s="53">
        <v>0</v>
      </c>
      <c r="AR255" s="53"/>
      <c r="AS255" s="45">
        <f t="shared" si="80"/>
        <v>-612407</v>
      </c>
      <c r="AT255" s="45"/>
      <c r="AU255" s="53">
        <v>0</v>
      </c>
      <c r="AV255" s="53"/>
      <c r="AW255" s="53">
        <v>0</v>
      </c>
      <c r="AX255" s="53"/>
      <c r="AY255" s="53">
        <f t="shared" si="81"/>
        <v>2864964</v>
      </c>
      <c r="AZ255" s="53"/>
      <c r="BA255" s="35" t="s">
        <v>285</v>
      </c>
      <c r="BC255" s="35" t="s">
        <v>30</v>
      </c>
      <c r="BD255" s="53"/>
      <c r="BE255" s="53">
        <f>49613+4946</f>
        <v>54559</v>
      </c>
      <c r="BF255" s="53"/>
      <c r="BG255" s="53">
        <v>0</v>
      </c>
      <c r="BH255" s="53"/>
      <c r="BI255" s="53">
        <f>5037347+472836</f>
        <v>5510183</v>
      </c>
      <c r="BJ255" s="53"/>
      <c r="BK255" s="53">
        <f>177318+657156+18585+51086</f>
        <v>904145</v>
      </c>
      <c r="BL255" s="53"/>
      <c r="BM255" s="53">
        <f t="shared" si="82"/>
        <v>6468887</v>
      </c>
      <c r="BN255" s="54" t="s">
        <v>347</v>
      </c>
      <c r="BR255" s="51"/>
      <c r="BS255" s="53"/>
      <c r="BT255" s="53"/>
      <c r="BU255" s="53"/>
      <c r="BV255" s="53"/>
      <c r="BW255" s="53"/>
      <c r="BX255" s="45"/>
      <c r="BY255" s="45"/>
      <c r="BZ255" s="53"/>
      <c r="CA255" s="53"/>
      <c r="CB255" s="53"/>
      <c r="CC255" s="53"/>
      <c r="CD255" s="53"/>
      <c r="CE255" s="53"/>
      <c r="CF255" s="35"/>
      <c r="CH255" s="35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4"/>
    </row>
    <row r="256" spans="1:97" s="140" customFormat="1" ht="12.75" customHeight="1" x14ac:dyDescent="0.2">
      <c r="A256" s="35" t="s">
        <v>286</v>
      </c>
      <c r="B256" s="55"/>
      <c r="C256" s="35" t="s">
        <v>61</v>
      </c>
      <c r="D256" s="44"/>
      <c r="E256" s="53">
        <f t="shared" si="76"/>
        <v>6105942</v>
      </c>
      <c r="F256" s="53"/>
      <c r="G256" s="53">
        <v>46004855</v>
      </c>
      <c r="H256" s="53"/>
      <c r="I256" s="53">
        <v>52110797</v>
      </c>
      <c r="J256" s="53"/>
      <c r="K256" s="53">
        <f t="shared" si="77"/>
        <v>1191287</v>
      </c>
      <c r="L256" s="53"/>
      <c r="M256" s="53">
        <v>7568083</v>
      </c>
      <c r="N256" s="53"/>
      <c r="O256" s="53">
        <v>8759370</v>
      </c>
      <c r="P256" s="53"/>
      <c r="Q256" s="53">
        <v>38709923</v>
      </c>
      <c r="R256" s="53"/>
      <c r="S256" s="53">
        <v>0</v>
      </c>
      <c r="T256" s="53"/>
      <c r="U256" s="53">
        <v>4641504</v>
      </c>
      <c r="V256" s="53"/>
      <c r="W256" s="53">
        <f t="shared" si="78"/>
        <v>43351427</v>
      </c>
      <c r="X256" s="53"/>
      <c r="Y256" s="35" t="s">
        <v>286</v>
      </c>
      <c r="Z256" s="55"/>
      <c r="AA256" s="35" t="s">
        <v>61</v>
      </c>
      <c r="AB256" s="35"/>
      <c r="AC256" s="53">
        <v>19178992</v>
      </c>
      <c r="AD256" s="53"/>
      <c r="AE256" s="53">
        <f>18691454-2127944</f>
        <v>16563510</v>
      </c>
      <c r="AF256" s="53"/>
      <c r="AG256" s="53">
        <v>2127944</v>
      </c>
      <c r="AH256" s="53"/>
      <c r="AI256" s="45">
        <f t="shared" si="79"/>
        <v>487538</v>
      </c>
      <c r="AJ256" s="45"/>
      <c r="AK256" s="53">
        <v>-236081</v>
      </c>
      <c r="AL256" s="45"/>
      <c r="AM256" s="53">
        <v>156762</v>
      </c>
      <c r="AN256" s="53"/>
      <c r="AO256" s="53">
        <v>0</v>
      </c>
      <c r="AP256" s="53"/>
      <c r="AQ256" s="53">
        <v>0</v>
      </c>
      <c r="AR256" s="53"/>
      <c r="AS256" s="45">
        <f t="shared" si="80"/>
        <v>408219</v>
      </c>
      <c r="AT256" s="45"/>
      <c r="AU256" s="53">
        <v>0</v>
      </c>
      <c r="AV256" s="53"/>
      <c r="AW256" s="53">
        <v>0</v>
      </c>
      <c r="AX256" s="53"/>
      <c r="AY256" s="53">
        <f t="shared" si="81"/>
        <v>4914655</v>
      </c>
      <c r="AZ256" s="53"/>
      <c r="BA256" s="35" t="s">
        <v>286</v>
      </c>
      <c r="BB256" s="55"/>
      <c r="BC256" s="35" t="s">
        <v>61</v>
      </c>
      <c r="BD256" s="53"/>
      <c r="BE256" s="53">
        <v>0</v>
      </c>
      <c r="BF256" s="53"/>
      <c r="BG256" s="53">
        <v>0</v>
      </c>
      <c r="BH256" s="53"/>
      <c r="BI256" s="53">
        <f>5787968+448417+626080+343193+10018</f>
        <v>7215676</v>
      </c>
      <c r="BJ256" s="53"/>
      <c r="BK256" s="53">
        <f>705618+132114</f>
        <v>837732</v>
      </c>
      <c r="BL256" s="53"/>
      <c r="BM256" s="53">
        <f t="shared" si="82"/>
        <v>8053408</v>
      </c>
      <c r="BN256" s="54" t="s">
        <v>347</v>
      </c>
      <c r="BO256" s="55"/>
      <c r="BP256" s="55"/>
      <c r="BQ256" s="55"/>
      <c r="BR256" s="51"/>
      <c r="BS256" s="53"/>
      <c r="BT256" s="53"/>
      <c r="BU256" s="53"/>
      <c r="BV256" s="53"/>
      <c r="BW256" s="53"/>
      <c r="BX256" s="45"/>
      <c r="BY256" s="45"/>
      <c r="BZ256" s="53"/>
      <c r="CA256" s="53"/>
      <c r="CB256" s="53"/>
      <c r="CC256" s="137"/>
      <c r="CD256" s="137"/>
      <c r="CE256" s="137"/>
      <c r="CF256" s="126"/>
      <c r="CH256" s="126"/>
      <c r="CI256" s="137"/>
      <c r="CJ256" s="137"/>
      <c r="CK256" s="137"/>
      <c r="CL256" s="137"/>
      <c r="CM256" s="137"/>
      <c r="CN256" s="137"/>
      <c r="CO256" s="137"/>
      <c r="CP256" s="137"/>
      <c r="CQ256" s="137"/>
      <c r="CR256" s="137"/>
      <c r="CS256" s="139"/>
    </row>
    <row r="257" spans="1:97" s="55" customFormat="1" ht="12.75" customHeight="1" x14ac:dyDescent="0.2">
      <c r="A257" s="35" t="s">
        <v>287</v>
      </c>
      <c r="C257" s="35" t="s">
        <v>288</v>
      </c>
      <c r="D257" s="44"/>
      <c r="E257" s="53">
        <f t="shared" si="76"/>
        <v>2579603</v>
      </c>
      <c r="F257" s="53"/>
      <c r="G257" s="53">
        <v>41522870</v>
      </c>
      <c r="H257" s="53"/>
      <c r="I257" s="53">
        <v>44102473</v>
      </c>
      <c r="J257" s="53"/>
      <c r="K257" s="53">
        <f t="shared" si="77"/>
        <v>2024591</v>
      </c>
      <c r="L257" s="53"/>
      <c r="M257" s="53">
        <v>15276449</v>
      </c>
      <c r="N257" s="53"/>
      <c r="O257" s="53">
        <v>17301040</v>
      </c>
      <c r="P257" s="53"/>
      <c r="Q257" s="53">
        <v>24585771</v>
      </c>
      <c r="R257" s="53"/>
      <c r="S257" s="53">
        <v>0</v>
      </c>
      <c r="T257" s="53"/>
      <c r="U257" s="53">
        <v>2215662</v>
      </c>
      <c r="V257" s="53"/>
      <c r="W257" s="53">
        <f t="shared" si="78"/>
        <v>26801433</v>
      </c>
      <c r="X257" s="53"/>
      <c r="Y257" s="35" t="s">
        <v>287</v>
      </c>
      <c r="AA257" s="35" t="s">
        <v>288</v>
      </c>
      <c r="AB257" s="35"/>
      <c r="AC257" s="53">
        <v>6514057</v>
      </c>
      <c r="AD257" s="53"/>
      <c r="AE257" s="53">
        <f>5128653-1159623</f>
        <v>3969030</v>
      </c>
      <c r="AF257" s="53"/>
      <c r="AG257" s="53">
        <v>1159623</v>
      </c>
      <c r="AH257" s="53"/>
      <c r="AI257" s="45">
        <f t="shared" si="79"/>
        <v>1385404</v>
      </c>
      <c r="AJ257" s="45"/>
      <c r="AK257" s="53">
        <v>-647877</v>
      </c>
      <c r="AL257" s="45"/>
      <c r="AM257" s="53">
        <v>0</v>
      </c>
      <c r="AN257" s="53"/>
      <c r="AO257" s="53">
        <v>0</v>
      </c>
      <c r="AP257" s="53"/>
      <c r="AQ257" s="53">
        <v>0</v>
      </c>
      <c r="AR257" s="53"/>
      <c r="AS257" s="45">
        <f t="shared" si="80"/>
        <v>737527</v>
      </c>
      <c r="AT257" s="45"/>
      <c r="AU257" s="53">
        <v>0</v>
      </c>
      <c r="AV257" s="53"/>
      <c r="AW257" s="53">
        <v>0</v>
      </c>
      <c r="AX257" s="53"/>
      <c r="AY257" s="53">
        <f t="shared" si="81"/>
        <v>555012</v>
      </c>
      <c r="AZ257" s="53"/>
      <c r="BA257" s="35" t="s">
        <v>287</v>
      </c>
      <c r="BC257" s="35" t="s">
        <v>288</v>
      </c>
      <c r="BD257" s="53"/>
      <c r="BE257" s="53">
        <v>0</v>
      </c>
      <c r="BF257" s="53"/>
      <c r="BG257" s="53">
        <v>0</v>
      </c>
      <c r="BH257" s="53"/>
      <c r="BI257" s="53">
        <v>16937099</v>
      </c>
      <c r="BJ257" s="53"/>
      <c r="BK257" s="53">
        <f>12156+148444</f>
        <v>160600</v>
      </c>
      <c r="BL257" s="53"/>
      <c r="BM257" s="53">
        <f t="shared" si="82"/>
        <v>17097699</v>
      </c>
      <c r="BN257" s="54" t="s">
        <v>347</v>
      </c>
      <c r="BR257" s="51"/>
      <c r="BS257" s="53"/>
      <c r="BT257" s="53"/>
      <c r="BU257" s="53"/>
      <c r="BV257" s="53"/>
      <c r="BW257" s="53"/>
      <c r="BX257" s="45"/>
      <c r="BY257" s="45"/>
      <c r="BZ257" s="53"/>
      <c r="CA257" s="53"/>
      <c r="CB257" s="53"/>
      <c r="CC257" s="53"/>
      <c r="CD257" s="53"/>
      <c r="CE257" s="53"/>
      <c r="CF257" s="35"/>
      <c r="CH257" s="35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4"/>
    </row>
    <row r="258" spans="1:97" s="55" customFormat="1" ht="12.75" customHeight="1" x14ac:dyDescent="0.2">
      <c r="A258" s="35"/>
      <c r="C258" s="35"/>
      <c r="D258" s="44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35"/>
      <c r="AA258" s="35"/>
      <c r="AB258" s="35"/>
      <c r="AC258" s="53"/>
      <c r="AD258" s="53"/>
      <c r="AE258" s="53"/>
      <c r="AF258" s="53"/>
      <c r="AG258" s="53"/>
      <c r="AH258" s="53"/>
      <c r="AI258" s="45"/>
      <c r="AJ258" s="45"/>
      <c r="AK258" s="45"/>
      <c r="AL258" s="45"/>
      <c r="AM258" s="53"/>
      <c r="AN258" s="53"/>
      <c r="AO258" s="53"/>
      <c r="AP258" s="53"/>
      <c r="AQ258" s="53"/>
      <c r="AR258" s="53"/>
      <c r="AS258" s="45"/>
      <c r="AT258" s="45"/>
      <c r="AU258" s="53"/>
      <c r="AV258" s="53"/>
      <c r="AW258" s="53"/>
      <c r="AX258" s="53"/>
      <c r="AY258" s="53"/>
      <c r="AZ258" s="53"/>
      <c r="BA258" s="35"/>
      <c r="BC258" s="35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4"/>
      <c r="BR258" s="51"/>
      <c r="BS258" s="53"/>
      <c r="BT258" s="53"/>
      <c r="BU258" s="53"/>
      <c r="BV258" s="53"/>
      <c r="BW258" s="53"/>
      <c r="BX258" s="45"/>
      <c r="BY258" s="45"/>
      <c r="BZ258" s="53"/>
      <c r="CA258" s="53"/>
      <c r="CB258" s="53"/>
      <c r="CC258" s="53"/>
      <c r="CD258" s="53"/>
      <c r="CE258" s="53"/>
      <c r="CF258" s="35"/>
      <c r="CH258" s="35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4"/>
    </row>
    <row r="259" spans="1:97" s="55" customFormat="1" ht="12.75" customHeight="1" x14ac:dyDescent="0.2">
      <c r="B259" s="51"/>
      <c r="D259" s="44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AC259" s="53"/>
      <c r="AD259" s="53"/>
      <c r="AE259" s="53"/>
      <c r="AF259" s="53"/>
      <c r="AG259" s="53"/>
      <c r="AH259" s="53"/>
      <c r="AI259" s="45"/>
      <c r="AJ259" s="45"/>
      <c r="AK259" s="45"/>
      <c r="AL259" s="45"/>
      <c r="AM259" s="53"/>
      <c r="AN259" s="53"/>
      <c r="AO259" s="53"/>
      <c r="AP259" s="53"/>
      <c r="AQ259" s="53"/>
      <c r="AR259" s="53"/>
      <c r="AS259" s="45"/>
      <c r="AT259" s="45"/>
      <c r="AU259" s="53"/>
      <c r="AV259" s="53"/>
      <c r="AW259" s="53"/>
      <c r="AX259" s="53"/>
      <c r="AY259" s="53"/>
      <c r="BE259" s="53"/>
      <c r="BF259" s="53"/>
      <c r="BG259" s="53"/>
      <c r="BH259" s="53"/>
      <c r="BI259" s="53"/>
      <c r="BJ259" s="53"/>
      <c r="BK259" s="53"/>
      <c r="BL259" s="53"/>
      <c r="BM259" s="53"/>
      <c r="BP259" s="45"/>
      <c r="BQ259" s="45"/>
      <c r="BR259" s="45"/>
      <c r="BS259" s="45"/>
      <c r="BT259" s="45"/>
      <c r="BU259" s="45"/>
      <c r="BV259" s="45"/>
      <c r="BW259" s="45"/>
      <c r="CG259" s="47"/>
    </row>
    <row r="260" spans="1:97" s="55" customFormat="1" ht="12.75" customHeight="1" x14ac:dyDescent="0.2">
      <c r="B260" s="51"/>
      <c r="D260" s="44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AC260" s="53"/>
      <c r="AD260" s="53"/>
      <c r="AE260" s="53"/>
      <c r="AF260" s="53"/>
      <c r="AG260" s="53"/>
      <c r="AH260" s="53"/>
      <c r="AI260" s="45"/>
      <c r="AJ260" s="45"/>
      <c r="AK260" s="45"/>
      <c r="AL260" s="45"/>
      <c r="AM260" s="53"/>
      <c r="AN260" s="53"/>
      <c r="AO260" s="53"/>
      <c r="AP260" s="53"/>
      <c r="AQ260" s="53"/>
      <c r="AR260" s="53"/>
      <c r="AS260" s="45"/>
      <c r="AT260" s="45"/>
      <c r="AU260" s="53"/>
      <c r="AV260" s="53"/>
      <c r="AW260" s="53"/>
      <c r="AX260" s="53"/>
      <c r="AY260" s="53"/>
      <c r="BE260" s="53"/>
      <c r="BF260" s="53"/>
      <c r="BG260" s="53"/>
      <c r="BH260" s="53"/>
      <c r="BI260" s="53"/>
      <c r="BJ260" s="53"/>
      <c r="BK260" s="53"/>
      <c r="BL260" s="53"/>
      <c r="BM260" s="53"/>
      <c r="BP260" s="45"/>
      <c r="BQ260" s="45"/>
      <c r="BR260" s="45"/>
      <c r="BS260" s="45"/>
      <c r="BT260" s="45"/>
      <c r="BU260" s="45"/>
      <c r="BV260" s="45"/>
      <c r="BW260" s="45"/>
      <c r="CG260" s="47"/>
    </row>
    <row r="261" spans="1:97" s="55" customFormat="1" ht="12.75" customHeight="1" x14ac:dyDescent="0.2">
      <c r="A261" s="44"/>
      <c r="B261" s="51"/>
      <c r="C261" s="44"/>
      <c r="D261" s="44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44"/>
      <c r="AA261" s="44"/>
      <c r="AB261" s="44"/>
      <c r="AC261" s="53"/>
      <c r="AD261" s="53"/>
      <c r="AE261" s="53"/>
      <c r="AF261" s="53"/>
      <c r="AG261" s="53"/>
      <c r="AH261" s="53"/>
      <c r="AI261" s="45"/>
      <c r="AJ261" s="45"/>
      <c r="AK261" s="45"/>
      <c r="AL261" s="45"/>
      <c r="AM261" s="53"/>
      <c r="AN261" s="53"/>
      <c r="AO261" s="53"/>
      <c r="AP261" s="53"/>
      <c r="AQ261" s="53"/>
      <c r="AR261" s="53"/>
      <c r="AS261" s="45"/>
      <c r="AT261" s="45"/>
      <c r="AU261" s="53"/>
      <c r="AV261" s="53"/>
      <c r="AW261" s="53"/>
      <c r="AX261" s="53"/>
      <c r="AY261" s="53"/>
      <c r="AZ261" s="53"/>
      <c r="BA261" s="44"/>
      <c r="BC261" s="44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4"/>
      <c r="BR261" s="51"/>
      <c r="BS261" s="53"/>
      <c r="BT261" s="53"/>
      <c r="BU261" s="53"/>
      <c r="BV261" s="53"/>
      <c r="BW261" s="53"/>
      <c r="BX261" s="45"/>
      <c r="BY261" s="45"/>
      <c r="BZ261" s="53"/>
      <c r="CA261" s="53"/>
      <c r="CB261" s="53"/>
      <c r="CC261" s="53"/>
      <c r="CD261" s="53"/>
      <c r="CE261" s="53"/>
      <c r="CF261" s="44"/>
      <c r="CH261" s="44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4"/>
    </row>
    <row r="262" spans="1:97" s="55" customFormat="1" ht="12.75" customHeight="1" x14ac:dyDescent="0.2">
      <c r="B262" s="51"/>
      <c r="D262" s="44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53"/>
      <c r="AN262" s="53"/>
      <c r="AO262" s="53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B262" s="47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R262" s="51"/>
      <c r="BS262" s="35"/>
      <c r="BT262" s="35"/>
      <c r="BU262" s="35"/>
      <c r="BV262" s="35"/>
      <c r="BW262" s="35"/>
      <c r="BX262" s="45"/>
      <c r="BY262" s="45"/>
      <c r="BZ262" s="35"/>
      <c r="CA262" s="35"/>
      <c r="CB262" s="35"/>
      <c r="CC262" s="35"/>
      <c r="CD262" s="35"/>
      <c r="CE262" s="35"/>
      <c r="CG262" s="47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</row>
    <row r="263" spans="1:97" s="55" customFormat="1" ht="12.75" customHeight="1" x14ac:dyDescent="0.2">
      <c r="B263" s="51"/>
      <c r="D263" s="44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53"/>
      <c r="AN263" s="53"/>
      <c r="AO263" s="53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E263" s="47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G263" s="47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</row>
    <row r="264" spans="1:97" s="55" customFormat="1" ht="12.75" customHeight="1" x14ac:dyDescent="0.2">
      <c r="B264" s="51"/>
      <c r="D264" s="44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53"/>
      <c r="AN264" s="53"/>
      <c r="AO264" s="53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E264" s="47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G264" s="47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</row>
    <row r="265" spans="1:97" s="55" customFormat="1" ht="12.75" customHeight="1" x14ac:dyDescent="0.2">
      <c r="B265" s="51"/>
      <c r="D265" s="44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53"/>
      <c r="AN265" s="53"/>
      <c r="AO265" s="53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E265" s="47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G265" s="47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</row>
    <row r="266" spans="1:97" s="55" customFormat="1" ht="12.75" customHeight="1" x14ac:dyDescent="0.2">
      <c r="B266" s="51"/>
      <c r="D266" s="44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53"/>
      <c r="AN266" s="53"/>
      <c r="AO266" s="53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E266" s="47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G266" s="47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</row>
    <row r="267" spans="1:97" s="55" customFormat="1" ht="12.75" customHeight="1" x14ac:dyDescent="0.2">
      <c r="B267" s="51"/>
      <c r="D267" s="44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53"/>
      <c r="AN267" s="53"/>
      <c r="AO267" s="53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E267" s="47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G267" s="47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</row>
    <row r="268" spans="1:97" s="55" customFormat="1" ht="12.75" customHeight="1" x14ac:dyDescent="0.2">
      <c r="B268" s="51"/>
      <c r="D268" s="44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53"/>
      <c r="AN268" s="53"/>
      <c r="AO268" s="53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E268" s="47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G268" s="47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</row>
    <row r="269" spans="1:97" s="55" customFormat="1" ht="12.75" customHeight="1" x14ac:dyDescent="0.2">
      <c r="B269" s="51"/>
      <c r="D269" s="44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53"/>
      <c r="AN269" s="53"/>
      <c r="AO269" s="53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E269" s="47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G269" s="47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</row>
    <row r="270" spans="1:97" s="55" customFormat="1" ht="12.75" customHeight="1" x14ac:dyDescent="0.2">
      <c r="B270" s="51"/>
      <c r="D270" s="44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53"/>
      <c r="AN270" s="53"/>
      <c r="AO270" s="53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E270" s="47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G270" s="47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</row>
    <row r="271" spans="1:97" s="55" customFormat="1" ht="12.75" customHeight="1" x14ac:dyDescent="0.2">
      <c r="B271" s="51"/>
      <c r="D271" s="44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53"/>
      <c r="AN271" s="53"/>
      <c r="AO271" s="53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E271" s="47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G271" s="47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</row>
    <row r="272" spans="1:97" s="55" customFormat="1" ht="12.75" customHeight="1" x14ac:dyDescent="0.2">
      <c r="B272" s="51"/>
      <c r="D272" s="44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53"/>
      <c r="AN272" s="53"/>
      <c r="AO272" s="53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E272" s="47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G272" s="47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</row>
    <row r="273" spans="2:97" s="55" customFormat="1" ht="12.75" customHeight="1" x14ac:dyDescent="0.2">
      <c r="B273" s="51"/>
      <c r="D273" s="44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53"/>
      <c r="AN273" s="53"/>
      <c r="AO273" s="53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E273" s="47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G273" s="47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</row>
    <row r="274" spans="2:97" s="55" customFormat="1" ht="12.75" customHeight="1" x14ac:dyDescent="0.2">
      <c r="B274" s="51"/>
      <c r="D274" s="44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53"/>
      <c r="AN274" s="53"/>
      <c r="AO274" s="53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E274" s="47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G274" s="47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</row>
    <row r="275" spans="2:97" s="55" customFormat="1" ht="12.75" customHeight="1" x14ac:dyDescent="0.2">
      <c r="B275" s="51"/>
      <c r="D275" s="44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53"/>
      <c r="AN275" s="53"/>
      <c r="AO275" s="53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E275" s="47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G275" s="47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</row>
    <row r="276" spans="2:97" s="55" customFormat="1" ht="12.75" customHeight="1" x14ac:dyDescent="0.2">
      <c r="B276" s="51"/>
      <c r="D276" s="44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53"/>
      <c r="AN276" s="53"/>
      <c r="AO276" s="53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E276" s="47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G276" s="47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</row>
    <row r="277" spans="2:97" s="55" customFormat="1" ht="12.75" customHeight="1" x14ac:dyDescent="0.2">
      <c r="B277" s="51"/>
      <c r="D277" s="44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53"/>
      <c r="AN277" s="53"/>
      <c r="AO277" s="53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E277" s="47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G277" s="47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</row>
    <row r="278" spans="2:97" s="55" customFormat="1" ht="12.75" customHeight="1" x14ac:dyDescent="0.2">
      <c r="B278" s="51"/>
      <c r="D278" s="44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53"/>
      <c r="AN278" s="53"/>
      <c r="AO278" s="53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E278" s="47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G278" s="47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</row>
    <row r="279" spans="2:97" s="55" customFormat="1" ht="12.75" customHeight="1" x14ac:dyDescent="0.2">
      <c r="B279" s="51"/>
      <c r="D279" s="44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53"/>
      <c r="AN279" s="53"/>
      <c r="AO279" s="53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E279" s="47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G279" s="47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</row>
    <row r="280" spans="2:97" s="55" customFormat="1" ht="12.75" customHeight="1" x14ac:dyDescent="0.2">
      <c r="B280" s="51"/>
      <c r="D280" s="44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53"/>
      <c r="AN280" s="53"/>
      <c r="AO280" s="53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E280" s="47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G280" s="47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</row>
    <row r="281" spans="2:97" s="55" customFormat="1" ht="12.75" customHeight="1" x14ac:dyDescent="0.2">
      <c r="B281" s="51"/>
      <c r="D281" s="44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53"/>
      <c r="AN281" s="53"/>
      <c r="AO281" s="53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E281" s="47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G281" s="47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</row>
    <row r="282" spans="2:97" s="55" customFormat="1" ht="12.75" customHeight="1" x14ac:dyDescent="0.2">
      <c r="B282" s="51"/>
      <c r="D282" s="44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53"/>
      <c r="AN282" s="53"/>
      <c r="AO282" s="53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E282" s="47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G282" s="47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</row>
    <row r="283" spans="2:97" s="55" customFormat="1" ht="12.75" customHeight="1" x14ac:dyDescent="0.2">
      <c r="B283" s="51"/>
      <c r="D283" s="44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53"/>
      <c r="AN283" s="53"/>
      <c r="AO283" s="53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E283" s="47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G283" s="47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</row>
    <row r="284" spans="2:97" s="55" customFormat="1" ht="12.75" customHeight="1" x14ac:dyDescent="0.2">
      <c r="B284" s="51"/>
      <c r="D284" s="44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53"/>
      <c r="AN284" s="53"/>
      <c r="AO284" s="53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E284" s="47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G284" s="47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</row>
    <row r="285" spans="2:97" s="55" customFormat="1" ht="12.75" customHeight="1" x14ac:dyDescent="0.2">
      <c r="B285" s="51"/>
      <c r="D285" s="44"/>
      <c r="AM285" s="53"/>
      <c r="AN285" s="53"/>
      <c r="AO285" s="53"/>
      <c r="BE285" s="47"/>
      <c r="BP285" s="45"/>
      <c r="BQ285" s="45"/>
      <c r="BR285" s="45"/>
      <c r="BS285" s="45"/>
      <c r="BT285" s="45"/>
      <c r="BU285" s="45"/>
      <c r="BV285" s="45"/>
      <c r="BW285" s="45"/>
      <c r="CG285" s="47"/>
    </row>
    <row r="286" spans="2:97" s="55" customFormat="1" ht="12.75" customHeight="1" x14ac:dyDescent="0.2">
      <c r="B286" s="51"/>
      <c r="D286" s="44"/>
      <c r="AM286" s="53"/>
      <c r="AN286" s="53"/>
      <c r="AO286" s="53"/>
      <c r="BE286" s="47"/>
      <c r="BP286" s="45"/>
      <c r="BQ286" s="45"/>
      <c r="BR286" s="45"/>
      <c r="BS286" s="45"/>
      <c r="BT286" s="45"/>
      <c r="BU286" s="45"/>
      <c r="BV286" s="45"/>
      <c r="BW286" s="45"/>
      <c r="CG286" s="47"/>
    </row>
    <row r="287" spans="2:97" s="55" customFormat="1" ht="12.75" customHeight="1" x14ac:dyDescent="0.2">
      <c r="B287" s="51"/>
      <c r="D287" s="44"/>
      <c r="AM287" s="53"/>
      <c r="AN287" s="53"/>
      <c r="AO287" s="53"/>
      <c r="BE287" s="47"/>
      <c r="BP287" s="45"/>
      <c r="BQ287" s="45"/>
      <c r="BR287" s="45"/>
      <c r="BS287" s="45"/>
      <c r="BT287" s="45"/>
      <c r="BU287" s="45"/>
      <c r="BV287" s="45"/>
      <c r="BW287" s="45"/>
      <c r="CG287" s="47"/>
    </row>
    <row r="288" spans="2:97" s="55" customFormat="1" ht="12.75" customHeight="1" x14ac:dyDescent="0.2">
      <c r="B288" s="51"/>
      <c r="D288" s="44"/>
      <c r="AM288" s="53"/>
      <c r="AN288" s="53"/>
      <c r="AO288" s="53"/>
      <c r="BE288" s="47"/>
      <c r="BP288" s="45"/>
      <c r="BQ288" s="45"/>
      <c r="BR288" s="45"/>
      <c r="BS288" s="45"/>
      <c r="BT288" s="45"/>
      <c r="BU288" s="45"/>
      <c r="BV288" s="45"/>
      <c r="BW288" s="45"/>
      <c r="CG288" s="47"/>
    </row>
    <row r="289" spans="2:85" s="55" customFormat="1" ht="12.75" customHeight="1" x14ac:dyDescent="0.2">
      <c r="B289" s="51"/>
      <c r="D289" s="44"/>
      <c r="AM289" s="53"/>
      <c r="AN289" s="53"/>
      <c r="AO289" s="53"/>
      <c r="BE289" s="47"/>
      <c r="BP289" s="45"/>
      <c r="BQ289" s="45"/>
      <c r="BR289" s="45"/>
      <c r="BS289" s="45"/>
      <c r="BT289" s="45"/>
      <c r="BU289" s="45"/>
      <c r="BV289" s="45"/>
      <c r="BW289" s="45"/>
      <c r="CG289" s="47"/>
    </row>
    <row r="290" spans="2:85" s="55" customFormat="1" ht="12.75" customHeight="1" x14ac:dyDescent="0.2">
      <c r="B290" s="51"/>
      <c r="D290" s="44"/>
      <c r="AM290" s="53"/>
      <c r="AN290" s="53"/>
      <c r="AO290" s="53"/>
      <c r="BE290" s="47"/>
      <c r="BP290" s="45"/>
      <c r="BQ290" s="45"/>
      <c r="BR290" s="45"/>
      <c r="BS290" s="45"/>
      <c r="BT290" s="45"/>
      <c r="BU290" s="45"/>
      <c r="BV290" s="45"/>
      <c r="BW290" s="45"/>
      <c r="CG290" s="47"/>
    </row>
    <row r="291" spans="2:85" s="55" customFormat="1" ht="12.75" customHeight="1" x14ac:dyDescent="0.2">
      <c r="B291" s="51"/>
      <c r="D291" s="44"/>
      <c r="AM291" s="53"/>
      <c r="AN291" s="53"/>
      <c r="AO291" s="53"/>
      <c r="BE291" s="47"/>
      <c r="BP291" s="45"/>
      <c r="BQ291" s="45"/>
      <c r="BR291" s="45"/>
      <c r="BS291" s="45"/>
      <c r="BT291" s="45"/>
      <c r="BU291" s="45"/>
      <c r="BV291" s="45"/>
      <c r="BW291" s="45"/>
      <c r="CG291" s="47"/>
    </row>
    <row r="292" spans="2:85" s="55" customFormat="1" ht="12.75" customHeight="1" x14ac:dyDescent="0.2">
      <c r="B292" s="51"/>
      <c r="D292" s="44"/>
      <c r="AM292" s="53"/>
      <c r="AN292" s="53"/>
      <c r="AO292" s="53"/>
      <c r="BE292" s="47"/>
      <c r="BP292" s="45"/>
      <c r="BQ292" s="45"/>
      <c r="BR292" s="45"/>
      <c r="BS292" s="45"/>
      <c r="BT292" s="45"/>
      <c r="BU292" s="45"/>
      <c r="BV292" s="45"/>
      <c r="BW292" s="45"/>
      <c r="CG292" s="47"/>
    </row>
    <row r="293" spans="2:85" s="55" customFormat="1" ht="12.75" customHeight="1" x14ac:dyDescent="0.2">
      <c r="B293" s="51"/>
      <c r="D293" s="44"/>
      <c r="AM293" s="53"/>
      <c r="AN293" s="53"/>
      <c r="AO293" s="53"/>
      <c r="BE293" s="47"/>
      <c r="BP293" s="45"/>
      <c r="BQ293" s="45"/>
      <c r="BR293" s="45"/>
      <c r="BS293" s="45"/>
      <c r="BT293" s="45"/>
      <c r="BU293" s="45"/>
      <c r="BV293" s="45"/>
      <c r="BW293" s="45"/>
      <c r="CG293" s="47"/>
    </row>
    <row r="294" spans="2:85" s="55" customFormat="1" ht="12.75" customHeight="1" x14ac:dyDescent="0.2">
      <c r="B294" s="51"/>
      <c r="D294" s="44"/>
      <c r="AM294" s="53"/>
      <c r="AN294" s="53"/>
      <c r="AO294" s="53"/>
      <c r="BE294" s="47"/>
      <c r="BP294" s="45"/>
      <c r="BQ294" s="45"/>
      <c r="BR294" s="45"/>
      <c r="BS294" s="45"/>
      <c r="BT294" s="45"/>
      <c r="BU294" s="45"/>
      <c r="BV294" s="45"/>
      <c r="BW294" s="45"/>
      <c r="CG294" s="47"/>
    </row>
    <row r="295" spans="2:85" s="55" customFormat="1" ht="12.75" customHeight="1" x14ac:dyDescent="0.2">
      <c r="B295" s="51"/>
      <c r="D295" s="44"/>
      <c r="AM295" s="53"/>
      <c r="AN295" s="53"/>
      <c r="AO295" s="53"/>
      <c r="BE295" s="47"/>
      <c r="BP295" s="45"/>
      <c r="BQ295" s="45"/>
      <c r="BR295" s="45"/>
      <c r="BS295" s="45"/>
      <c r="BT295" s="45"/>
      <c r="BU295" s="45"/>
      <c r="BV295" s="45"/>
      <c r="BW295" s="45"/>
      <c r="CG295" s="47"/>
    </row>
    <row r="296" spans="2:85" s="55" customFormat="1" ht="12.75" customHeight="1" x14ac:dyDescent="0.2">
      <c r="B296" s="51"/>
      <c r="D296" s="44"/>
      <c r="AM296" s="53"/>
      <c r="AN296" s="53"/>
      <c r="AO296" s="53"/>
      <c r="BE296" s="47"/>
      <c r="BP296" s="45"/>
      <c r="BQ296" s="45"/>
      <c r="BR296" s="45"/>
      <c r="BS296" s="45"/>
      <c r="BT296" s="45"/>
      <c r="BU296" s="45"/>
      <c r="BV296" s="45"/>
      <c r="BW296" s="45"/>
      <c r="CG296" s="47"/>
    </row>
    <row r="297" spans="2:85" s="55" customFormat="1" ht="12.75" customHeight="1" x14ac:dyDescent="0.2">
      <c r="B297" s="51"/>
      <c r="D297" s="44"/>
      <c r="AM297" s="53"/>
      <c r="AN297" s="53"/>
      <c r="AO297" s="53"/>
      <c r="BE297" s="47"/>
      <c r="BP297" s="45"/>
      <c r="BQ297" s="45"/>
      <c r="BR297" s="45"/>
      <c r="BS297" s="45"/>
      <c r="BT297" s="45"/>
      <c r="BU297" s="45"/>
      <c r="BV297" s="45"/>
      <c r="BW297" s="45"/>
      <c r="CG297" s="47"/>
    </row>
    <row r="298" spans="2:85" s="55" customFormat="1" ht="12.75" customHeight="1" x14ac:dyDescent="0.2">
      <c r="B298" s="51"/>
      <c r="D298" s="44"/>
      <c r="AM298" s="53"/>
      <c r="AN298" s="53"/>
      <c r="AO298" s="53"/>
      <c r="BE298" s="47"/>
      <c r="BP298" s="45"/>
      <c r="BQ298" s="45"/>
      <c r="BR298" s="45"/>
      <c r="BS298" s="45"/>
      <c r="BT298" s="45"/>
      <c r="BU298" s="45"/>
      <c r="BV298" s="45"/>
      <c r="BW298" s="45"/>
      <c r="CG298" s="47"/>
    </row>
    <row r="299" spans="2:85" s="55" customFormat="1" ht="12.75" customHeight="1" x14ac:dyDescent="0.2">
      <c r="B299" s="51"/>
      <c r="D299" s="44"/>
      <c r="AM299" s="53"/>
      <c r="AN299" s="53"/>
      <c r="AO299" s="53"/>
      <c r="BE299" s="47"/>
      <c r="BP299" s="45"/>
      <c r="BQ299" s="45"/>
      <c r="BR299" s="45"/>
      <c r="BS299" s="45"/>
      <c r="BT299" s="45"/>
      <c r="BU299" s="45"/>
      <c r="BV299" s="45"/>
      <c r="BW299" s="45"/>
      <c r="CG299" s="47"/>
    </row>
    <row r="300" spans="2:85" s="55" customFormat="1" ht="12.75" customHeight="1" x14ac:dyDescent="0.2">
      <c r="B300" s="51"/>
      <c r="D300" s="44"/>
      <c r="AM300" s="53"/>
      <c r="AN300" s="53"/>
      <c r="AO300" s="53"/>
      <c r="BE300" s="47"/>
      <c r="BP300" s="45"/>
      <c r="BQ300" s="45"/>
      <c r="BR300" s="45"/>
      <c r="BS300" s="45"/>
      <c r="BT300" s="45"/>
      <c r="BU300" s="45"/>
      <c r="BV300" s="45"/>
      <c r="BW300" s="45"/>
      <c r="CG300" s="47"/>
    </row>
    <row r="301" spans="2:85" s="55" customFormat="1" ht="12.75" customHeight="1" x14ac:dyDescent="0.2">
      <c r="B301" s="51"/>
      <c r="D301" s="44"/>
      <c r="AM301" s="53"/>
      <c r="AN301" s="53"/>
      <c r="AO301" s="53"/>
      <c r="BE301" s="47"/>
      <c r="BP301" s="45"/>
      <c r="BQ301" s="45"/>
      <c r="BR301" s="45"/>
      <c r="BS301" s="45"/>
      <c r="BT301" s="45"/>
      <c r="BU301" s="45"/>
      <c r="BV301" s="45"/>
      <c r="BW301" s="45"/>
      <c r="CG301" s="47"/>
    </row>
    <row r="302" spans="2:85" s="55" customFormat="1" ht="12.75" customHeight="1" x14ac:dyDescent="0.2">
      <c r="B302" s="51"/>
      <c r="D302" s="44"/>
      <c r="AM302" s="53"/>
      <c r="AN302" s="53"/>
      <c r="AO302" s="53"/>
      <c r="BE302" s="47"/>
      <c r="BP302" s="45"/>
      <c r="BQ302" s="45"/>
      <c r="BR302" s="45"/>
      <c r="BS302" s="45"/>
      <c r="BT302" s="45"/>
      <c r="BU302" s="45"/>
      <c r="BV302" s="45"/>
      <c r="BW302" s="45"/>
      <c r="CG302" s="47"/>
    </row>
    <row r="303" spans="2:85" s="55" customFormat="1" ht="12.75" customHeight="1" x14ac:dyDescent="0.2">
      <c r="B303" s="51"/>
      <c r="D303" s="44"/>
      <c r="AM303" s="53"/>
      <c r="AN303" s="53"/>
      <c r="AO303" s="53"/>
      <c r="BE303" s="47"/>
      <c r="BP303" s="45"/>
      <c r="BQ303" s="45"/>
      <c r="BR303" s="45"/>
      <c r="BS303" s="45"/>
      <c r="BT303" s="45"/>
      <c r="BU303" s="45"/>
      <c r="BV303" s="45"/>
      <c r="BW303" s="45"/>
      <c r="CG303" s="47"/>
    </row>
    <row r="304" spans="2:85" s="55" customFormat="1" ht="12.75" customHeight="1" x14ac:dyDescent="0.2">
      <c r="B304" s="51"/>
      <c r="D304" s="44"/>
      <c r="AM304" s="53"/>
      <c r="AN304" s="53"/>
      <c r="AO304" s="53"/>
      <c r="BE304" s="47"/>
      <c r="BP304" s="45"/>
      <c r="BQ304" s="45"/>
      <c r="BR304" s="45"/>
      <c r="BS304" s="45"/>
      <c r="BT304" s="45"/>
      <c r="BU304" s="45"/>
      <c r="BV304" s="45"/>
      <c r="BW304" s="45"/>
      <c r="CG304" s="47"/>
    </row>
    <row r="305" spans="2:85" s="55" customFormat="1" ht="12.75" customHeight="1" x14ac:dyDescent="0.2">
      <c r="B305" s="51"/>
      <c r="D305" s="44"/>
      <c r="AM305" s="53"/>
      <c r="AN305" s="53"/>
      <c r="AO305" s="53"/>
      <c r="BE305" s="47"/>
      <c r="BP305" s="45"/>
      <c r="BQ305" s="45"/>
      <c r="BR305" s="45"/>
      <c r="BS305" s="45"/>
      <c r="BT305" s="45"/>
      <c r="BU305" s="45"/>
      <c r="BV305" s="45"/>
      <c r="BW305" s="45"/>
      <c r="CG305" s="47"/>
    </row>
    <row r="306" spans="2:85" s="55" customFormat="1" ht="12.75" customHeight="1" x14ac:dyDescent="0.2">
      <c r="B306" s="51"/>
      <c r="D306" s="44"/>
      <c r="AM306" s="53"/>
      <c r="AN306" s="53"/>
      <c r="AO306" s="53"/>
      <c r="BE306" s="47"/>
      <c r="BP306" s="45"/>
      <c r="BQ306" s="45"/>
      <c r="BR306" s="45"/>
      <c r="BS306" s="45"/>
      <c r="BT306" s="45"/>
      <c r="BU306" s="45"/>
      <c r="BV306" s="45"/>
      <c r="BW306" s="45"/>
      <c r="CG306" s="47"/>
    </row>
    <row r="307" spans="2:85" s="55" customFormat="1" ht="12.75" customHeight="1" x14ac:dyDescent="0.2">
      <c r="B307" s="51"/>
      <c r="D307" s="44"/>
      <c r="BE307" s="47"/>
      <c r="BP307" s="45"/>
      <c r="BQ307" s="45"/>
      <c r="BR307" s="45"/>
      <c r="BS307" s="45"/>
      <c r="BT307" s="45"/>
      <c r="BU307" s="45"/>
      <c r="BV307" s="45"/>
      <c r="BW307" s="45"/>
      <c r="CG307" s="47"/>
    </row>
    <row r="308" spans="2:85" s="55" customFormat="1" ht="12.75" customHeight="1" x14ac:dyDescent="0.2">
      <c r="B308" s="51"/>
      <c r="D308" s="44"/>
      <c r="BE308" s="47"/>
      <c r="BP308" s="45"/>
      <c r="BQ308" s="45"/>
      <c r="BR308" s="45"/>
      <c r="BS308" s="45"/>
      <c r="BT308" s="45"/>
      <c r="BU308" s="45"/>
      <c r="BV308" s="45"/>
      <c r="BW308" s="45"/>
      <c r="CG308" s="47"/>
    </row>
    <row r="309" spans="2:85" s="55" customFormat="1" ht="12.75" customHeight="1" x14ac:dyDescent="0.2">
      <c r="B309" s="51"/>
      <c r="D309" s="44"/>
      <c r="BE309" s="47"/>
      <c r="BP309" s="45"/>
      <c r="BQ309" s="45"/>
      <c r="BR309" s="45"/>
      <c r="BS309" s="45"/>
      <c r="BT309" s="45"/>
      <c r="BU309" s="45"/>
      <c r="BV309" s="45"/>
      <c r="BW309" s="45"/>
      <c r="CG309" s="47"/>
    </row>
    <row r="310" spans="2:85" s="55" customFormat="1" ht="12.75" customHeight="1" x14ac:dyDescent="0.2">
      <c r="B310" s="51"/>
      <c r="D310" s="44"/>
      <c r="BE310" s="47"/>
      <c r="BP310" s="45"/>
      <c r="BQ310" s="45"/>
      <c r="BR310" s="45"/>
      <c r="BS310" s="45"/>
      <c r="BT310" s="45"/>
      <c r="BU310" s="45"/>
      <c r="BV310" s="45"/>
      <c r="BW310" s="45"/>
      <c r="CG310" s="47"/>
    </row>
    <row r="311" spans="2:85" s="55" customFormat="1" ht="12.75" customHeight="1" x14ac:dyDescent="0.2">
      <c r="B311" s="51"/>
      <c r="D311" s="44"/>
      <c r="BE311" s="47"/>
      <c r="BP311" s="45"/>
      <c r="BQ311" s="45"/>
      <c r="BR311" s="45"/>
      <c r="BS311" s="45"/>
      <c r="BT311" s="45"/>
      <c r="BU311" s="45"/>
      <c r="BV311" s="45"/>
      <c r="BW311" s="45"/>
      <c r="CG311" s="47"/>
    </row>
    <row r="312" spans="2:85" s="55" customFormat="1" ht="12.75" customHeight="1" x14ac:dyDescent="0.2">
      <c r="B312" s="51"/>
      <c r="D312" s="44"/>
      <c r="BE312" s="47"/>
      <c r="BP312" s="45"/>
      <c r="BQ312" s="45"/>
      <c r="BR312" s="45"/>
      <c r="BS312" s="45"/>
      <c r="BT312" s="45"/>
      <c r="BU312" s="45"/>
      <c r="BV312" s="45"/>
      <c r="BW312" s="45"/>
      <c r="CG312" s="47"/>
    </row>
    <row r="313" spans="2:85" s="55" customFormat="1" ht="12.75" customHeight="1" x14ac:dyDescent="0.2">
      <c r="B313" s="51"/>
      <c r="D313" s="44"/>
      <c r="BE313" s="47"/>
      <c r="BP313" s="45"/>
      <c r="BQ313" s="45"/>
      <c r="BR313" s="45"/>
      <c r="BS313" s="45"/>
      <c r="BT313" s="45"/>
      <c r="BU313" s="45"/>
      <c r="BV313" s="45"/>
      <c r="BW313" s="45"/>
      <c r="CG313" s="47"/>
    </row>
    <row r="314" spans="2:85" s="55" customFormat="1" ht="12.75" customHeight="1" x14ac:dyDescent="0.2">
      <c r="B314" s="51"/>
      <c r="D314" s="44"/>
      <c r="BE314" s="47"/>
      <c r="BP314" s="45"/>
      <c r="BQ314" s="45"/>
      <c r="BR314" s="45"/>
      <c r="BS314" s="45"/>
      <c r="BT314" s="45"/>
      <c r="BU314" s="45"/>
      <c r="BV314" s="45"/>
      <c r="BW314" s="45"/>
      <c r="CG314" s="47"/>
    </row>
    <row r="315" spans="2:85" s="55" customFormat="1" ht="12.75" customHeight="1" x14ac:dyDescent="0.2">
      <c r="B315" s="51"/>
      <c r="D315" s="44"/>
      <c r="BE315" s="47"/>
      <c r="BP315" s="45"/>
      <c r="BQ315" s="45"/>
      <c r="BR315" s="45"/>
      <c r="BS315" s="45"/>
      <c r="BT315" s="45"/>
      <c r="BU315" s="45"/>
      <c r="BV315" s="45"/>
      <c r="BW315" s="45"/>
      <c r="CG315" s="47"/>
    </row>
    <row r="316" spans="2:85" s="55" customFormat="1" ht="12.75" customHeight="1" x14ac:dyDescent="0.2">
      <c r="B316" s="51"/>
      <c r="D316" s="44"/>
      <c r="BE316" s="47"/>
      <c r="BP316" s="45"/>
      <c r="BQ316" s="45"/>
      <c r="BR316" s="45"/>
      <c r="BS316" s="45"/>
      <c r="BT316" s="45"/>
      <c r="BU316" s="45"/>
      <c r="BV316" s="45"/>
      <c r="BW316" s="45"/>
      <c r="CG316" s="47"/>
    </row>
    <row r="317" spans="2:85" s="55" customFormat="1" ht="12.75" customHeight="1" x14ac:dyDescent="0.2">
      <c r="B317" s="51"/>
      <c r="D317" s="44"/>
      <c r="BE317" s="47"/>
      <c r="BP317" s="45"/>
      <c r="BQ317" s="45"/>
      <c r="BR317" s="45"/>
      <c r="BS317" s="45"/>
      <c r="BT317" s="45"/>
      <c r="BU317" s="45"/>
      <c r="BV317" s="45"/>
      <c r="BW317" s="45"/>
      <c r="CG317" s="47"/>
    </row>
    <row r="318" spans="2:85" s="55" customFormat="1" ht="12.75" customHeight="1" x14ac:dyDescent="0.2">
      <c r="B318" s="51"/>
      <c r="D318" s="44"/>
      <c r="BE318" s="47"/>
      <c r="BP318" s="45"/>
      <c r="BQ318" s="45"/>
      <c r="BR318" s="45"/>
      <c r="BS318" s="45"/>
      <c r="BT318" s="45"/>
      <c r="BU318" s="45"/>
      <c r="BV318" s="45"/>
      <c r="BW318" s="45"/>
      <c r="CG318" s="47"/>
    </row>
    <row r="319" spans="2:85" s="55" customFormat="1" ht="12.75" customHeight="1" x14ac:dyDescent="0.2">
      <c r="B319" s="51"/>
      <c r="D319" s="44"/>
      <c r="BE319" s="47"/>
      <c r="BP319" s="45"/>
      <c r="BQ319" s="45"/>
      <c r="BR319" s="45"/>
      <c r="BS319" s="45"/>
      <c r="BT319" s="45"/>
      <c r="BU319" s="45"/>
      <c r="BV319" s="45"/>
      <c r="BW319" s="45"/>
      <c r="CG319" s="47"/>
    </row>
    <row r="320" spans="2:85" s="55" customFormat="1" ht="12.75" customHeight="1" x14ac:dyDescent="0.2">
      <c r="B320" s="51"/>
      <c r="D320" s="44"/>
      <c r="BE320" s="47"/>
      <c r="BP320" s="45"/>
      <c r="BQ320" s="45"/>
      <c r="BR320" s="45"/>
      <c r="BS320" s="45"/>
      <c r="BT320" s="45"/>
      <c r="BU320" s="45"/>
      <c r="BV320" s="45"/>
      <c r="BW320" s="45"/>
      <c r="CG320" s="47"/>
    </row>
    <row r="321" spans="2:85" s="55" customFormat="1" ht="12.75" customHeight="1" x14ac:dyDescent="0.2">
      <c r="B321" s="51"/>
      <c r="D321" s="44"/>
      <c r="BE321" s="47"/>
      <c r="BP321" s="45"/>
      <c r="BQ321" s="45"/>
      <c r="BR321" s="45"/>
      <c r="BS321" s="45"/>
      <c r="BT321" s="45"/>
      <c r="BU321" s="45"/>
      <c r="BV321" s="45"/>
      <c r="BW321" s="45"/>
      <c r="CG321" s="47"/>
    </row>
    <row r="322" spans="2:85" s="55" customFormat="1" ht="12.75" customHeight="1" x14ac:dyDescent="0.2">
      <c r="B322" s="51"/>
      <c r="D322" s="44"/>
      <c r="BE322" s="47"/>
      <c r="BP322" s="45"/>
      <c r="BQ322" s="45"/>
      <c r="BR322" s="45"/>
      <c r="BS322" s="45"/>
      <c r="BT322" s="45"/>
      <c r="BU322" s="45"/>
      <c r="BV322" s="45"/>
      <c r="BW322" s="45"/>
      <c r="CG322" s="47"/>
    </row>
    <row r="323" spans="2:85" s="55" customFormat="1" ht="12.75" customHeight="1" x14ac:dyDescent="0.2">
      <c r="B323" s="51"/>
      <c r="D323" s="44"/>
      <c r="BE323" s="47"/>
      <c r="BP323" s="45"/>
      <c r="BQ323" s="45"/>
      <c r="BR323" s="45"/>
      <c r="BS323" s="45"/>
      <c r="BT323" s="45"/>
      <c r="BU323" s="45"/>
      <c r="BV323" s="45"/>
      <c r="BW323" s="45"/>
      <c r="CG323" s="47"/>
    </row>
  </sheetData>
  <mergeCells count="1">
    <mergeCell ref="Q5:U5"/>
  </mergeCells>
  <phoneticPr fontId="4" type="noConversion"/>
  <pageMargins left="0.75" right="0.75" top="0.5" bottom="0.5" header="0" footer="0.25"/>
  <pageSetup scale="83" firstPageNumber="110" pageOrder="overThenDown" orientation="portrait" useFirstPageNumber="1" r:id="rId1"/>
  <headerFooter alignWithMargins="0">
    <oddFooter>&amp;C&amp;"Times New Roman,Regular"&amp;11&amp;P</oddFooter>
  </headerFooter>
  <rowBreaks count="9" manualBreakCount="9">
    <brk id="81" min="52" max="64" man="1"/>
    <brk id="81" min="24" max="50" man="1"/>
    <brk id="81" max="22" man="1"/>
    <brk id="164" min="52" max="64" man="1"/>
    <brk id="164" min="24" max="50" man="1"/>
    <brk id="164" max="22" man="1"/>
    <brk id="240" min="52" max="64" man="1"/>
    <brk id="240" min="24" max="50" man="1"/>
    <brk id="240" max="22" man="1"/>
  </rowBreaks>
  <colBreaks count="2" manualBreakCount="2">
    <brk id="14" min="9" max="256" man="1"/>
    <brk id="37" min="9" max="25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318"/>
  <sheetViews>
    <sheetView view="pageBreakPreview" zoomScale="90" zoomScaleNormal="100" zoomScaleSheetLayoutView="90" workbookViewId="0">
      <pane xSplit="3" ySplit="9" topLeftCell="AT10" activePane="bottomRight" state="frozen"/>
      <selection sqref="A1:IV65536"/>
      <selection pane="topRight" sqref="A1:IV65536"/>
      <selection pane="bottomLeft" sqref="A1:IV65536"/>
      <selection pane="bottomRight" activeCell="AQ62" sqref="AQ62"/>
    </sheetView>
  </sheetViews>
  <sheetFormatPr defaultColWidth="8.42578125" defaultRowHeight="12.75" customHeight="1" x14ac:dyDescent="0.2"/>
  <cols>
    <col min="1" max="1" width="16.28515625" style="55" customWidth="1"/>
    <col min="2" max="2" width="1.7109375" style="51" customWidth="1"/>
    <col min="3" max="3" width="10.140625" style="55" customWidth="1"/>
    <col min="4" max="4" width="1.7109375" style="55" customWidth="1"/>
    <col min="5" max="5" width="11.7109375" style="55" customWidth="1"/>
    <col min="6" max="6" width="1.7109375" style="55" customWidth="1"/>
    <col min="7" max="7" width="11.7109375" style="55" customWidth="1"/>
    <col min="8" max="8" width="1.7109375" style="55" customWidth="1"/>
    <col min="9" max="9" width="11.7109375" style="55" customWidth="1"/>
    <col min="10" max="10" width="1.7109375" style="55" customWidth="1"/>
    <col min="11" max="11" width="11.7109375" style="55" customWidth="1"/>
    <col min="12" max="12" width="1.7109375" style="55" customWidth="1"/>
    <col min="13" max="13" width="11.7109375" style="55" customWidth="1"/>
    <col min="14" max="14" width="1.7109375" style="55" customWidth="1"/>
    <col min="15" max="15" width="11.7109375" style="55" customWidth="1"/>
    <col min="16" max="16" width="1.7109375" style="55" customWidth="1"/>
    <col min="17" max="17" width="11.7109375" style="55" customWidth="1"/>
    <col min="18" max="18" width="1.85546875" style="55" customWidth="1"/>
    <col min="19" max="19" width="11.7109375" style="55" customWidth="1"/>
    <col min="20" max="20" width="1.7109375" style="55" customWidth="1"/>
    <col min="21" max="21" width="11.7109375" style="55" customWidth="1"/>
    <col min="22" max="22" width="1.7109375" style="55" customWidth="1"/>
    <col min="23" max="23" width="11.7109375" style="55" customWidth="1"/>
    <col min="24" max="24" width="14.5703125" style="55" customWidth="1"/>
    <col min="25" max="25" width="16" style="55" customWidth="1"/>
    <col min="26" max="26" width="1.7109375" style="47" customWidth="1"/>
    <col min="27" max="27" width="10.140625" style="55" customWidth="1"/>
    <col min="28" max="28" width="1.7109375" style="55" customWidth="1"/>
    <col min="29" max="29" width="11.7109375" style="55" customWidth="1"/>
    <col min="30" max="30" width="1.7109375" style="55" customWidth="1"/>
    <col min="31" max="31" width="11.7109375" style="55" customWidth="1"/>
    <col min="32" max="32" width="1.7109375" style="55" customWidth="1"/>
    <col min="33" max="33" width="11.7109375" style="55" customWidth="1"/>
    <col min="34" max="34" width="1.7109375" style="55" customWidth="1"/>
    <col min="35" max="35" width="11.7109375" style="55" customWidth="1"/>
    <col min="36" max="36" width="1.7109375" style="55" customWidth="1"/>
    <col min="37" max="37" width="11.7109375" style="45" customWidth="1"/>
    <col min="38" max="38" width="1.7109375" style="45" customWidth="1"/>
    <col min="39" max="39" width="11.7109375" style="45" customWidth="1"/>
    <col min="40" max="40" width="1.7109375" style="45" customWidth="1"/>
    <col min="41" max="41" width="11.7109375" style="45" customWidth="1"/>
    <col min="42" max="42" width="1.7109375" style="45" customWidth="1"/>
    <col min="43" max="43" width="11.7109375" style="45" customWidth="1"/>
    <col min="44" max="44" width="1.7109375" style="45" customWidth="1"/>
    <col min="45" max="45" width="11.7109375" style="55" customWidth="1"/>
    <col min="46" max="46" width="1.7109375" style="55" customWidth="1"/>
    <col min="47" max="47" width="11.7109375" style="55" hidden="1" customWidth="1"/>
    <col min="48" max="48" width="1.7109375" style="55" hidden="1" customWidth="1"/>
    <col min="49" max="49" width="11.7109375" style="55" hidden="1" customWidth="1"/>
    <col min="50" max="50" width="1.7109375" style="55" hidden="1" customWidth="1"/>
    <col min="51" max="52" width="11.7109375" style="55" customWidth="1"/>
    <col min="53" max="53" width="16.85546875" style="55" customWidth="1"/>
    <col min="54" max="54" width="1.7109375" style="47" customWidth="1"/>
    <col min="55" max="55" width="10.140625" style="55" customWidth="1"/>
    <col min="56" max="56" width="1.7109375" style="55" customWidth="1"/>
    <col min="57" max="57" width="11.7109375" style="55" customWidth="1"/>
    <col min="58" max="58" width="1.7109375" style="55" customWidth="1"/>
    <col min="59" max="59" width="11.7109375" style="55" customWidth="1"/>
    <col min="60" max="60" width="1.7109375" style="55" customWidth="1"/>
    <col min="61" max="61" width="11.7109375" style="55" customWidth="1"/>
    <col min="62" max="62" width="1.7109375" style="55" customWidth="1"/>
    <col min="63" max="63" width="11.7109375" style="55" customWidth="1"/>
    <col min="64" max="64" width="1.7109375" style="55" customWidth="1"/>
    <col min="65" max="65" width="11.7109375" style="55" customWidth="1"/>
    <col min="66" max="66" width="1.7109375" style="55" hidden="1" customWidth="1"/>
    <col min="67" max="67" width="11.7109375" style="55" hidden="1" customWidth="1"/>
    <col min="68" max="68" width="1.7109375" style="55" hidden="1" customWidth="1"/>
    <col min="69" max="69" width="11.7109375" style="55" hidden="1" customWidth="1"/>
    <col min="70" max="70" width="1.7109375" style="55" customWidth="1"/>
    <col min="71" max="71" width="11.7109375" style="55" customWidth="1"/>
    <col min="72" max="72" width="1.7109375" style="55" customWidth="1"/>
    <col min="73" max="73" width="11.7109375" style="55" customWidth="1"/>
    <col min="74" max="74" width="1.7109375" style="55" customWidth="1"/>
    <col min="75" max="75" width="11.7109375" style="55" customWidth="1"/>
    <col min="76" max="76" width="1.7109375" style="55" customWidth="1"/>
    <col min="77" max="77" width="11.7109375" style="55" customWidth="1"/>
    <col min="78" max="78" width="1.7109375" style="55" customWidth="1"/>
    <col min="79" max="79" width="11.7109375" style="55" customWidth="1"/>
    <col min="80" max="80" width="1.7109375" style="55" customWidth="1"/>
    <col min="81" max="81" width="11.7109375" style="55" customWidth="1"/>
    <col min="82" max="82" width="1.7109375" style="55" customWidth="1"/>
    <col min="83" max="83" width="11.7109375" style="55" customWidth="1"/>
    <col min="84" max="84" width="1.7109375" style="55" customWidth="1"/>
    <col min="85" max="85" width="11.7109375" style="55" customWidth="1"/>
    <col min="86" max="86" width="1.7109375" style="55" customWidth="1"/>
    <col min="87" max="16384" width="8.42578125" style="55"/>
  </cols>
  <sheetData>
    <row r="1" spans="1:66" s="85" customFormat="1" ht="12.75" customHeight="1" x14ac:dyDescent="0.2">
      <c r="A1" s="74" t="s">
        <v>393</v>
      </c>
      <c r="C1" s="86"/>
      <c r="D1" s="86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4" t="s">
        <v>393</v>
      </c>
      <c r="AA1" s="86"/>
      <c r="AB1" s="86"/>
      <c r="AC1" s="74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74" t="s">
        <v>393</v>
      </c>
      <c r="BC1" s="86"/>
      <c r="BD1" s="86"/>
      <c r="BE1" s="35"/>
      <c r="BF1" s="35"/>
      <c r="BG1" s="35"/>
      <c r="BH1" s="35"/>
      <c r="BI1" s="35"/>
      <c r="BJ1" s="35"/>
      <c r="BK1" s="35"/>
      <c r="BL1" s="35"/>
      <c r="BM1" s="75"/>
      <c r="BN1" s="75"/>
    </row>
    <row r="2" spans="1:66" s="85" customFormat="1" ht="12.75" customHeight="1" x14ac:dyDescent="0.2">
      <c r="A2" s="92" t="s">
        <v>472</v>
      </c>
      <c r="C2" s="86"/>
      <c r="D2" s="86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92" t="s">
        <v>473</v>
      </c>
      <c r="AA2" s="86"/>
      <c r="AB2" s="86"/>
      <c r="AC2" s="92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76" t="s">
        <v>348</v>
      </c>
      <c r="BC2" s="86"/>
      <c r="BD2" s="86"/>
      <c r="BE2" s="35"/>
      <c r="BF2" s="35"/>
      <c r="BG2" s="35"/>
      <c r="BH2" s="35"/>
      <c r="BI2" s="35"/>
      <c r="BJ2" s="35"/>
      <c r="BK2" s="35"/>
      <c r="BL2" s="35"/>
      <c r="BM2" s="75"/>
      <c r="BN2" s="75"/>
    </row>
    <row r="3" spans="1:66" ht="12.75" customHeight="1" x14ac:dyDescent="0.2">
      <c r="A3" s="74" t="s">
        <v>500</v>
      </c>
      <c r="C3" s="87"/>
      <c r="D3" s="87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74" t="s">
        <v>500</v>
      </c>
      <c r="Z3" s="55"/>
      <c r="AA3" s="87"/>
      <c r="AB3" s="87"/>
      <c r="AC3" s="74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74" t="s">
        <v>500</v>
      </c>
      <c r="BB3" s="55"/>
      <c r="BC3" s="87"/>
      <c r="BD3" s="87"/>
      <c r="BE3" s="35"/>
      <c r="BF3" s="35"/>
      <c r="BG3" s="35"/>
      <c r="BH3" s="35"/>
      <c r="BI3" s="35"/>
      <c r="BJ3" s="35"/>
      <c r="BK3" s="35"/>
      <c r="BL3" s="35"/>
      <c r="BM3" s="35"/>
      <c r="BN3" s="35"/>
    </row>
    <row r="4" spans="1:66" ht="12.75" customHeight="1" x14ac:dyDescent="0.2">
      <c r="A4" s="88" t="s">
        <v>289</v>
      </c>
      <c r="C4" s="87"/>
      <c r="D4" s="87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88" t="s">
        <v>289</v>
      </c>
      <c r="Z4" s="55"/>
      <c r="AA4" s="87"/>
      <c r="AB4" s="87"/>
      <c r="AC4" s="8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88" t="s">
        <v>289</v>
      </c>
      <c r="BB4" s="55"/>
      <c r="BC4" s="87"/>
      <c r="BD4" s="87"/>
      <c r="BE4" s="35"/>
      <c r="BF4" s="35"/>
      <c r="BG4" s="35"/>
      <c r="BH4" s="35"/>
      <c r="BI4" s="35"/>
      <c r="BJ4" s="35"/>
      <c r="BK4" s="35"/>
      <c r="BL4" s="35"/>
      <c r="BM4" s="35"/>
      <c r="BN4" s="35"/>
    </row>
    <row r="5" spans="1:66" ht="12.75" customHeight="1" x14ac:dyDescent="0.2">
      <c r="A5" s="74"/>
      <c r="C5" s="87"/>
      <c r="D5" s="87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V5" s="35"/>
      <c r="W5" s="35"/>
      <c r="X5" s="35"/>
      <c r="Y5" s="88"/>
      <c r="Z5" s="55"/>
      <c r="AA5" s="87"/>
      <c r="AB5" s="87"/>
      <c r="AC5" s="74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88"/>
      <c r="BB5" s="55"/>
      <c r="BC5" s="87"/>
      <c r="BD5" s="87"/>
      <c r="BL5" s="35"/>
      <c r="BM5" s="35"/>
      <c r="BN5" s="35"/>
    </row>
    <row r="6" spans="1:66" ht="12.75" customHeight="1" x14ac:dyDescent="0.2">
      <c r="A6" s="89"/>
      <c r="C6" s="89"/>
      <c r="D6" s="89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156" t="s">
        <v>2</v>
      </c>
      <c r="R6" s="156"/>
      <c r="S6" s="156"/>
      <c r="T6" s="156"/>
      <c r="U6" s="156"/>
      <c r="V6" s="93"/>
      <c r="W6" s="93"/>
      <c r="X6" s="77"/>
      <c r="Y6" s="89"/>
      <c r="Z6" s="55"/>
      <c r="AA6" s="89"/>
      <c r="AB6" s="89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8" t="s">
        <v>411</v>
      </c>
      <c r="AV6" s="35"/>
      <c r="AW6" s="8" t="s">
        <v>412</v>
      </c>
      <c r="AX6" s="35"/>
      <c r="AY6" s="35"/>
      <c r="AZ6" s="35"/>
      <c r="BA6" s="89"/>
      <c r="BB6" s="55"/>
      <c r="BC6" s="89"/>
      <c r="BD6" s="89"/>
      <c r="BE6" s="34" t="s">
        <v>348</v>
      </c>
      <c r="BF6" s="34"/>
      <c r="BG6" s="34"/>
      <c r="BH6" s="34"/>
      <c r="BI6" s="34"/>
      <c r="BJ6" s="34"/>
      <c r="BK6" s="34"/>
      <c r="BL6" s="77"/>
      <c r="BM6" s="35"/>
      <c r="BN6" s="35"/>
    </row>
    <row r="7" spans="1:66" s="89" customFormat="1" ht="12.75" customHeight="1" x14ac:dyDescent="0.2"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 t="s">
        <v>7</v>
      </c>
      <c r="AC7" s="8"/>
      <c r="AD7" s="8"/>
      <c r="AE7" s="8"/>
      <c r="AF7" s="8"/>
      <c r="AG7" s="8"/>
      <c r="AH7" s="8"/>
      <c r="AI7" s="8"/>
      <c r="AJ7" s="8"/>
      <c r="AK7" s="8" t="s">
        <v>354</v>
      </c>
      <c r="AL7" s="8"/>
      <c r="AM7" s="8"/>
      <c r="AN7" s="8"/>
      <c r="AO7" s="8"/>
      <c r="AP7" s="8"/>
      <c r="AQ7" s="8"/>
      <c r="AR7" s="8"/>
      <c r="AS7" s="8"/>
      <c r="AT7" s="8"/>
      <c r="AU7" s="8" t="s">
        <v>349</v>
      </c>
      <c r="AV7" s="8"/>
      <c r="AW7" s="8" t="s">
        <v>349</v>
      </c>
      <c r="AX7" s="8"/>
      <c r="AY7" s="8"/>
      <c r="AZ7" s="8"/>
      <c r="BE7" s="8" t="s">
        <v>296</v>
      </c>
      <c r="BF7" s="8"/>
      <c r="BG7" s="8" t="s">
        <v>350</v>
      </c>
      <c r="BH7" s="8"/>
      <c r="BI7" s="8"/>
      <c r="BJ7" s="8"/>
      <c r="BK7" s="8" t="s">
        <v>294</v>
      </c>
      <c r="BL7" s="8"/>
      <c r="BM7" s="8" t="s">
        <v>6</v>
      </c>
      <c r="BN7" s="54"/>
    </row>
    <row r="8" spans="1:66" s="89" customFormat="1" ht="12.75" customHeight="1" x14ac:dyDescent="0.2">
      <c r="E8" s="8" t="s">
        <v>3</v>
      </c>
      <c r="F8" s="8"/>
      <c r="G8" s="8" t="s">
        <v>351</v>
      </c>
      <c r="H8" s="8"/>
      <c r="I8" s="8" t="s">
        <v>6</v>
      </c>
      <c r="J8" s="8"/>
      <c r="K8" s="8" t="s">
        <v>3</v>
      </c>
      <c r="L8" s="8"/>
      <c r="M8" s="6" t="s">
        <v>351</v>
      </c>
      <c r="N8" s="8"/>
      <c r="O8" s="8" t="s">
        <v>6</v>
      </c>
      <c r="P8" s="8"/>
      <c r="Q8" s="89" t="s">
        <v>4</v>
      </c>
      <c r="R8" s="8"/>
      <c r="S8" s="8"/>
      <c r="T8" s="8"/>
      <c r="U8" s="8"/>
      <c r="V8" s="8"/>
      <c r="W8" s="8" t="s">
        <v>6</v>
      </c>
      <c r="X8" s="8"/>
      <c r="AC8" s="8" t="s">
        <v>345</v>
      </c>
      <c r="AD8" s="8"/>
      <c r="AE8" s="8" t="s">
        <v>353</v>
      </c>
      <c r="AF8" s="8"/>
      <c r="AG8" s="8"/>
      <c r="AH8" s="8"/>
      <c r="AI8" s="8" t="s">
        <v>345</v>
      </c>
      <c r="AJ8" s="8"/>
      <c r="AK8" s="89" t="s">
        <v>373</v>
      </c>
      <c r="AL8" s="8"/>
      <c r="AM8" s="8"/>
      <c r="AN8" s="8"/>
      <c r="AO8" s="8"/>
      <c r="AP8" s="8"/>
      <c r="AQ8" s="8" t="s">
        <v>4</v>
      </c>
      <c r="AR8" s="8"/>
      <c r="AS8" s="8" t="s">
        <v>368</v>
      </c>
      <c r="AT8" s="8"/>
      <c r="AU8" s="8" t="s">
        <v>413</v>
      </c>
      <c r="AV8" s="8"/>
      <c r="AW8" s="8" t="s">
        <v>419</v>
      </c>
      <c r="AX8" s="8"/>
      <c r="AY8" s="8" t="s">
        <v>355</v>
      </c>
      <c r="AZ8" s="8"/>
      <c r="BE8" s="8" t="s">
        <v>356</v>
      </c>
      <c r="BF8" s="8"/>
      <c r="BG8" s="8" t="s">
        <v>302</v>
      </c>
      <c r="BH8" s="8"/>
      <c r="BI8" s="8"/>
      <c r="BJ8" s="8"/>
      <c r="BK8" s="8" t="s">
        <v>352</v>
      </c>
      <c r="BL8" s="8"/>
      <c r="BM8" s="8" t="s">
        <v>352</v>
      </c>
      <c r="BN8" s="54"/>
    </row>
    <row r="9" spans="1:66" s="89" customFormat="1" ht="12.75" customHeight="1" x14ac:dyDescent="0.2">
      <c r="A9" s="7" t="s">
        <v>8</v>
      </c>
      <c r="C9" s="7" t="s">
        <v>9</v>
      </c>
      <c r="D9" s="8"/>
      <c r="E9" s="7" t="s">
        <v>0</v>
      </c>
      <c r="F9" s="8"/>
      <c r="G9" s="7" t="s">
        <v>0</v>
      </c>
      <c r="H9" s="8"/>
      <c r="I9" s="7" t="s">
        <v>0</v>
      </c>
      <c r="J9" s="8"/>
      <c r="K9" s="7" t="s">
        <v>1</v>
      </c>
      <c r="L9" s="8"/>
      <c r="M9" s="7" t="s">
        <v>1</v>
      </c>
      <c r="N9" s="7"/>
      <c r="O9" s="7" t="s">
        <v>1</v>
      </c>
      <c r="P9" s="8"/>
      <c r="Q9" s="7" t="s">
        <v>0</v>
      </c>
      <c r="R9" s="8"/>
      <c r="S9" s="7" t="s">
        <v>10</v>
      </c>
      <c r="T9" s="8"/>
      <c r="U9" s="7" t="s">
        <v>11</v>
      </c>
      <c r="V9" s="8"/>
      <c r="W9" s="7" t="s">
        <v>2</v>
      </c>
      <c r="X9" s="8"/>
      <c r="Y9" s="7" t="s">
        <v>8</v>
      </c>
      <c r="AA9" s="7" t="s">
        <v>9</v>
      </c>
      <c r="AB9" s="8"/>
      <c r="AC9" s="78" t="s">
        <v>302</v>
      </c>
      <c r="AD9" s="8"/>
      <c r="AE9" s="78" t="s">
        <v>357</v>
      </c>
      <c r="AF9" s="8"/>
      <c r="AG9" s="78" t="s">
        <v>357</v>
      </c>
      <c r="AH9" s="8"/>
      <c r="AI9" s="78" t="s">
        <v>358</v>
      </c>
      <c r="AJ9" s="8"/>
      <c r="AK9" s="78" t="s">
        <v>374</v>
      </c>
      <c r="AL9" s="8"/>
      <c r="AM9" s="78" t="s">
        <v>359</v>
      </c>
      <c r="AN9" s="8"/>
      <c r="AO9" s="78" t="s">
        <v>360</v>
      </c>
      <c r="AP9" s="8"/>
      <c r="AQ9" s="7" t="s">
        <v>361</v>
      </c>
      <c r="AR9" s="8"/>
      <c r="AS9" s="78" t="s">
        <v>2</v>
      </c>
      <c r="AT9" s="8"/>
      <c r="AU9" s="7" t="s">
        <v>415</v>
      </c>
      <c r="AV9" s="8"/>
      <c r="AW9" s="7" t="s">
        <v>415</v>
      </c>
      <c r="AX9" s="8"/>
      <c r="AY9" s="78" t="s">
        <v>4</v>
      </c>
      <c r="AZ9" s="8"/>
      <c r="BA9" s="7" t="s">
        <v>8</v>
      </c>
      <c r="BC9" s="7" t="s">
        <v>9</v>
      </c>
      <c r="BD9" s="8"/>
      <c r="BE9" s="78" t="s">
        <v>362</v>
      </c>
      <c r="BF9" s="8"/>
      <c r="BG9" s="78" t="s">
        <v>362</v>
      </c>
      <c r="BH9" s="8"/>
      <c r="BI9" s="78" t="s">
        <v>363</v>
      </c>
      <c r="BJ9" s="8"/>
      <c r="BK9" s="78" t="s">
        <v>364</v>
      </c>
      <c r="BL9" s="8"/>
      <c r="BM9" s="7" t="s">
        <v>364</v>
      </c>
      <c r="BN9" s="54"/>
    </row>
    <row r="10" spans="1:66" s="89" customFormat="1" ht="12.75" customHeight="1" x14ac:dyDescent="0.2">
      <c r="A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54"/>
    </row>
    <row r="11" spans="1:66" ht="12.75" hidden="1" customHeight="1" x14ac:dyDescent="0.2">
      <c r="A11" s="35" t="s">
        <v>12</v>
      </c>
      <c r="C11" s="35" t="s">
        <v>13</v>
      </c>
      <c r="D11" s="35"/>
      <c r="E11" s="35">
        <f t="shared" ref="E11:E38" si="0">I11-G11</f>
        <v>0</v>
      </c>
      <c r="F11" s="35"/>
      <c r="G11" s="35"/>
      <c r="H11" s="35"/>
      <c r="I11" s="35"/>
      <c r="J11" s="35"/>
      <c r="K11" s="35">
        <f t="shared" ref="K11:K38" si="1">O11-M11</f>
        <v>0</v>
      </c>
      <c r="L11" s="35"/>
      <c r="M11" s="35">
        <f t="shared" ref="M11:M12" si="2">SUM(BM11)</f>
        <v>0</v>
      </c>
      <c r="N11" s="35"/>
      <c r="O11" s="35"/>
      <c r="P11" s="35"/>
      <c r="Q11" s="35"/>
      <c r="R11" s="35"/>
      <c r="S11" s="35"/>
      <c r="T11" s="35"/>
      <c r="U11" s="35"/>
      <c r="V11" s="35"/>
      <c r="W11" s="35">
        <f t="shared" ref="W11:W33" si="3">SUM(Q11:U11)</f>
        <v>0</v>
      </c>
      <c r="X11" s="35"/>
      <c r="Y11" s="35" t="s">
        <v>12</v>
      </c>
      <c r="Z11" s="55"/>
      <c r="AA11" s="35" t="s">
        <v>13</v>
      </c>
      <c r="AB11" s="35"/>
      <c r="AC11" s="35"/>
      <c r="AD11" s="35"/>
      <c r="AE11" s="35"/>
      <c r="AF11" s="35"/>
      <c r="AG11" s="35"/>
      <c r="AH11" s="35"/>
      <c r="AI11" s="45">
        <f>+AC11-AE11-AG11</f>
        <v>0</v>
      </c>
      <c r="AJ11" s="45"/>
      <c r="AK11" s="35"/>
      <c r="AL11" s="35"/>
      <c r="AM11" s="35"/>
      <c r="AN11" s="35"/>
      <c r="AO11" s="35"/>
      <c r="AP11" s="35"/>
      <c r="AQ11" s="35"/>
      <c r="AR11" s="35"/>
      <c r="AS11" s="45">
        <f>+AI11+AK11+AM11-AO11+AQ11</f>
        <v>0</v>
      </c>
      <c r="AT11" s="45"/>
      <c r="AU11" s="35">
        <v>0</v>
      </c>
      <c r="AV11" s="35"/>
      <c r="AW11" s="35">
        <v>0</v>
      </c>
      <c r="AX11" s="35"/>
      <c r="AY11" s="35">
        <f t="shared" ref="AY11:AY38" si="4">+E11-K11</f>
        <v>0</v>
      </c>
      <c r="AZ11" s="35"/>
      <c r="BA11" s="35" t="s">
        <v>12</v>
      </c>
      <c r="BB11" s="55"/>
      <c r="BC11" s="35" t="s">
        <v>13</v>
      </c>
      <c r="BD11" s="35"/>
      <c r="BE11" s="35"/>
      <c r="BF11" s="35"/>
      <c r="BG11" s="35"/>
      <c r="BH11" s="35"/>
      <c r="BI11" s="35"/>
      <c r="BJ11" s="35"/>
      <c r="BK11" s="35"/>
      <c r="BL11" s="35"/>
      <c r="BM11" s="35">
        <f t="shared" ref="BM11:BM27" si="5">SUM(BE11:BK11)</f>
        <v>0</v>
      </c>
      <c r="BN11" s="54" t="s">
        <v>347</v>
      </c>
    </row>
    <row r="12" spans="1:66" ht="12.75" hidden="1" customHeight="1" x14ac:dyDescent="0.2">
      <c r="A12" s="35" t="s">
        <v>14</v>
      </c>
      <c r="C12" s="35" t="s">
        <v>15</v>
      </c>
      <c r="D12" s="35"/>
      <c r="E12" s="35">
        <f t="shared" si="0"/>
        <v>0</v>
      </c>
      <c r="F12" s="35"/>
      <c r="G12" s="35">
        <v>0</v>
      </c>
      <c r="H12" s="35"/>
      <c r="I12" s="35">
        <v>0</v>
      </c>
      <c r="J12" s="35"/>
      <c r="K12" s="35">
        <f t="shared" si="1"/>
        <v>0</v>
      </c>
      <c r="L12" s="35"/>
      <c r="M12" s="35">
        <f t="shared" si="2"/>
        <v>0</v>
      </c>
      <c r="N12" s="35"/>
      <c r="O12" s="35">
        <v>0</v>
      </c>
      <c r="P12" s="35"/>
      <c r="Q12" s="35">
        <v>0</v>
      </c>
      <c r="R12" s="35"/>
      <c r="S12" s="35">
        <v>0</v>
      </c>
      <c r="T12" s="35"/>
      <c r="U12" s="35">
        <v>0</v>
      </c>
      <c r="V12" s="35"/>
      <c r="W12" s="35">
        <f t="shared" si="3"/>
        <v>0</v>
      </c>
      <c r="X12" s="35"/>
      <c r="Y12" s="35" t="s">
        <v>14</v>
      </c>
      <c r="Z12" s="55"/>
      <c r="AA12" s="35" t="s">
        <v>15</v>
      </c>
      <c r="AB12" s="35"/>
      <c r="AC12" s="35">
        <v>0</v>
      </c>
      <c r="AD12" s="35"/>
      <c r="AE12" s="35">
        <v>0</v>
      </c>
      <c r="AF12" s="35"/>
      <c r="AG12" s="35">
        <v>0</v>
      </c>
      <c r="AH12" s="35"/>
      <c r="AI12" s="45">
        <v>0</v>
      </c>
      <c r="AJ12" s="45"/>
      <c r="AK12" s="35">
        <v>0</v>
      </c>
      <c r="AL12" s="35"/>
      <c r="AM12" s="35">
        <v>0</v>
      </c>
      <c r="AN12" s="35"/>
      <c r="AO12" s="35">
        <v>0</v>
      </c>
      <c r="AP12" s="35"/>
      <c r="AQ12" s="35">
        <v>0</v>
      </c>
      <c r="AR12" s="35"/>
      <c r="AS12" s="45">
        <v>0</v>
      </c>
      <c r="AT12" s="45"/>
      <c r="AU12" s="35">
        <v>0</v>
      </c>
      <c r="AV12" s="35"/>
      <c r="AW12" s="35">
        <v>0</v>
      </c>
      <c r="AX12" s="35"/>
      <c r="AY12" s="35">
        <f t="shared" si="4"/>
        <v>0</v>
      </c>
      <c r="AZ12" s="35"/>
      <c r="BA12" s="35" t="s">
        <v>14</v>
      </c>
      <c r="BB12" s="55"/>
      <c r="BC12" s="35" t="s">
        <v>15</v>
      </c>
      <c r="BD12" s="35"/>
      <c r="BE12" s="35">
        <v>0</v>
      </c>
      <c r="BF12" s="35"/>
      <c r="BG12" s="35">
        <v>0</v>
      </c>
      <c r="BH12" s="35"/>
      <c r="BI12" s="35">
        <v>0</v>
      </c>
      <c r="BJ12" s="35"/>
      <c r="BK12" s="35">
        <v>0</v>
      </c>
      <c r="BL12" s="35"/>
      <c r="BM12" s="35">
        <f t="shared" si="5"/>
        <v>0</v>
      </c>
      <c r="BN12" s="54" t="s">
        <v>347</v>
      </c>
    </row>
    <row r="13" spans="1:66" s="90" customFormat="1" ht="12.75" customHeight="1" x14ac:dyDescent="0.2">
      <c r="A13" s="35" t="s">
        <v>16</v>
      </c>
      <c r="B13" s="51"/>
      <c r="C13" s="35" t="s">
        <v>17</v>
      </c>
      <c r="D13" s="35"/>
      <c r="E13" s="64">
        <f t="shared" si="0"/>
        <v>7521210</v>
      </c>
      <c r="F13" s="64"/>
      <c r="G13" s="64">
        <v>4251566</v>
      </c>
      <c r="H13" s="64"/>
      <c r="I13" s="64">
        <v>11772776</v>
      </c>
      <c r="J13" s="64"/>
      <c r="K13" s="64">
        <f t="shared" si="1"/>
        <v>533673</v>
      </c>
      <c r="L13" s="64"/>
      <c r="M13" s="64">
        <v>1094540</v>
      </c>
      <c r="N13" s="64"/>
      <c r="O13" s="64">
        <v>1628213</v>
      </c>
      <c r="P13" s="64"/>
      <c r="Q13" s="64">
        <v>2443448</v>
      </c>
      <c r="R13" s="64"/>
      <c r="S13" s="64">
        <v>0</v>
      </c>
      <c r="T13" s="64"/>
      <c r="U13" s="64">
        <v>7701115</v>
      </c>
      <c r="V13" s="64"/>
      <c r="W13" s="64">
        <f t="shared" si="3"/>
        <v>10144563</v>
      </c>
      <c r="X13" s="35"/>
      <c r="Y13" s="35" t="s">
        <v>16</v>
      </c>
      <c r="Z13" s="55"/>
      <c r="AA13" s="35" t="s">
        <v>17</v>
      </c>
      <c r="AB13" s="35"/>
      <c r="AC13" s="64">
        <v>10392271</v>
      </c>
      <c r="AD13" s="64"/>
      <c r="AE13" s="64">
        <f>9474168-134853</f>
        <v>9339315</v>
      </c>
      <c r="AF13" s="64"/>
      <c r="AG13" s="64">
        <v>134853</v>
      </c>
      <c r="AH13" s="64"/>
      <c r="AI13" s="94">
        <f>+AC13-AE13-AG13</f>
        <v>918103</v>
      </c>
      <c r="AJ13" s="94"/>
      <c r="AK13" s="64">
        <v>-162831</v>
      </c>
      <c r="AL13" s="64"/>
      <c r="AM13" s="64">
        <v>0</v>
      </c>
      <c r="AN13" s="64"/>
      <c r="AO13" s="64">
        <v>0</v>
      </c>
      <c r="AP13" s="64"/>
      <c r="AQ13" s="64">
        <v>0</v>
      </c>
      <c r="AR13" s="64"/>
      <c r="AS13" s="94">
        <f>+AI13+AK13+AM13-AO13+AQ13</f>
        <v>755272</v>
      </c>
      <c r="AT13" s="94"/>
      <c r="AU13" s="64">
        <v>0</v>
      </c>
      <c r="AV13" s="64"/>
      <c r="AW13" s="64">
        <v>0</v>
      </c>
      <c r="AX13" s="64"/>
      <c r="AY13" s="64">
        <f t="shared" si="4"/>
        <v>6987537</v>
      </c>
      <c r="AZ13" s="35"/>
      <c r="BA13" s="35" t="s">
        <v>16</v>
      </c>
      <c r="BB13" s="55"/>
      <c r="BC13" s="35" t="s">
        <v>17</v>
      </c>
      <c r="BD13" s="35"/>
      <c r="BE13" s="64">
        <f>174270+545000</f>
        <v>719270</v>
      </c>
      <c r="BF13" s="64"/>
      <c r="BG13" s="64">
        <v>0</v>
      </c>
      <c r="BH13" s="64"/>
      <c r="BI13" s="64">
        <v>0</v>
      </c>
      <c r="BJ13" s="64"/>
      <c r="BK13" s="64">
        <f>160000+512000</f>
        <v>672000</v>
      </c>
      <c r="BL13" s="64"/>
      <c r="BM13" s="64">
        <f t="shared" si="5"/>
        <v>1391270</v>
      </c>
      <c r="BN13" s="91" t="s">
        <v>347</v>
      </c>
    </row>
    <row r="14" spans="1:66" ht="12.75" hidden="1" customHeight="1" x14ac:dyDescent="0.2">
      <c r="A14" s="35" t="s">
        <v>18</v>
      </c>
      <c r="C14" s="35" t="s">
        <v>18</v>
      </c>
      <c r="D14" s="35"/>
      <c r="E14" s="35">
        <f t="shared" si="0"/>
        <v>0</v>
      </c>
      <c r="F14" s="35"/>
      <c r="G14" s="35"/>
      <c r="H14" s="35"/>
      <c r="I14" s="35"/>
      <c r="J14" s="35"/>
      <c r="K14" s="35">
        <f t="shared" si="1"/>
        <v>0</v>
      </c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>
        <f t="shared" si="3"/>
        <v>0</v>
      </c>
      <c r="X14" s="35"/>
      <c r="Y14" s="35" t="s">
        <v>18</v>
      </c>
      <c r="Z14" s="55"/>
      <c r="AA14" s="35" t="s">
        <v>18</v>
      </c>
      <c r="AB14" s="35"/>
      <c r="AC14" s="35"/>
      <c r="AD14" s="35"/>
      <c r="AE14" s="35"/>
      <c r="AF14" s="35"/>
      <c r="AG14" s="35"/>
      <c r="AH14" s="35"/>
      <c r="AI14" s="45">
        <f>+AC14-AE14-AG14</f>
        <v>0</v>
      </c>
      <c r="AJ14" s="45"/>
      <c r="AK14" s="35"/>
      <c r="AL14" s="35"/>
      <c r="AM14" s="35"/>
      <c r="AN14" s="35"/>
      <c r="AO14" s="35"/>
      <c r="AP14" s="35"/>
      <c r="AQ14" s="35"/>
      <c r="AR14" s="35"/>
      <c r="AS14" s="45">
        <f>+AI14+AK14+AM14-AO14+AQ14</f>
        <v>0</v>
      </c>
      <c r="AT14" s="45"/>
      <c r="AU14" s="35">
        <v>0</v>
      </c>
      <c r="AV14" s="35"/>
      <c r="AW14" s="35">
        <v>0</v>
      </c>
      <c r="AX14" s="35"/>
      <c r="AY14" s="35">
        <f t="shared" si="4"/>
        <v>0</v>
      </c>
      <c r="AZ14" s="35"/>
      <c r="BA14" s="35" t="s">
        <v>18</v>
      </c>
      <c r="BB14" s="55"/>
      <c r="BC14" s="35" t="s">
        <v>18</v>
      </c>
      <c r="BD14" s="35"/>
      <c r="BE14" s="35"/>
      <c r="BF14" s="35"/>
      <c r="BG14" s="35"/>
      <c r="BH14" s="35"/>
      <c r="BI14" s="35"/>
      <c r="BJ14" s="35"/>
      <c r="BK14" s="35"/>
      <c r="BL14" s="35"/>
      <c r="BM14" s="35">
        <f t="shared" si="5"/>
        <v>0</v>
      </c>
      <c r="BN14" s="54" t="s">
        <v>347</v>
      </c>
    </row>
    <row r="15" spans="1:66" ht="12.75" hidden="1" customHeight="1" x14ac:dyDescent="0.2">
      <c r="A15" s="35" t="s">
        <v>19</v>
      </c>
      <c r="C15" s="35" t="s">
        <v>19</v>
      </c>
      <c r="D15" s="35"/>
      <c r="E15" s="35">
        <f t="shared" si="0"/>
        <v>0</v>
      </c>
      <c r="F15" s="35"/>
      <c r="G15" s="35"/>
      <c r="H15" s="35"/>
      <c r="I15" s="35"/>
      <c r="J15" s="35"/>
      <c r="K15" s="35">
        <f t="shared" si="1"/>
        <v>0</v>
      </c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>
        <f t="shared" si="3"/>
        <v>0</v>
      </c>
      <c r="X15" s="35"/>
      <c r="Y15" s="35" t="s">
        <v>19</v>
      </c>
      <c r="Z15" s="55"/>
      <c r="AA15" s="35" t="s">
        <v>19</v>
      </c>
      <c r="AB15" s="35"/>
      <c r="AC15" s="35"/>
      <c r="AD15" s="35"/>
      <c r="AE15" s="35"/>
      <c r="AF15" s="35"/>
      <c r="AG15" s="35"/>
      <c r="AH15" s="35"/>
      <c r="AI15" s="45">
        <v>0</v>
      </c>
      <c r="AJ15" s="45"/>
      <c r="AK15" s="35"/>
      <c r="AL15" s="35"/>
      <c r="AM15" s="35"/>
      <c r="AN15" s="35"/>
      <c r="AO15" s="35"/>
      <c r="AP15" s="35"/>
      <c r="AQ15" s="35"/>
      <c r="AR15" s="35"/>
      <c r="AS15" s="45">
        <f>+AI15+AK15+AM15-AO15+AQ15</f>
        <v>0</v>
      </c>
      <c r="AT15" s="45"/>
      <c r="AU15" s="35">
        <v>0</v>
      </c>
      <c r="AV15" s="35"/>
      <c r="AW15" s="35">
        <v>0</v>
      </c>
      <c r="AX15" s="35"/>
      <c r="AY15" s="35">
        <f t="shared" si="4"/>
        <v>0</v>
      </c>
      <c r="AZ15" s="35"/>
      <c r="BA15" s="35" t="s">
        <v>19</v>
      </c>
      <c r="BB15" s="55"/>
      <c r="BC15" s="35" t="s">
        <v>19</v>
      </c>
      <c r="BD15" s="35"/>
      <c r="BE15" s="35"/>
      <c r="BF15" s="35"/>
      <c r="BG15" s="35"/>
      <c r="BH15" s="35"/>
      <c r="BI15" s="35"/>
      <c r="BJ15" s="35"/>
      <c r="BK15" s="35"/>
      <c r="BL15" s="35"/>
      <c r="BM15" s="35">
        <f t="shared" si="5"/>
        <v>0</v>
      </c>
      <c r="BN15" s="54" t="s">
        <v>347</v>
      </c>
    </row>
    <row r="16" spans="1:66" ht="12.75" hidden="1" customHeight="1" x14ac:dyDescent="0.2">
      <c r="A16" s="35" t="s">
        <v>20</v>
      </c>
      <c r="C16" s="35" t="s">
        <v>20</v>
      </c>
      <c r="D16" s="35"/>
      <c r="E16" s="35">
        <f t="shared" si="0"/>
        <v>0</v>
      </c>
      <c r="F16" s="35"/>
      <c r="G16" s="35"/>
      <c r="H16" s="35"/>
      <c r="I16" s="35"/>
      <c r="J16" s="35"/>
      <c r="K16" s="35">
        <f t="shared" si="1"/>
        <v>0</v>
      </c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>
        <f t="shared" si="3"/>
        <v>0</v>
      </c>
      <c r="X16" s="35"/>
      <c r="Y16" s="35" t="s">
        <v>20</v>
      </c>
      <c r="Z16" s="55"/>
      <c r="AA16" s="35" t="s">
        <v>20</v>
      </c>
      <c r="AB16" s="35"/>
      <c r="AC16" s="35"/>
      <c r="AD16" s="35"/>
      <c r="AE16" s="35"/>
      <c r="AF16" s="35"/>
      <c r="AG16" s="35"/>
      <c r="AH16" s="35"/>
      <c r="AI16" s="45">
        <v>0</v>
      </c>
      <c r="AJ16" s="45"/>
      <c r="AK16" s="35"/>
      <c r="AL16" s="35"/>
      <c r="AM16" s="35"/>
      <c r="AN16" s="35"/>
      <c r="AO16" s="35"/>
      <c r="AP16" s="35"/>
      <c r="AQ16" s="35"/>
      <c r="AR16" s="35"/>
      <c r="AS16" s="45">
        <f>+AI16+AK16+AM16-AO16+AQ16</f>
        <v>0</v>
      </c>
      <c r="AT16" s="45"/>
      <c r="AU16" s="35">
        <v>0</v>
      </c>
      <c r="AV16" s="35"/>
      <c r="AW16" s="35">
        <v>0</v>
      </c>
      <c r="AX16" s="35"/>
      <c r="AY16" s="35">
        <f t="shared" si="4"/>
        <v>0</v>
      </c>
      <c r="AZ16" s="35"/>
      <c r="BA16" s="35" t="s">
        <v>20</v>
      </c>
      <c r="BB16" s="55"/>
      <c r="BC16" s="35" t="s">
        <v>20</v>
      </c>
      <c r="BD16" s="35"/>
      <c r="BE16" s="35"/>
      <c r="BF16" s="35"/>
      <c r="BG16" s="35"/>
      <c r="BH16" s="35"/>
      <c r="BI16" s="35"/>
      <c r="BJ16" s="35"/>
      <c r="BK16" s="35"/>
      <c r="BL16" s="35"/>
      <c r="BM16" s="35">
        <f t="shared" si="5"/>
        <v>0</v>
      </c>
      <c r="BN16" s="54" t="s">
        <v>347</v>
      </c>
    </row>
    <row r="17" spans="1:67" ht="12.75" hidden="1" customHeight="1" x14ac:dyDescent="0.2">
      <c r="A17" s="35" t="s">
        <v>21</v>
      </c>
      <c r="C17" s="35" t="s">
        <v>22</v>
      </c>
      <c r="D17" s="35"/>
      <c r="E17" s="35">
        <f t="shared" si="0"/>
        <v>0</v>
      </c>
      <c r="F17" s="35"/>
      <c r="G17" s="35"/>
      <c r="H17" s="35"/>
      <c r="I17" s="35"/>
      <c r="J17" s="35"/>
      <c r="K17" s="35">
        <f t="shared" si="1"/>
        <v>0</v>
      </c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>
        <f t="shared" si="3"/>
        <v>0</v>
      </c>
      <c r="X17" s="35"/>
      <c r="Y17" s="35" t="s">
        <v>21</v>
      </c>
      <c r="Z17" s="55"/>
      <c r="AA17" s="35" t="s">
        <v>22</v>
      </c>
      <c r="AB17" s="35"/>
      <c r="AC17" s="35"/>
      <c r="AD17" s="35"/>
      <c r="AE17" s="35"/>
      <c r="AF17" s="35"/>
      <c r="AG17" s="35"/>
      <c r="AH17" s="35"/>
      <c r="AI17" s="45">
        <f t="shared" ref="AI17:AI31" si="6">+AC17-AE17-AG17</f>
        <v>0</v>
      </c>
      <c r="AJ17" s="45"/>
      <c r="AK17" s="35"/>
      <c r="AL17" s="35"/>
      <c r="AM17" s="35"/>
      <c r="AN17" s="35"/>
      <c r="AO17" s="35"/>
      <c r="AP17" s="35"/>
      <c r="AQ17" s="35"/>
      <c r="AR17" s="35"/>
      <c r="AS17" s="45">
        <f>+AI17+AK17+AM17-AO17+AQ17</f>
        <v>0</v>
      </c>
      <c r="AT17" s="45"/>
      <c r="AU17" s="35">
        <v>0</v>
      </c>
      <c r="AV17" s="35"/>
      <c r="AW17" s="35">
        <v>0</v>
      </c>
      <c r="AX17" s="35"/>
      <c r="AY17" s="35">
        <f t="shared" si="4"/>
        <v>0</v>
      </c>
      <c r="AZ17" s="35"/>
      <c r="BA17" s="35" t="s">
        <v>21</v>
      </c>
      <c r="BB17" s="55"/>
      <c r="BC17" s="35" t="s">
        <v>22</v>
      </c>
      <c r="BD17" s="35"/>
      <c r="BE17" s="35"/>
      <c r="BF17" s="35"/>
      <c r="BG17" s="35"/>
      <c r="BH17" s="35"/>
      <c r="BI17" s="35"/>
      <c r="BJ17" s="35"/>
      <c r="BK17" s="35"/>
      <c r="BL17" s="35"/>
      <c r="BM17" s="35">
        <f t="shared" si="5"/>
        <v>0</v>
      </c>
      <c r="BN17" s="54" t="s">
        <v>347</v>
      </c>
    </row>
    <row r="18" spans="1:67" ht="12.75" hidden="1" customHeight="1" x14ac:dyDescent="0.2">
      <c r="A18" s="35" t="s">
        <v>23</v>
      </c>
      <c r="C18" s="35" t="s">
        <v>17</v>
      </c>
      <c r="D18" s="35"/>
      <c r="E18" s="35">
        <f t="shared" si="0"/>
        <v>0</v>
      </c>
      <c r="F18" s="35"/>
      <c r="G18" s="35"/>
      <c r="H18" s="35"/>
      <c r="I18" s="35"/>
      <c r="J18" s="35"/>
      <c r="K18" s="35">
        <f t="shared" si="1"/>
        <v>0</v>
      </c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>
        <f t="shared" si="3"/>
        <v>0</v>
      </c>
      <c r="X18" s="35"/>
      <c r="Y18" s="35" t="s">
        <v>23</v>
      </c>
      <c r="Z18" s="55"/>
      <c r="AA18" s="35" t="s">
        <v>17</v>
      </c>
      <c r="AB18" s="35"/>
      <c r="AC18" s="35"/>
      <c r="AD18" s="35"/>
      <c r="AE18" s="35"/>
      <c r="AF18" s="35"/>
      <c r="AG18" s="35"/>
      <c r="AH18" s="35"/>
      <c r="AI18" s="45">
        <f t="shared" si="6"/>
        <v>0</v>
      </c>
      <c r="AJ18" s="45"/>
      <c r="AK18" s="35"/>
      <c r="AL18" s="35"/>
      <c r="AM18" s="35"/>
      <c r="AN18" s="35"/>
      <c r="AO18" s="35"/>
      <c r="AP18" s="35"/>
      <c r="AQ18" s="35"/>
      <c r="AR18" s="35"/>
      <c r="AS18" s="45">
        <v>0</v>
      </c>
      <c r="AT18" s="45"/>
      <c r="AU18" s="35">
        <v>0</v>
      </c>
      <c r="AV18" s="35"/>
      <c r="AW18" s="35">
        <v>0</v>
      </c>
      <c r="AX18" s="35"/>
      <c r="AY18" s="35">
        <f t="shared" si="4"/>
        <v>0</v>
      </c>
      <c r="AZ18" s="35"/>
      <c r="BA18" s="35" t="s">
        <v>23</v>
      </c>
      <c r="BB18" s="55"/>
      <c r="BC18" s="35" t="s">
        <v>17</v>
      </c>
      <c r="BD18" s="35"/>
      <c r="BE18" s="35"/>
      <c r="BF18" s="35"/>
      <c r="BG18" s="35"/>
      <c r="BH18" s="35"/>
      <c r="BI18" s="35"/>
      <c r="BJ18" s="35"/>
      <c r="BK18" s="35"/>
      <c r="BL18" s="35"/>
      <c r="BM18" s="35">
        <f t="shared" si="5"/>
        <v>0</v>
      </c>
      <c r="BN18" s="54" t="s">
        <v>347</v>
      </c>
    </row>
    <row r="19" spans="1:67" ht="12.75" hidden="1" customHeight="1" x14ac:dyDescent="0.2">
      <c r="A19" s="35" t="s">
        <v>24</v>
      </c>
      <c r="C19" s="35" t="s">
        <v>17</v>
      </c>
      <c r="D19" s="35"/>
      <c r="E19" s="35">
        <f t="shared" si="0"/>
        <v>0</v>
      </c>
      <c r="F19" s="35"/>
      <c r="G19" s="35"/>
      <c r="H19" s="35"/>
      <c r="I19" s="35"/>
      <c r="J19" s="35"/>
      <c r="K19" s="35">
        <f t="shared" si="1"/>
        <v>0</v>
      </c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>
        <f t="shared" si="3"/>
        <v>0</v>
      </c>
      <c r="X19" s="35"/>
      <c r="Y19" s="35" t="s">
        <v>24</v>
      </c>
      <c r="Z19" s="55"/>
      <c r="AA19" s="35" t="s">
        <v>17</v>
      </c>
      <c r="AB19" s="35"/>
      <c r="AC19" s="35"/>
      <c r="AD19" s="35"/>
      <c r="AE19" s="35"/>
      <c r="AF19" s="35"/>
      <c r="AG19" s="35"/>
      <c r="AH19" s="35"/>
      <c r="AI19" s="45">
        <f t="shared" si="6"/>
        <v>0</v>
      </c>
      <c r="AJ19" s="45"/>
      <c r="AK19" s="35"/>
      <c r="AL19" s="35"/>
      <c r="AM19" s="35"/>
      <c r="AN19" s="35"/>
      <c r="AO19" s="35"/>
      <c r="AP19" s="35"/>
      <c r="AQ19" s="35"/>
      <c r="AR19" s="35"/>
      <c r="AS19" s="45">
        <f t="shared" ref="AS19:AS27" si="7">+AI19+AK19+AM19-AO19+AQ19</f>
        <v>0</v>
      </c>
      <c r="AT19" s="45"/>
      <c r="AU19" s="35">
        <v>0</v>
      </c>
      <c r="AV19" s="35"/>
      <c r="AW19" s="35">
        <v>0</v>
      </c>
      <c r="AX19" s="35"/>
      <c r="AY19" s="35">
        <f t="shared" si="4"/>
        <v>0</v>
      </c>
      <c r="AZ19" s="35"/>
      <c r="BA19" s="35" t="s">
        <v>24</v>
      </c>
      <c r="BB19" s="55"/>
      <c r="BC19" s="35" t="s">
        <v>17</v>
      </c>
      <c r="BD19" s="35"/>
      <c r="BE19" s="35"/>
      <c r="BF19" s="35"/>
      <c r="BG19" s="35"/>
      <c r="BH19" s="35"/>
      <c r="BI19" s="35"/>
      <c r="BJ19" s="35"/>
      <c r="BK19" s="35"/>
      <c r="BL19" s="35"/>
      <c r="BM19" s="35">
        <f t="shared" si="5"/>
        <v>0</v>
      </c>
      <c r="BN19" s="54" t="s">
        <v>347</v>
      </c>
    </row>
    <row r="20" spans="1:67" ht="12.75" hidden="1" customHeight="1" x14ac:dyDescent="0.2">
      <c r="A20" s="35" t="s">
        <v>25</v>
      </c>
      <c r="C20" s="35" t="s">
        <v>13</v>
      </c>
      <c r="D20" s="35"/>
      <c r="E20" s="35">
        <f t="shared" si="0"/>
        <v>0</v>
      </c>
      <c r="F20" s="35"/>
      <c r="G20" s="35"/>
      <c r="H20" s="35"/>
      <c r="I20" s="35"/>
      <c r="J20" s="35"/>
      <c r="K20" s="35">
        <f t="shared" si="1"/>
        <v>0</v>
      </c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>
        <f t="shared" si="3"/>
        <v>0</v>
      </c>
      <c r="X20" s="35"/>
      <c r="Y20" s="35" t="s">
        <v>25</v>
      </c>
      <c r="Z20" s="55"/>
      <c r="AA20" s="35" t="s">
        <v>13</v>
      </c>
      <c r="AB20" s="35"/>
      <c r="AC20" s="35"/>
      <c r="AD20" s="35"/>
      <c r="AE20" s="35"/>
      <c r="AF20" s="35"/>
      <c r="AG20" s="35"/>
      <c r="AH20" s="35"/>
      <c r="AI20" s="45">
        <f t="shared" si="6"/>
        <v>0</v>
      </c>
      <c r="AJ20" s="45"/>
      <c r="AK20" s="35"/>
      <c r="AL20" s="35"/>
      <c r="AM20" s="35"/>
      <c r="AN20" s="35"/>
      <c r="AO20" s="35"/>
      <c r="AP20" s="35"/>
      <c r="AQ20" s="35"/>
      <c r="AR20" s="35"/>
      <c r="AS20" s="45">
        <f t="shared" si="7"/>
        <v>0</v>
      </c>
      <c r="AT20" s="45"/>
      <c r="AU20" s="35">
        <v>0</v>
      </c>
      <c r="AV20" s="35"/>
      <c r="AW20" s="35">
        <v>0</v>
      </c>
      <c r="AX20" s="35"/>
      <c r="AY20" s="35">
        <f t="shared" si="4"/>
        <v>0</v>
      </c>
      <c r="AZ20" s="35"/>
      <c r="BA20" s="35" t="s">
        <v>25</v>
      </c>
      <c r="BB20" s="55"/>
      <c r="BC20" s="35" t="s">
        <v>13</v>
      </c>
      <c r="BD20" s="35"/>
      <c r="BE20" s="35"/>
      <c r="BF20" s="35"/>
      <c r="BG20" s="35"/>
      <c r="BH20" s="35"/>
      <c r="BI20" s="35"/>
      <c r="BJ20" s="35"/>
      <c r="BK20" s="35"/>
      <c r="BL20" s="35"/>
      <c r="BM20" s="35">
        <f t="shared" si="5"/>
        <v>0</v>
      </c>
      <c r="BN20" s="54" t="s">
        <v>347</v>
      </c>
    </row>
    <row r="21" spans="1:67" ht="12.75" hidden="1" customHeight="1" x14ac:dyDescent="0.2">
      <c r="A21" s="35" t="s">
        <v>26</v>
      </c>
      <c r="C21" s="35" t="s">
        <v>27</v>
      </c>
      <c r="D21" s="35"/>
      <c r="E21" s="35">
        <f t="shared" si="0"/>
        <v>0</v>
      </c>
      <c r="F21" s="35"/>
      <c r="G21" s="35"/>
      <c r="H21" s="35"/>
      <c r="I21" s="35"/>
      <c r="J21" s="35"/>
      <c r="K21" s="35">
        <f t="shared" si="1"/>
        <v>0</v>
      </c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>
        <f t="shared" si="3"/>
        <v>0</v>
      </c>
      <c r="X21" s="35"/>
      <c r="Y21" s="35" t="s">
        <v>26</v>
      </c>
      <c r="Z21" s="55"/>
      <c r="AA21" s="35" t="s">
        <v>27</v>
      </c>
      <c r="AB21" s="35"/>
      <c r="AC21" s="35"/>
      <c r="AD21" s="35"/>
      <c r="AE21" s="35"/>
      <c r="AF21" s="35"/>
      <c r="AG21" s="35"/>
      <c r="AH21" s="35"/>
      <c r="AI21" s="45">
        <f t="shared" si="6"/>
        <v>0</v>
      </c>
      <c r="AJ21" s="45"/>
      <c r="AK21" s="35"/>
      <c r="AL21" s="35"/>
      <c r="AM21" s="35"/>
      <c r="AN21" s="35"/>
      <c r="AO21" s="35"/>
      <c r="AP21" s="35"/>
      <c r="AQ21" s="35"/>
      <c r="AR21" s="35"/>
      <c r="AS21" s="45">
        <f t="shared" si="7"/>
        <v>0</v>
      </c>
      <c r="AT21" s="45"/>
      <c r="AU21" s="35">
        <v>0</v>
      </c>
      <c r="AV21" s="35"/>
      <c r="AW21" s="35">
        <v>0</v>
      </c>
      <c r="AX21" s="35"/>
      <c r="AY21" s="35">
        <f t="shared" si="4"/>
        <v>0</v>
      </c>
      <c r="AZ21" s="35"/>
      <c r="BA21" s="35" t="s">
        <v>26</v>
      </c>
      <c r="BB21" s="55"/>
      <c r="BC21" s="35" t="s">
        <v>27</v>
      </c>
      <c r="BD21" s="35"/>
      <c r="BE21" s="35"/>
      <c r="BF21" s="35"/>
      <c r="BG21" s="35"/>
      <c r="BH21" s="35"/>
      <c r="BI21" s="35"/>
      <c r="BJ21" s="35"/>
      <c r="BK21" s="35"/>
      <c r="BL21" s="35"/>
      <c r="BM21" s="35">
        <f t="shared" si="5"/>
        <v>0</v>
      </c>
      <c r="BN21" s="54" t="s">
        <v>347</v>
      </c>
    </row>
    <row r="22" spans="1:67" ht="12.75" hidden="1" customHeight="1" x14ac:dyDescent="0.2">
      <c r="A22" s="35" t="s">
        <v>28</v>
      </c>
      <c r="C22" s="35" t="s">
        <v>27</v>
      </c>
      <c r="D22" s="35"/>
      <c r="E22" s="35">
        <f t="shared" si="0"/>
        <v>0</v>
      </c>
      <c r="F22" s="35"/>
      <c r="G22" s="35"/>
      <c r="H22" s="35"/>
      <c r="I22" s="35"/>
      <c r="J22" s="35"/>
      <c r="K22" s="35">
        <f t="shared" si="1"/>
        <v>0</v>
      </c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>
        <f t="shared" si="3"/>
        <v>0</v>
      </c>
      <c r="X22" s="35"/>
      <c r="Y22" s="35" t="s">
        <v>28</v>
      </c>
      <c r="Z22" s="55"/>
      <c r="AA22" s="35" t="s">
        <v>27</v>
      </c>
      <c r="AB22" s="35"/>
      <c r="AC22" s="35"/>
      <c r="AD22" s="35"/>
      <c r="AE22" s="35"/>
      <c r="AF22" s="35"/>
      <c r="AG22" s="35"/>
      <c r="AH22" s="35"/>
      <c r="AI22" s="45">
        <f t="shared" si="6"/>
        <v>0</v>
      </c>
      <c r="AJ22" s="45"/>
      <c r="AK22" s="35"/>
      <c r="AL22" s="35"/>
      <c r="AM22" s="35"/>
      <c r="AN22" s="35"/>
      <c r="AO22" s="35"/>
      <c r="AP22" s="35"/>
      <c r="AQ22" s="35"/>
      <c r="AR22" s="35"/>
      <c r="AS22" s="45">
        <f t="shared" si="7"/>
        <v>0</v>
      </c>
      <c r="AT22" s="45"/>
      <c r="AU22" s="35">
        <v>0</v>
      </c>
      <c r="AV22" s="35"/>
      <c r="AW22" s="35">
        <v>0</v>
      </c>
      <c r="AX22" s="35"/>
      <c r="AY22" s="35">
        <f t="shared" si="4"/>
        <v>0</v>
      </c>
      <c r="AZ22" s="35"/>
      <c r="BA22" s="35" t="s">
        <v>28</v>
      </c>
      <c r="BB22" s="55"/>
      <c r="BC22" s="35" t="s">
        <v>27</v>
      </c>
      <c r="BD22" s="35"/>
      <c r="BE22" s="35"/>
      <c r="BF22" s="35"/>
      <c r="BG22" s="35"/>
      <c r="BH22" s="35"/>
      <c r="BI22" s="35"/>
      <c r="BJ22" s="35"/>
      <c r="BK22" s="35"/>
      <c r="BL22" s="35"/>
      <c r="BM22" s="35">
        <f t="shared" si="5"/>
        <v>0</v>
      </c>
      <c r="BN22" s="54" t="s">
        <v>347</v>
      </c>
    </row>
    <row r="23" spans="1:67" ht="12.75" hidden="1" customHeight="1" x14ac:dyDescent="0.2">
      <c r="A23" s="35" t="s">
        <v>29</v>
      </c>
      <c r="C23" s="35" t="s">
        <v>30</v>
      </c>
      <c r="D23" s="35"/>
      <c r="E23" s="35">
        <f t="shared" si="0"/>
        <v>0</v>
      </c>
      <c r="F23" s="35"/>
      <c r="G23" s="35"/>
      <c r="H23" s="35"/>
      <c r="I23" s="35"/>
      <c r="J23" s="35"/>
      <c r="K23" s="35">
        <f t="shared" si="1"/>
        <v>0</v>
      </c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>
        <f t="shared" si="3"/>
        <v>0</v>
      </c>
      <c r="X23" s="35"/>
      <c r="Y23" s="35" t="s">
        <v>29</v>
      </c>
      <c r="Z23" s="55"/>
      <c r="AA23" s="35" t="s">
        <v>30</v>
      </c>
      <c r="AB23" s="35"/>
      <c r="AC23" s="35"/>
      <c r="AD23" s="35"/>
      <c r="AE23" s="35"/>
      <c r="AF23" s="35"/>
      <c r="AG23" s="35"/>
      <c r="AH23" s="35"/>
      <c r="AI23" s="45">
        <f t="shared" si="6"/>
        <v>0</v>
      </c>
      <c r="AJ23" s="45"/>
      <c r="AK23" s="35"/>
      <c r="AL23" s="35"/>
      <c r="AM23" s="35"/>
      <c r="AN23" s="35"/>
      <c r="AO23" s="35"/>
      <c r="AP23" s="35"/>
      <c r="AQ23" s="35"/>
      <c r="AR23" s="35"/>
      <c r="AS23" s="45">
        <f t="shared" si="7"/>
        <v>0</v>
      </c>
      <c r="AT23" s="45"/>
      <c r="AU23" s="35">
        <v>0</v>
      </c>
      <c r="AV23" s="35"/>
      <c r="AW23" s="35">
        <v>0</v>
      </c>
      <c r="AX23" s="35"/>
      <c r="AY23" s="35">
        <f t="shared" si="4"/>
        <v>0</v>
      </c>
      <c r="AZ23" s="35"/>
      <c r="BA23" s="35" t="s">
        <v>29</v>
      </c>
      <c r="BB23" s="55"/>
      <c r="BC23" s="35" t="s">
        <v>30</v>
      </c>
      <c r="BD23" s="35"/>
      <c r="BE23" s="35"/>
      <c r="BF23" s="35"/>
      <c r="BG23" s="35"/>
      <c r="BH23" s="35"/>
      <c r="BI23" s="35"/>
      <c r="BJ23" s="35"/>
      <c r="BK23" s="35"/>
      <c r="BL23" s="35"/>
      <c r="BM23" s="35">
        <f t="shared" si="5"/>
        <v>0</v>
      </c>
      <c r="BN23" s="54" t="s">
        <v>347</v>
      </c>
    </row>
    <row r="24" spans="1:67" ht="12.75" hidden="1" customHeight="1" x14ac:dyDescent="0.2">
      <c r="A24" s="35" t="s">
        <v>31</v>
      </c>
      <c r="C24" s="35" t="s">
        <v>27</v>
      </c>
      <c r="D24" s="35"/>
      <c r="E24" s="35">
        <f t="shared" si="0"/>
        <v>0</v>
      </c>
      <c r="F24" s="35"/>
      <c r="G24" s="35"/>
      <c r="H24" s="35"/>
      <c r="I24" s="35"/>
      <c r="J24" s="35"/>
      <c r="K24" s="35">
        <f t="shared" si="1"/>
        <v>0</v>
      </c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>
        <f t="shared" si="3"/>
        <v>0</v>
      </c>
      <c r="X24" s="35"/>
      <c r="Y24" s="35" t="s">
        <v>31</v>
      </c>
      <c r="Z24" s="55"/>
      <c r="AA24" s="35" t="s">
        <v>27</v>
      </c>
      <c r="AB24" s="35"/>
      <c r="AC24" s="35"/>
      <c r="AD24" s="35"/>
      <c r="AE24" s="35"/>
      <c r="AF24" s="35"/>
      <c r="AG24" s="35"/>
      <c r="AH24" s="35"/>
      <c r="AI24" s="45">
        <f t="shared" si="6"/>
        <v>0</v>
      </c>
      <c r="AJ24" s="45"/>
      <c r="AK24" s="35"/>
      <c r="AL24" s="35"/>
      <c r="AM24" s="35"/>
      <c r="AN24" s="35"/>
      <c r="AO24" s="35"/>
      <c r="AP24" s="35"/>
      <c r="AQ24" s="35"/>
      <c r="AR24" s="35"/>
      <c r="AS24" s="45">
        <f t="shared" si="7"/>
        <v>0</v>
      </c>
      <c r="AT24" s="45"/>
      <c r="AU24" s="35">
        <v>0</v>
      </c>
      <c r="AV24" s="35"/>
      <c r="AW24" s="35">
        <v>0</v>
      </c>
      <c r="AX24" s="35"/>
      <c r="AY24" s="35">
        <f t="shared" si="4"/>
        <v>0</v>
      </c>
      <c r="AZ24" s="35"/>
      <c r="BA24" s="35" t="s">
        <v>31</v>
      </c>
      <c r="BB24" s="55"/>
      <c r="BC24" s="35" t="s">
        <v>27</v>
      </c>
      <c r="BD24" s="35"/>
      <c r="BE24" s="35"/>
      <c r="BF24" s="35"/>
      <c r="BG24" s="35"/>
      <c r="BH24" s="35"/>
      <c r="BI24" s="35"/>
      <c r="BJ24" s="35"/>
      <c r="BK24" s="35"/>
      <c r="BL24" s="35"/>
      <c r="BM24" s="35">
        <f t="shared" si="5"/>
        <v>0</v>
      </c>
      <c r="BN24" s="54" t="s">
        <v>347</v>
      </c>
      <c r="BO24" s="55" t="s">
        <v>371</v>
      </c>
    </row>
    <row r="25" spans="1:67" ht="12.75" hidden="1" customHeight="1" x14ac:dyDescent="0.2">
      <c r="A25" s="35" t="s">
        <v>32</v>
      </c>
      <c r="C25" s="35" t="s">
        <v>27</v>
      </c>
      <c r="D25" s="35"/>
      <c r="E25" s="35">
        <f t="shared" si="0"/>
        <v>0</v>
      </c>
      <c r="F25" s="35"/>
      <c r="G25" s="35"/>
      <c r="H25" s="35"/>
      <c r="I25" s="35"/>
      <c r="J25" s="35"/>
      <c r="K25" s="35">
        <f t="shared" si="1"/>
        <v>0</v>
      </c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>
        <f t="shared" si="3"/>
        <v>0</v>
      </c>
      <c r="X25" s="35"/>
      <c r="Y25" s="35" t="s">
        <v>32</v>
      </c>
      <c r="Z25" s="55"/>
      <c r="AA25" s="35" t="s">
        <v>27</v>
      </c>
      <c r="AB25" s="35"/>
      <c r="AC25" s="35"/>
      <c r="AD25" s="35"/>
      <c r="AE25" s="35"/>
      <c r="AF25" s="35"/>
      <c r="AG25" s="35"/>
      <c r="AH25" s="35"/>
      <c r="AI25" s="45">
        <f t="shared" si="6"/>
        <v>0</v>
      </c>
      <c r="AJ25" s="45"/>
      <c r="AK25" s="35"/>
      <c r="AL25" s="35"/>
      <c r="AM25" s="35"/>
      <c r="AN25" s="35"/>
      <c r="AO25" s="35"/>
      <c r="AP25" s="35"/>
      <c r="AQ25" s="35"/>
      <c r="AR25" s="35"/>
      <c r="AS25" s="45">
        <f t="shared" si="7"/>
        <v>0</v>
      </c>
      <c r="AT25" s="45"/>
      <c r="AU25" s="35">
        <v>0</v>
      </c>
      <c r="AV25" s="35"/>
      <c r="AW25" s="35">
        <v>0</v>
      </c>
      <c r="AX25" s="35"/>
      <c r="AY25" s="35">
        <f t="shared" si="4"/>
        <v>0</v>
      </c>
      <c r="AZ25" s="35"/>
      <c r="BA25" s="35" t="s">
        <v>32</v>
      </c>
      <c r="BB25" s="55"/>
      <c r="BC25" s="35" t="s">
        <v>27</v>
      </c>
      <c r="BD25" s="35"/>
      <c r="BE25" s="35"/>
      <c r="BF25" s="35"/>
      <c r="BG25" s="35"/>
      <c r="BH25" s="35"/>
      <c r="BI25" s="35"/>
      <c r="BJ25" s="35"/>
      <c r="BK25" s="35"/>
      <c r="BL25" s="35"/>
      <c r="BM25" s="35">
        <f t="shared" si="5"/>
        <v>0</v>
      </c>
      <c r="BN25" s="54" t="s">
        <v>347</v>
      </c>
    </row>
    <row r="26" spans="1:67" ht="12.75" hidden="1" customHeight="1" x14ac:dyDescent="0.2">
      <c r="A26" s="35" t="s">
        <v>34</v>
      </c>
      <c r="C26" s="35" t="s">
        <v>30</v>
      </c>
      <c r="D26" s="35"/>
      <c r="E26" s="35">
        <f t="shared" si="0"/>
        <v>0</v>
      </c>
      <c r="F26" s="35"/>
      <c r="G26" s="35"/>
      <c r="H26" s="35"/>
      <c r="I26" s="35"/>
      <c r="J26" s="35"/>
      <c r="K26" s="35">
        <f t="shared" si="1"/>
        <v>0</v>
      </c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>
        <f t="shared" si="3"/>
        <v>0</v>
      </c>
      <c r="X26" s="35"/>
      <c r="Y26" s="35" t="s">
        <v>34</v>
      </c>
      <c r="Z26" s="55"/>
      <c r="AA26" s="35" t="s">
        <v>30</v>
      </c>
      <c r="AB26" s="35"/>
      <c r="AC26" s="35"/>
      <c r="AD26" s="35"/>
      <c r="AE26" s="35"/>
      <c r="AF26" s="35"/>
      <c r="AG26" s="35"/>
      <c r="AH26" s="35"/>
      <c r="AI26" s="45">
        <f t="shared" si="6"/>
        <v>0</v>
      </c>
      <c r="AJ26" s="45"/>
      <c r="AK26" s="35"/>
      <c r="AL26" s="35"/>
      <c r="AM26" s="35"/>
      <c r="AN26" s="35"/>
      <c r="AO26" s="35"/>
      <c r="AP26" s="35"/>
      <c r="AQ26" s="35"/>
      <c r="AR26" s="35"/>
      <c r="AS26" s="45">
        <f t="shared" si="7"/>
        <v>0</v>
      </c>
      <c r="AT26" s="45"/>
      <c r="AU26" s="35">
        <v>0</v>
      </c>
      <c r="AV26" s="35"/>
      <c r="AW26" s="35">
        <v>0</v>
      </c>
      <c r="AX26" s="35"/>
      <c r="AY26" s="35">
        <f t="shared" si="4"/>
        <v>0</v>
      </c>
      <c r="AZ26" s="35"/>
      <c r="BA26" s="35" t="s">
        <v>34</v>
      </c>
      <c r="BB26" s="55"/>
      <c r="BC26" s="35" t="s">
        <v>30</v>
      </c>
      <c r="BD26" s="35"/>
      <c r="BE26" s="35"/>
      <c r="BF26" s="35"/>
      <c r="BG26" s="35"/>
      <c r="BH26" s="35"/>
      <c r="BI26" s="35"/>
      <c r="BJ26" s="35"/>
      <c r="BK26" s="35"/>
      <c r="BL26" s="35"/>
      <c r="BM26" s="35">
        <f t="shared" si="5"/>
        <v>0</v>
      </c>
      <c r="BN26" s="54" t="s">
        <v>347</v>
      </c>
    </row>
    <row r="27" spans="1:67" ht="12.75" hidden="1" customHeight="1" x14ac:dyDescent="0.2">
      <c r="A27" s="35" t="s">
        <v>35</v>
      </c>
      <c r="C27" s="35" t="s">
        <v>36</v>
      </c>
      <c r="D27" s="35"/>
      <c r="E27" s="35">
        <f t="shared" si="0"/>
        <v>0</v>
      </c>
      <c r="F27" s="35"/>
      <c r="G27" s="35"/>
      <c r="H27" s="35"/>
      <c r="I27" s="35"/>
      <c r="J27" s="35"/>
      <c r="K27" s="35">
        <f t="shared" si="1"/>
        <v>0</v>
      </c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>
        <f t="shared" si="3"/>
        <v>0</v>
      </c>
      <c r="X27" s="35"/>
      <c r="Y27" s="35" t="s">
        <v>35</v>
      </c>
      <c r="Z27" s="55"/>
      <c r="AA27" s="35" t="s">
        <v>36</v>
      </c>
      <c r="AB27" s="35"/>
      <c r="AC27" s="35"/>
      <c r="AD27" s="35"/>
      <c r="AE27" s="35"/>
      <c r="AF27" s="35"/>
      <c r="AG27" s="35"/>
      <c r="AH27" s="35"/>
      <c r="AI27" s="45">
        <f t="shared" si="6"/>
        <v>0</v>
      </c>
      <c r="AJ27" s="45"/>
      <c r="AK27" s="35"/>
      <c r="AL27" s="35"/>
      <c r="AM27" s="35"/>
      <c r="AN27" s="35"/>
      <c r="AO27" s="35"/>
      <c r="AP27" s="35"/>
      <c r="AQ27" s="35"/>
      <c r="AR27" s="35"/>
      <c r="AS27" s="45">
        <f t="shared" si="7"/>
        <v>0</v>
      </c>
      <c r="AT27" s="45"/>
      <c r="AU27" s="35">
        <v>0</v>
      </c>
      <c r="AV27" s="35"/>
      <c r="AW27" s="35">
        <v>0</v>
      </c>
      <c r="AX27" s="35"/>
      <c r="AY27" s="35">
        <f t="shared" si="4"/>
        <v>0</v>
      </c>
      <c r="AZ27" s="35"/>
      <c r="BA27" s="35" t="s">
        <v>35</v>
      </c>
      <c r="BB27" s="55"/>
      <c r="BC27" s="35" t="s">
        <v>36</v>
      </c>
      <c r="BD27" s="35"/>
      <c r="BE27" s="35"/>
      <c r="BF27" s="35"/>
      <c r="BG27" s="35"/>
      <c r="BH27" s="35"/>
      <c r="BI27" s="35"/>
      <c r="BJ27" s="35"/>
      <c r="BK27" s="35"/>
      <c r="BL27" s="35"/>
      <c r="BM27" s="35">
        <f t="shared" si="5"/>
        <v>0</v>
      </c>
      <c r="BN27" s="54" t="s">
        <v>347</v>
      </c>
    </row>
    <row r="28" spans="1:67" ht="12.75" hidden="1" customHeight="1" x14ac:dyDescent="0.2">
      <c r="A28" s="35" t="s">
        <v>37</v>
      </c>
      <c r="C28" s="35" t="s">
        <v>38</v>
      </c>
      <c r="D28" s="35"/>
      <c r="E28" s="35">
        <f t="shared" si="0"/>
        <v>0</v>
      </c>
      <c r="F28" s="35"/>
      <c r="G28" s="35"/>
      <c r="H28" s="35"/>
      <c r="I28" s="35"/>
      <c r="J28" s="35"/>
      <c r="K28" s="35">
        <f t="shared" si="1"/>
        <v>0</v>
      </c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>
        <f t="shared" si="3"/>
        <v>0</v>
      </c>
      <c r="X28" s="35"/>
      <c r="Y28" s="35" t="s">
        <v>37</v>
      </c>
      <c r="Z28" s="55"/>
      <c r="AA28" s="35" t="s">
        <v>38</v>
      </c>
      <c r="AB28" s="35"/>
      <c r="AC28" s="35"/>
      <c r="AD28" s="35"/>
      <c r="AE28" s="35"/>
      <c r="AF28" s="35"/>
      <c r="AG28" s="35"/>
      <c r="AH28" s="35"/>
      <c r="AI28" s="45">
        <f t="shared" si="6"/>
        <v>0</v>
      </c>
      <c r="AJ28" s="45"/>
      <c r="AK28" s="35"/>
      <c r="AL28" s="35"/>
      <c r="AM28" s="35"/>
      <c r="AN28" s="35"/>
      <c r="AO28" s="35"/>
      <c r="AP28" s="35"/>
      <c r="AQ28" s="35"/>
      <c r="AR28" s="35"/>
      <c r="AS28" s="45">
        <v>0</v>
      </c>
      <c r="AT28" s="45"/>
      <c r="AU28" s="35">
        <v>0</v>
      </c>
      <c r="AV28" s="35"/>
      <c r="AW28" s="35">
        <v>0</v>
      </c>
      <c r="AX28" s="35"/>
      <c r="AY28" s="35">
        <f t="shared" si="4"/>
        <v>0</v>
      </c>
      <c r="AZ28" s="35"/>
      <c r="BA28" s="35" t="s">
        <v>37</v>
      </c>
      <c r="BB28" s="55"/>
      <c r="BC28" s="35" t="s">
        <v>38</v>
      </c>
      <c r="BD28" s="35"/>
      <c r="BE28" s="35"/>
      <c r="BF28" s="35"/>
      <c r="BG28" s="35"/>
      <c r="BH28" s="35"/>
      <c r="BI28" s="35"/>
      <c r="BJ28" s="35"/>
      <c r="BK28" s="35"/>
      <c r="BL28" s="35"/>
      <c r="BM28" s="35">
        <v>0</v>
      </c>
      <c r="BN28" s="54" t="s">
        <v>347</v>
      </c>
    </row>
    <row r="29" spans="1:67" ht="12.75" hidden="1" customHeight="1" x14ac:dyDescent="0.2">
      <c r="A29" s="35" t="s">
        <v>39</v>
      </c>
      <c r="C29" s="35" t="s">
        <v>40</v>
      </c>
      <c r="D29" s="35"/>
      <c r="E29" s="35">
        <f t="shared" si="0"/>
        <v>0</v>
      </c>
      <c r="F29" s="35"/>
      <c r="G29" s="35"/>
      <c r="H29" s="35"/>
      <c r="I29" s="35"/>
      <c r="J29" s="35"/>
      <c r="K29" s="35">
        <f t="shared" si="1"/>
        <v>0</v>
      </c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>
        <f t="shared" si="3"/>
        <v>0</v>
      </c>
      <c r="X29" s="35"/>
      <c r="Y29" s="35" t="s">
        <v>39</v>
      </c>
      <c r="Z29" s="55"/>
      <c r="AA29" s="35" t="s">
        <v>40</v>
      </c>
      <c r="AB29" s="35"/>
      <c r="AC29" s="35"/>
      <c r="AD29" s="35"/>
      <c r="AE29" s="35"/>
      <c r="AF29" s="35"/>
      <c r="AG29" s="35"/>
      <c r="AH29" s="35"/>
      <c r="AI29" s="45">
        <f t="shared" si="6"/>
        <v>0</v>
      </c>
      <c r="AJ29" s="45"/>
      <c r="AK29" s="35"/>
      <c r="AL29" s="35"/>
      <c r="AM29" s="35"/>
      <c r="AN29" s="35"/>
      <c r="AO29" s="35"/>
      <c r="AP29" s="35"/>
      <c r="AQ29" s="35"/>
      <c r="AR29" s="35"/>
      <c r="AS29" s="45">
        <f t="shared" ref="AS29:AS34" si="8">+AI29+AK29+AM29-AO29+AQ29</f>
        <v>0</v>
      </c>
      <c r="AT29" s="45"/>
      <c r="AU29" s="35">
        <v>0</v>
      </c>
      <c r="AV29" s="35"/>
      <c r="AW29" s="35">
        <v>0</v>
      </c>
      <c r="AX29" s="35"/>
      <c r="AY29" s="35">
        <f t="shared" si="4"/>
        <v>0</v>
      </c>
      <c r="AZ29" s="35"/>
      <c r="BA29" s="35" t="s">
        <v>39</v>
      </c>
      <c r="BB29" s="55"/>
      <c r="BC29" s="35" t="s">
        <v>40</v>
      </c>
      <c r="BD29" s="35"/>
      <c r="BE29" s="35"/>
      <c r="BF29" s="35"/>
      <c r="BG29" s="35"/>
      <c r="BH29" s="35"/>
      <c r="BI29" s="35"/>
      <c r="BJ29" s="35"/>
      <c r="BK29" s="35"/>
      <c r="BL29" s="35"/>
      <c r="BM29" s="35">
        <f>SUM(BE29:BK29)</f>
        <v>0</v>
      </c>
      <c r="BN29" s="54" t="s">
        <v>347</v>
      </c>
    </row>
    <row r="30" spans="1:67" ht="12.75" hidden="1" customHeight="1" x14ac:dyDescent="0.2">
      <c r="A30" s="35" t="s">
        <v>41</v>
      </c>
      <c r="C30" s="35" t="s">
        <v>27</v>
      </c>
      <c r="D30" s="35"/>
      <c r="E30" s="35">
        <f t="shared" si="0"/>
        <v>0</v>
      </c>
      <c r="F30" s="35"/>
      <c r="G30" s="35"/>
      <c r="H30" s="35"/>
      <c r="I30" s="35"/>
      <c r="J30" s="35"/>
      <c r="K30" s="35">
        <f t="shared" si="1"/>
        <v>0</v>
      </c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>
        <f t="shared" si="3"/>
        <v>0</v>
      </c>
      <c r="X30" s="35"/>
      <c r="Y30" s="35" t="s">
        <v>41</v>
      </c>
      <c r="Z30" s="55"/>
      <c r="AA30" s="35" t="s">
        <v>27</v>
      </c>
      <c r="AB30" s="35"/>
      <c r="AC30" s="35"/>
      <c r="AD30" s="35"/>
      <c r="AE30" s="35"/>
      <c r="AF30" s="35"/>
      <c r="AG30" s="35"/>
      <c r="AH30" s="35"/>
      <c r="AI30" s="45">
        <f t="shared" si="6"/>
        <v>0</v>
      </c>
      <c r="AJ30" s="45"/>
      <c r="AK30" s="35"/>
      <c r="AL30" s="35"/>
      <c r="AM30" s="35"/>
      <c r="AN30" s="35"/>
      <c r="AO30" s="35"/>
      <c r="AP30" s="35"/>
      <c r="AQ30" s="35"/>
      <c r="AR30" s="35"/>
      <c r="AS30" s="45">
        <f t="shared" si="8"/>
        <v>0</v>
      </c>
      <c r="AT30" s="45"/>
      <c r="AU30" s="35">
        <v>0</v>
      </c>
      <c r="AV30" s="35"/>
      <c r="AW30" s="35">
        <v>0</v>
      </c>
      <c r="AX30" s="35"/>
      <c r="AY30" s="35">
        <f t="shared" si="4"/>
        <v>0</v>
      </c>
      <c r="AZ30" s="35"/>
      <c r="BA30" s="35" t="s">
        <v>41</v>
      </c>
      <c r="BB30" s="55"/>
      <c r="BC30" s="35" t="s">
        <v>27</v>
      </c>
      <c r="BD30" s="35"/>
      <c r="BE30" s="35"/>
      <c r="BF30" s="35"/>
      <c r="BG30" s="35"/>
      <c r="BH30" s="35"/>
      <c r="BI30" s="35"/>
      <c r="BJ30" s="35"/>
      <c r="BK30" s="35"/>
      <c r="BL30" s="35"/>
      <c r="BM30" s="35">
        <f>SUM(BE30:BK30)</f>
        <v>0</v>
      </c>
      <c r="BN30" s="54" t="s">
        <v>347</v>
      </c>
    </row>
    <row r="31" spans="1:67" ht="12.75" hidden="1" customHeight="1" x14ac:dyDescent="0.2">
      <c r="A31" s="35" t="s">
        <v>42</v>
      </c>
      <c r="C31" s="35" t="s">
        <v>43</v>
      </c>
      <c r="D31" s="35"/>
      <c r="E31" s="35">
        <f t="shared" si="0"/>
        <v>0</v>
      </c>
      <c r="F31" s="35"/>
      <c r="G31" s="35"/>
      <c r="H31" s="35"/>
      <c r="I31" s="35"/>
      <c r="J31" s="35"/>
      <c r="K31" s="35">
        <f t="shared" si="1"/>
        <v>0</v>
      </c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>
        <f t="shared" si="3"/>
        <v>0</v>
      </c>
      <c r="X31" s="35"/>
      <c r="Y31" s="35" t="s">
        <v>42</v>
      </c>
      <c r="Z31" s="55"/>
      <c r="AA31" s="35" t="s">
        <v>43</v>
      </c>
      <c r="AB31" s="35"/>
      <c r="AC31" s="35"/>
      <c r="AD31" s="35"/>
      <c r="AE31" s="35"/>
      <c r="AF31" s="35"/>
      <c r="AG31" s="35"/>
      <c r="AH31" s="35"/>
      <c r="AI31" s="45">
        <f t="shared" si="6"/>
        <v>0</v>
      </c>
      <c r="AJ31" s="45"/>
      <c r="AK31" s="35"/>
      <c r="AL31" s="35"/>
      <c r="AM31" s="35"/>
      <c r="AN31" s="35"/>
      <c r="AO31" s="35"/>
      <c r="AP31" s="35"/>
      <c r="AQ31" s="35"/>
      <c r="AR31" s="35"/>
      <c r="AS31" s="45">
        <f t="shared" si="8"/>
        <v>0</v>
      </c>
      <c r="AT31" s="45"/>
      <c r="AU31" s="35">
        <v>0</v>
      </c>
      <c r="AV31" s="35"/>
      <c r="AW31" s="35">
        <v>0</v>
      </c>
      <c r="AX31" s="35"/>
      <c r="AY31" s="35">
        <f t="shared" si="4"/>
        <v>0</v>
      </c>
      <c r="AZ31" s="35"/>
      <c r="BA31" s="35" t="s">
        <v>42</v>
      </c>
      <c r="BB31" s="55"/>
      <c r="BC31" s="35" t="s">
        <v>43</v>
      </c>
      <c r="BD31" s="35"/>
      <c r="BE31" s="35"/>
      <c r="BF31" s="35"/>
      <c r="BG31" s="35"/>
      <c r="BH31" s="35"/>
      <c r="BI31" s="35"/>
      <c r="BJ31" s="35"/>
      <c r="BK31" s="35"/>
      <c r="BL31" s="35"/>
      <c r="BM31" s="35">
        <f>SUM(BE31:BK31)</f>
        <v>0</v>
      </c>
      <c r="BN31" s="54" t="s">
        <v>347</v>
      </c>
    </row>
    <row r="32" spans="1:67" ht="12.75" hidden="1" customHeight="1" x14ac:dyDescent="0.2">
      <c r="A32" s="35" t="s">
        <v>44</v>
      </c>
      <c r="C32" s="35" t="s">
        <v>45</v>
      </c>
      <c r="D32" s="35"/>
      <c r="E32" s="35">
        <f t="shared" si="0"/>
        <v>0</v>
      </c>
      <c r="F32" s="35"/>
      <c r="G32" s="35"/>
      <c r="H32" s="35"/>
      <c r="I32" s="35"/>
      <c r="J32" s="35"/>
      <c r="K32" s="35">
        <f t="shared" si="1"/>
        <v>0</v>
      </c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>
        <f t="shared" si="3"/>
        <v>0</v>
      </c>
      <c r="X32" s="35"/>
      <c r="Y32" s="35" t="s">
        <v>44</v>
      </c>
      <c r="Z32" s="55"/>
      <c r="AA32" s="35" t="s">
        <v>45</v>
      </c>
      <c r="AB32" s="35"/>
      <c r="AC32" s="35"/>
      <c r="AD32" s="35"/>
      <c r="AE32" s="35"/>
      <c r="AF32" s="35"/>
      <c r="AG32" s="35"/>
      <c r="AH32" s="35"/>
      <c r="AI32" s="45">
        <v>0</v>
      </c>
      <c r="AJ32" s="45"/>
      <c r="AK32" s="35"/>
      <c r="AL32" s="35"/>
      <c r="AM32" s="35"/>
      <c r="AN32" s="35"/>
      <c r="AO32" s="35"/>
      <c r="AP32" s="35"/>
      <c r="AQ32" s="35"/>
      <c r="AR32" s="35"/>
      <c r="AS32" s="45">
        <f t="shared" si="8"/>
        <v>0</v>
      </c>
      <c r="AT32" s="45"/>
      <c r="AU32" s="35">
        <v>0</v>
      </c>
      <c r="AV32" s="35"/>
      <c r="AW32" s="35">
        <v>0</v>
      </c>
      <c r="AX32" s="35"/>
      <c r="AY32" s="35">
        <f t="shared" si="4"/>
        <v>0</v>
      </c>
      <c r="AZ32" s="35"/>
      <c r="BA32" s="35" t="s">
        <v>44</v>
      </c>
      <c r="BB32" s="55"/>
      <c r="BC32" s="35" t="s">
        <v>45</v>
      </c>
      <c r="BD32" s="35"/>
      <c r="BE32" s="35"/>
      <c r="BF32" s="35"/>
      <c r="BG32" s="35"/>
      <c r="BH32" s="35"/>
      <c r="BI32" s="35"/>
      <c r="BJ32" s="35"/>
      <c r="BK32" s="35"/>
      <c r="BL32" s="35"/>
      <c r="BM32" s="35">
        <v>0</v>
      </c>
      <c r="BN32" s="54" t="s">
        <v>347</v>
      </c>
    </row>
    <row r="33" spans="1:71" ht="12.75" customHeight="1" x14ac:dyDescent="0.2">
      <c r="A33" s="35" t="s">
        <v>46</v>
      </c>
      <c r="B33" s="65"/>
      <c r="C33" s="35" t="s">
        <v>47</v>
      </c>
      <c r="D33" s="35"/>
      <c r="E33" s="35">
        <f t="shared" si="0"/>
        <v>22741623</v>
      </c>
      <c r="F33" s="35"/>
      <c r="G33" s="35">
        <v>32401257</v>
      </c>
      <c r="H33" s="35"/>
      <c r="I33" s="35">
        <v>55142880</v>
      </c>
      <c r="J33" s="35"/>
      <c r="K33" s="35">
        <f t="shared" si="1"/>
        <v>4972767</v>
      </c>
      <c r="L33" s="35"/>
      <c r="M33" s="35">
        <v>7953935</v>
      </c>
      <c r="N33" s="35"/>
      <c r="O33" s="35">
        <v>12926702</v>
      </c>
      <c r="P33" s="35"/>
      <c r="Q33" s="35">
        <v>16829498</v>
      </c>
      <c r="R33" s="35"/>
      <c r="S33" s="35">
        <v>0</v>
      </c>
      <c r="T33" s="35"/>
      <c r="U33" s="35">
        <v>25386680</v>
      </c>
      <c r="V33" s="35"/>
      <c r="W33" s="35">
        <f t="shared" si="3"/>
        <v>42216178</v>
      </c>
      <c r="X33" s="35"/>
      <c r="Y33" s="35" t="s">
        <v>46</v>
      </c>
      <c r="Z33" s="55"/>
      <c r="AA33" s="35" t="s">
        <v>47</v>
      </c>
      <c r="AB33" s="35"/>
      <c r="AC33" s="35">
        <v>42262801</v>
      </c>
      <c r="AD33" s="35"/>
      <c r="AE33" s="35">
        <f>34501671-1218575</f>
        <v>33283096</v>
      </c>
      <c r="AF33" s="35"/>
      <c r="AG33" s="35">
        <v>1218575</v>
      </c>
      <c r="AH33" s="35"/>
      <c r="AI33" s="45">
        <f>+AC33-AE33-AG33</f>
        <v>7761130</v>
      </c>
      <c r="AJ33" s="45"/>
      <c r="AK33" s="35">
        <v>-371602</v>
      </c>
      <c r="AL33" s="35"/>
      <c r="AM33" s="35">
        <v>0</v>
      </c>
      <c r="AN33" s="35"/>
      <c r="AO33" s="35">
        <v>0</v>
      </c>
      <c r="AP33" s="35"/>
      <c r="AQ33" s="35">
        <v>0</v>
      </c>
      <c r="AR33" s="35"/>
      <c r="AS33" s="45">
        <f t="shared" si="8"/>
        <v>7389528</v>
      </c>
      <c r="AT33" s="45"/>
      <c r="AU33" s="35">
        <v>0</v>
      </c>
      <c r="AV33" s="35"/>
      <c r="AW33" s="35">
        <v>0</v>
      </c>
      <c r="AX33" s="35"/>
      <c r="AY33" s="35">
        <f t="shared" si="4"/>
        <v>17768856</v>
      </c>
      <c r="AZ33" s="35"/>
      <c r="BA33" s="35" t="s">
        <v>46</v>
      </c>
      <c r="BB33" s="55"/>
      <c r="BC33" s="35" t="s">
        <v>47</v>
      </c>
      <c r="BD33" s="35"/>
      <c r="BE33" s="35">
        <f>65000+293446</f>
        <v>358446</v>
      </c>
      <c r="BF33" s="35"/>
      <c r="BG33" s="35">
        <v>0</v>
      </c>
      <c r="BH33" s="35"/>
      <c r="BI33" s="35">
        <v>0</v>
      </c>
      <c r="BJ33" s="35"/>
      <c r="BK33" s="35">
        <f>277538+7382951+220775+985628</f>
        <v>8866892</v>
      </c>
      <c r="BL33" s="35"/>
      <c r="BM33" s="35">
        <f>SUM(BE33:BK33)</f>
        <v>9225338</v>
      </c>
      <c r="BN33" s="54" t="s">
        <v>347</v>
      </c>
    </row>
    <row r="34" spans="1:71" ht="12.75" hidden="1" customHeight="1" x14ac:dyDescent="0.2">
      <c r="A34" s="35" t="s">
        <v>48</v>
      </c>
      <c r="C34" s="35" t="s">
        <v>27</v>
      </c>
      <c r="D34" s="35"/>
      <c r="E34" s="35">
        <f t="shared" si="0"/>
        <v>0</v>
      </c>
      <c r="F34" s="35"/>
      <c r="G34" s="35"/>
      <c r="H34" s="35"/>
      <c r="I34" s="35"/>
      <c r="J34" s="35"/>
      <c r="K34" s="35">
        <f t="shared" si="1"/>
        <v>0</v>
      </c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>
        <v>0</v>
      </c>
      <c r="X34" s="35"/>
      <c r="Y34" s="35" t="s">
        <v>48</v>
      </c>
      <c r="Z34" s="55"/>
      <c r="AA34" s="35" t="s">
        <v>27</v>
      </c>
      <c r="AB34" s="35"/>
      <c r="AC34" s="35"/>
      <c r="AD34" s="35"/>
      <c r="AE34" s="35"/>
      <c r="AF34" s="35"/>
      <c r="AG34" s="35"/>
      <c r="AH34" s="35"/>
      <c r="AI34" s="45">
        <f t="shared" ref="AI34:AI99" si="9">+AC34-AE34-AG34</f>
        <v>0</v>
      </c>
      <c r="AJ34" s="45"/>
      <c r="AK34" s="35"/>
      <c r="AL34" s="35"/>
      <c r="AM34" s="35"/>
      <c r="AN34" s="35"/>
      <c r="AO34" s="35"/>
      <c r="AP34" s="35"/>
      <c r="AQ34" s="35"/>
      <c r="AR34" s="35"/>
      <c r="AS34" s="45">
        <f t="shared" si="8"/>
        <v>0</v>
      </c>
      <c r="AT34" s="45"/>
      <c r="AU34" s="35">
        <v>0</v>
      </c>
      <c r="AV34" s="35"/>
      <c r="AW34" s="35">
        <v>0</v>
      </c>
      <c r="AX34" s="35"/>
      <c r="AY34" s="35">
        <f t="shared" si="4"/>
        <v>0</v>
      </c>
      <c r="AZ34" s="35"/>
      <c r="BA34" s="35" t="s">
        <v>48</v>
      </c>
      <c r="BB34" s="55"/>
      <c r="BC34" s="35" t="s">
        <v>27</v>
      </c>
      <c r="BD34" s="35"/>
      <c r="BE34" s="35"/>
      <c r="BF34" s="35"/>
      <c r="BG34" s="35"/>
      <c r="BH34" s="35"/>
      <c r="BI34" s="35"/>
      <c r="BJ34" s="35"/>
      <c r="BK34" s="35"/>
      <c r="BL34" s="35"/>
      <c r="BM34" s="35">
        <f t="shared" ref="BM34:BM65" si="10">SUM(BE34:BK34)</f>
        <v>0</v>
      </c>
      <c r="BN34" s="54" t="s">
        <v>347</v>
      </c>
    </row>
    <row r="35" spans="1:71" ht="12.75" hidden="1" customHeight="1" x14ac:dyDescent="0.2">
      <c r="A35" s="35" t="s">
        <v>49</v>
      </c>
      <c r="C35" s="35" t="s">
        <v>27</v>
      </c>
      <c r="D35" s="35"/>
      <c r="E35" s="35">
        <f t="shared" si="0"/>
        <v>0</v>
      </c>
      <c r="F35" s="35"/>
      <c r="G35" s="35"/>
      <c r="H35" s="35"/>
      <c r="I35" s="35"/>
      <c r="J35" s="35"/>
      <c r="K35" s="35">
        <f t="shared" si="1"/>
        <v>0</v>
      </c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>
        <f t="shared" ref="W35:W38" si="11">SUM(Q35:U35)</f>
        <v>0</v>
      </c>
      <c r="X35" s="35"/>
      <c r="Y35" s="35" t="s">
        <v>49</v>
      </c>
      <c r="Z35" s="55"/>
      <c r="AA35" s="35" t="s">
        <v>27</v>
      </c>
      <c r="AB35" s="35"/>
      <c r="AC35" s="35"/>
      <c r="AD35" s="35"/>
      <c r="AE35" s="35"/>
      <c r="AF35" s="35"/>
      <c r="AG35" s="35"/>
      <c r="AH35" s="35"/>
      <c r="AI35" s="45">
        <f t="shared" si="9"/>
        <v>0</v>
      </c>
      <c r="AJ35" s="45"/>
      <c r="AK35" s="35"/>
      <c r="AL35" s="35"/>
      <c r="AM35" s="35"/>
      <c r="AN35" s="35"/>
      <c r="AO35" s="35"/>
      <c r="AP35" s="35"/>
      <c r="AQ35" s="35"/>
      <c r="AR35" s="35"/>
      <c r="AS35" s="45">
        <v>0</v>
      </c>
      <c r="AT35" s="45"/>
      <c r="AU35" s="35">
        <v>0</v>
      </c>
      <c r="AV35" s="35"/>
      <c r="AW35" s="35">
        <v>0</v>
      </c>
      <c r="AX35" s="35"/>
      <c r="AY35" s="35">
        <f t="shared" si="4"/>
        <v>0</v>
      </c>
      <c r="AZ35" s="35"/>
      <c r="BA35" s="35" t="s">
        <v>49</v>
      </c>
      <c r="BB35" s="55"/>
      <c r="BC35" s="35" t="s">
        <v>27</v>
      </c>
      <c r="BD35" s="35"/>
      <c r="BE35" s="35"/>
      <c r="BF35" s="35"/>
      <c r="BG35" s="35"/>
      <c r="BH35" s="35"/>
      <c r="BI35" s="35"/>
      <c r="BJ35" s="35"/>
      <c r="BK35" s="35"/>
      <c r="BL35" s="35"/>
      <c r="BM35" s="35">
        <f t="shared" si="10"/>
        <v>0</v>
      </c>
      <c r="BN35" s="54" t="s">
        <v>347</v>
      </c>
      <c r="BO35" s="55" t="s">
        <v>371</v>
      </c>
    </row>
    <row r="36" spans="1:71" ht="12.75" hidden="1" customHeight="1" x14ac:dyDescent="0.2">
      <c r="A36" s="35" t="s">
        <v>50</v>
      </c>
      <c r="C36" s="35" t="s">
        <v>27</v>
      </c>
      <c r="D36" s="35"/>
      <c r="E36" s="35">
        <f t="shared" si="0"/>
        <v>0</v>
      </c>
      <c r="F36" s="35"/>
      <c r="G36" s="35"/>
      <c r="H36" s="35"/>
      <c r="I36" s="35"/>
      <c r="J36" s="35"/>
      <c r="K36" s="35">
        <f t="shared" si="1"/>
        <v>0</v>
      </c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>
        <f t="shared" si="11"/>
        <v>0</v>
      </c>
      <c r="X36" s="35"/>
      <c r="Y36" s="35" t="s">
        <v>50</v>
      </c>
      <c r="Z36" s="55"/>
      <c r="AA36" s="35" t="s">
        <v>27</v>
      </c>
      <c r="AB36" s="35"/>
      <c r="AC36" s="35"/>
      <c r="AD36" s="35"/>
      <c r="AE36" s="35"/>
      <c r="AF36" s="35"/>
      <c r="AG36" s="35"/>
      <c r="AH36" s="35"/>
      <c r="AI36" s="45">
        <f t="shared" si="9"/>
        <v>0</v>
      </c>
      <c r="AJ36" s="45"/>
      <c r="AK36" s="35"/>
      <c r="AL36" s="35"/>
      <c r="AM36" s="35"/>
      <c r="AN36" s="35"/>
      <c r="AO36" s="35"/>
      <c r="AP36" s="35"/>
      <c r="AQ36" s="35"/>
      <c r="AR36" s="35"/>
      <c r="AS36" s="45">
        <f>+AI36+AK36+AM36-AO36+AQ36</f>
        <v>0</v>
      </c>
      <c r="AT36" s="45"/>
      <c r="AU36" s="35">
        <v>0</v>
      </c>
      <c r="AV36" s="35"/>
      <c r="AW36" s="35">
        <v>0</v>
      </c>
      <c r="AX36" s="35"/>
      <c r="AY36" s="35">
        <f t="shared" si="4"/>
        <v>0</v>
      </c>
      <c r="AZ36" s="35"/>
      <c r="BA36" s="35" t="s">
        <v>50</v>
      </c>
      <c r="BB36" s="55"/>
      <c r="BC36" s="35" t="s">
        <v>27</v>
      </c>
      <c r="BD36" s="35"/>
      <c r="BE36" s="35"/>
      <c r="BF36" s="35"/>
      <c r="BG36" s="35"/>
      <c r="BH36" s="35"/>
      <c r="BI36" s="35"/>
      <c r="BJ36" s="35"/>
      <c r="BK36" s="35"/>
      <c r="BL36" s="35"/>
      <c r="BM36" s="35">
        <f t="shared" si="10"/>
        <v>0</v>
      </c>
      <c r="BN36" s="54" t="s">
        <v>347</v>
      </c>
    </row>
    <row r="37" spans="1:71" ht="12.75" hidden="1" customHeight="1" x14ac:dyDescent="0.2">
      <c r="A37" s="35" t="s">
        <v>51</v>
      </c>
      <c r="C37" s="35" t="s">
        <v>27</v>
      </c>
      <c r="D37" s="35"/>
      <c r="E37" s="35">
        <f t="shared" si="0"/>
        <v>0</v>
      </c>
      <c r="F37" s="35"/>
      <c r="G37" s="35"/>
      <c r="H37" s="35"/>
      <c r="I37" s="35"/>
      <c r="J37" s="35"/>
      <c r="K37" s="35">
        <f t="shared" si="1"/>
        <v>0</v>
      </c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>
        <f t="shared" si="11"/>
        <v>0</v>
      </c>
      <c r="X37" s="35"/>
      <c r="Y37" s="35" t="s">
        <v>51</v>
      </c>
      <c r="Z37" s="55"/>
      <c r="AA37" s="35" t="s">
        <v>27</v>
      </c>
      <c r="AB37" s="35"/>
      <c r="AC37" s="35"/>
      <c r="AD37" s="35"/>
      <c r="AE37" s="35"/>
      <c r="AF37" s="35"/>
      <c r="AG37" s="35"/>
      <c r="AH37" s="35"/>
      <c r="AI37" s="45">
        <f t="shared" si="9"/>
        <v>0</v>
      </c>
      <c r="AJ37" s="45"/>
      <c r="AK37" s="35"/>
      <c r="AL37" s="35"/>
      <c r="AM37" s="35"/>
      <c r="AN37" s="35"/>
      <c r="AO37" s="35"/>
      <c r="AP37" s="35"/>
      <c r="AQ37" s="35"/>
      <c r="AR37" s="35"/>
      <c r="AS37" s="45">
        <v>0</v>
      </c>
      <c r="AT37" s="45"/>
      <c r="AU37" s="35">
        <v>0</v>
      </c>
      <c r="AV37" s="35"/>
      <c r="AW37" s="35">
        <v>0</v>
      </c>
      <c r="AX37" s="35"/>
      <c r="AY37" s="35">
        <f t="shared" si="4"/>
        <v>0</v>
      </c>
      <c r="AZ37" s="35"/>
      <c r="BA37" s="35" t="s">
        <v>51</v>
      </c>
      <c r="BB37" s="55"/>
      <c r="BC37" s="35" t="s">
        <v>27</v>
      </c>
      <c r="BD37" s="35"/>
      <c r="BE37" s="35"/>
      <c r="BF37" s="35"/>
      <c r="BG37" s="35"/>
      <c r="BH37" s="35"/>
      <c r="BI37" s="35"/>
      <c r="BJ37" s="35"/>
      <c r="BK37" s="35"/>
      <c r="BL37" s="35"/>
      <c r="BM37" s="35">
        <f t="shared" si="10"/>
        <v>0</v>
      </c>
      <c r="BN37" s="54" t="s">
        <v>347</v>
      </c>
    </row>
    <row r="38" spans="1:71" ht="12.75" hidden="1" customHeight="1" x14ac:dyDescent="0.2">
      <c r="A38" s="35" t="s">
        <v>52</v>
      </c>
      <c r="C38" s="35" t="s">
        <v>53</v>
      </c>
      <c r="D38" s="35"/>
      <c r="E38" s="35">
        <f t="shared" si="0"/>
        <v>0</v>
      </c>
      <c r="F38" s="35"/>
      <c r="G38" s="35"/>
      <c r="H38" s="35"/>
      <c r="I38" s="35"/>
      <c r="J38" s="35"/>
      <c r="K38" s="35">
        <f t="shared" si="1"/>
        <v>0</v>
      </c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>
        <f t="shared" si="11"/>
        <v>0</v>
      </c>
      <c r="X38" s="35"/>
      <c r="Y38" s="35" t="s">
        <v>52</v>
      </c>
      <c r="Z38" s="55"/>
      <c r="AA38" s="35" t="s">
        <v>53</v>
      </c>
      <c r="AB38" s="35"/>
      <c r="AC38" s="35"/>
      <c r="AD38" s="35"/>
      <c r="AE38" s="35"/>
      <c r="AF38" s="35"/>
      <c r="AG38" s="35"/>
      <c r="AH38" s="35"/>
      <c r="AI38" s="45">
        <f t="shared" si="9"/>
        <v>0</v>
      </c>
      <c r="AJ38" s="45"/>
      <c r="AK38" s="35"/>
      <c r="AL38" s="35"/>
      <c r="AM38" s="35"/>
      <c r="AN38" s="35"/>
      <c r="AO38" s="35"/>
      <c r="AP38" s="35"/>
      <c r="AQ38" s="35"/>
      <c r="AR38" s="35"/>
      <c r="AS38" s="45">
        <f t="shared" ref="AS38:AS103" si="12">+AI38+AK38+AM38-AO38+AQ38</f>
        <v>0</v>
      </c>
      <c r="AT38" s="45"/>
      <c r="AU38" s="35">
        <v>0</v>
      </c>
      <c r="AV38" s="35"/>
      <c r="AW38" s="35">
        <v>0</v>
      </c>
      <c r="AX38" s="35"/>
      <c r="AY38" s="35">
        <f t="shared" si="4"/>
        <v>0</v>
      </c>
      <c r="AZ38" s="35"/>
      <c r="BA38" s="35" t="s">
        <v>52</v>
      </c>
      <c r="BB38" s="55"/>
      <c r="BC38" s="35" t="s">
        <v>53</v>
      </c>
      <c r="BD38" s="35"/>
      <c r="BE38" s="35"/>
      <c r="BF38" s="35"/>
      <c r="BG38" s="35"/>
      <c r="BH38" s="35"/>
      <c r="BI38" s="35"/>
      <c r="BJ38" s="35"/>
      <c r="BK38" s="35"/>
      <c r="BL38" s="35"/>
      <c r="BM38" s="35">
        <f t="shared" si="10"/>
        <v>0</v>
      </c>
      <c r="BN38" s="54" t="s">
        <v>347</v>
      </c>
    </row>
    <row r="39" spans="1:71" s="90" customFormat="1" ht="12.75" customHeight="1" x14ac:dyDescent="0.2">
      <c r="A39" s="64" t="s">
        <v>54</v>
      </c>
      <c r="B39" s="66"/>
      <c r="C39" s="64" t="s">
        <v>55</v>
      </c>
      <c r="D39" s="64"/>
      <c r="E39" s="35">
        <f t="shared" ref="E39:E104" si="13">I39-G39</f>
        <v>10620289</v>
      </c>
      <c r="F39" s="35"/>
      <c r="G39" s="35">
        <v>19237548</v>
      </c>
      <c r="H39" s="35"/>
      <c r="I39" s="35">
        <v>29857837</v>
      </c>
      <c r="J39" s="35"/>
      <c r="K39" s="35">
        <f t="shared" ref="K39:K104" si="14">O39-M39</f>
        <v>1369856</v>
      </c>
      <c r="L39" s="35"/>
      <c r="M39" s="35">
        <v>476677</v>
      </c>
      <c r="N39" s="35"/>
      <c r="O39" s="35">
        <v>1846533</v>
      </c>
      <c r="P39" s="35"/>
      <c r="Q39" s="35">
        <v>16869683</v>
      </c>
      <c r="R39" s="35"/>
      <c r="S39" s="35">
        <v>0</v>
      </c>
      <c r="T39" s="35"/>
      <c r="U39" s="35">
        <v>11141621</v>
      </c>
      <c r="V39" s="35"/>
      <c r="W39" s="35">
        <f t="shared" ref="W39:W104" si="15">SUM(Q39:U39)</f>
        <v>28011304</v>
      </c>
      <c r="X39" s="64"/>
      <c r="Y39" s="64" t="s">
        <v>54</v>
      </c>
      <c r="AA39" s="64" t="s">
        <v>55</v>
      </c>
      <c r="AB39" s="64"/>
      <c r="AC39" s="35">
        <v>21015144</v>
      </c>
      <c r="AD39" s="35"/>
      <c r="AE39" s="35">
        <f>19699010-1049177</f>
        <v>18649833</v>
      </c>
      <c r="AF39" s="35"/>
      <c r="AG39" s="35">
        <v>1049177</v>
      </c>
      <c r="AH39" s="35"/>
      <c r="AI39" s="45">
        <f t="shared" si="9"/>
        <v>1316134</v>
      </c>
      <c r="AJ39" s="45"/>
      <c r="AK39" s="35">
        <v>401626</v>
      </c>
      <c r="AL39" s="35"/>
      <c r="AM39" s="35">
        <v>136911</v>
      </c>
      <c r="AN39" s="35"/>
      <c r="AO39" s="35">
        <v>0</v>
      </c>
      <c r="AP39" s="35"/>
      <c r="AQ39" s="35">
        <v>0</v>
      </c>
      <c r="AR39" s="35"/>
      <c r="AS39" s="45">
        <f t="shared" si="12"/>
        <v>1854671</v>
      </c>
      <c r="AT39" s="45"/>
      <c r="AU39" s="35">
        <v>0</v>
      </c>
      <c r="AV39" s="35"/>
      <c r="AW39" s="35">
        <v>0</v>
      </c>
      <c r="AX39" s="35"/>
      <c r="AY39" s="35">
        <f t="shared" ref="AY39:AY104" si="16">+E39-K39</f>
        <v>9250433</v>
      </c>
      <c r="AZ39" s="64"/>
      <c r="BA39" s="64" t="s">
        <v>54</v>
      </c>
      <c r="BC39" s="64" t="s">
        <v>55</v>
      </c>
      <c r="BD39" s="64"/>
      <c r="BE39" s="35">
        <v>0</v>
      </c>
      <c r="BF39" s="35"/>
      <c r="BG39" s="35">
        <v>0</v>
      </c>
      <c r="BH39" s="35"/>
      <c r="BI39" s="35">
        <v>0</v>
      </c>
      <c r="BJ39" s="35"/>
      <c r="BK39" s="35">
        <f>476677+136842</f>
        <v>613519</v>
      </c>
      <c r="BL39" s="64"/>
      <c r="BM39" s="64">
        <f t="shared" si="10"/>
        <v>613519</v>
      </c>
      <c r="BN39" s="91" t="s">
        <v>347</v>
      </c>
    </row>
    <row r="40" spans="1:71" ht="12.75" hidden="1" customHeight="1" x14ac:dyDescent="0.2">
      <c r="A40" s="35" t="s">
        <v>56</v>
      </c>
      <c r="C40" s="35" t="s">
        <v>57</v>
      </c>
      <c r="D40" s="35"/>
      <c r="E40" s="35">
        <f t="shared" si="13"/>
        <v>0</v>
      </c>
      <c r="F40" s="35"/>
      <c r="G40" s="35"/>
      <c r="H40" s="35"/>
      <c r="I40" s="35"/>
      <c r="J40" s="35"/>
      <c r="K40" s="35">
        <f t="shared" si="14"/>
        <v>0</v>
      </c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>
        <f t="shared" si="15"/>
        <v>0</v>
      </c>
      <c r="X40" s="35"/>
      <c r="Y40" s="35" t="s">
        <v>56</v>
      </c>
      <c r="Z40" s="55"/>
      <c r="AA40" s="35" t="s">
        <v>57</v>
      </c>
      <c r="AB40" s="35"/>
      <c r="AC40" s="35"/>
      <c r="AD40" s="35"/>
      <c r="AE40" s="35"/>
      <c r="AF40" s="35"/>
      <c r="AG40" s="35"/>
      <c r="AH40" s="35"/>
      <c r="AI40" s="45">
        <f t="shared" si="9"/>
        <v>0</v>
      </c>
      <c r="AJ40" s="45"/>
      <c r="AK40" s="35"/>
      <c r="AL40" s="35"/>
      <c r="AM40" s="35"/>
      <c r="AN40" s="35"/>
      <c r="AO40" s="35"/>
      <c r="AP40" s="35"/>
      <c r="AQ40" s="35"/>
      <c r="AR40" s="35"/>
      <c r="AS40" s="45">
        <f t="shared" si="12"/>
        <v>0</v>
      </c>
      <c r="AT40" s="45"/>
      <c r="AU40" s="35">
        <v>0</v>
      </c>
      <c r="AV40" s="35"/>
      <c r="AW40" s="35">
        <v>0</v>
      </c>
      <c r="AX40" s="35"/>
      <c r="AY40" s="35">
        <f t="shared" si="16"/>
        <v>0</v>
      </c>
      <c r="AZ40" s="35"/>
      <c r="BA40" s="35" t="s">
        <v>56</v>
      </c>
      <c r="BB40" s="55"/>
      <c r="BC40" s="35" t="s">
        <v>57</v>
      </c>
      <c r="BD40" s="35"/>
      <c r="BE40" s="35"/>
      <c r="BF40" s="35"/>
      <c r="BG40" s="35"/>
      <c r="BH40" s="35"/>
      <c r="BI40" s="35"/>
      <c r="BJ40" s="35"/>
      <c r="BK40" s="35"/>
      <c r="BL40" s="35"/>
      <c r="BM40" s="35">
        <f t="shared" si="10"/>
        <v>0</v>
      </c>
      <c r="BN40" s="54" t="s">
        <v>347</v>
      </c>
    </row>
    <row r="41" spans="1:71" ht="12.75" hidden="1" customHeight="1" x14ac:dyDescent="0.2">
      <c r="A41" s="35" t="s">
        <v>58</v>
      </c>
      <c r="C41" s="35" t="s">
        <v>59</v>
      </c>
      <c r="D41" s="35"/>
      <c r="E41" s="35">
        <f t="shared" si="13"/>
        <v>0</v>
      </c>
      <c r="F41" s="35"/>
      <c r="G41" s="35"/>
      <c r="H41" s="35"/>
      <c r="I41" s="35"/>
      <c r="J41" s="35"/>
      <c r="K41" s="35">
        <f t="shared" si="14"/>
        <v>0</v>
      </c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>
        <f t="shared" si="15"/>
        <v>0</v>
      </c>
      <c r="X41" s="35"/>
      <c r="Y41" s="35" t="s">
        <v>58</v>
      </c>
      <c r="Z41" s="55"/>
      <c r="AA41" s="35" t="s">
        <v>59</v>
      </c>
      <c r="AB41" s="35"/>
      <c r="AC41" s="35"/>
      <c r="AD41" s="35"/>
      <c r="AE41" s="35"/>
      <c r="AF41" s="35"/>
      <c r="AG41" s="35"/>
      <c r="AH41" s="35"/>
      <c r="AI41" s="45">
        <f t="shared" si="9"/>
        <v>0</v>
      </c>
      <c r="AJ41" s="45"/>
      <c r="AK41" s="35"/>
      <c r="AL41" s="35"/>
      <c r="AM41" s="35"/>
      <c r="AN41" s="35"/>
      <c r="AO41" s="35"/>
      <c r="AP41" s="35"/>
      <c r="AQ41" s="35"/>
      <c r="AR41" s="35"/>
      <c r="AS41" s="45">
        <f t="shared" si="12"/>
        <v>0</v>
      </c>
      <c r="AT41" s="45"/>
      <c r="AU41" s="35">
        <v>0</v>
      </c>
      <c r="AV41" s="35"/>
      <c r="AW41" s="35">
        <v>0</v>
      </c>
      <c r="AX41" s="35"/>
      <c r="AY41" s="35">
        <f t="shared" si="16"/>
        <v>0</v>
      </c>
      <c r="AZ41" s="35"/>
      <c r="BA41" s="35" t="s">
        <v>58</v>
      </c>
      <c r="BB41" s="55"/>
      <c r="BC41" s="35" t="s">
        <v>59</v>
      </c>
      <c r="BD41" s="35"/>
      <c r="BE41" s="35"/>
      <c r="BF41" s="35"/>
      <c r="BG41" s="35"/>
      <c r="BH41" s="35"/>
      <c r="BI41" s="35"/>
      <c r="BJ41" s="35"/>
      <c r="BK41" s="35"/>
      <c r="BL41" s="35"/>
      <c r="BM41" s="35">
        <f t="shared" si="10"/>
        <v>0</v>
      </c>
      <c r="BN41" s="54" t="s">
        <v>347</v>
      </c>
    </row>
    <row r="42" spans="1:71" ht="12.75" hidden="1" customHeight="1" x14ac:dyDescent="0.2">
      <c r="A42" s="44" t="s">
        <v>476</v>
      </c>
      <c r="C42" s="35" t="s">
        <v>15</v>
      </c>
      <c r="D42" s="35"/>
      <c r="E42" s="35">
        <f t="shared" si="13"/>
        <v>0</v>
      </c>
      <c r="F42" s="35"/>
      <c r="G42" s="35"/>
      <c r="H42" s="35"/>
      <c r="I42" s="35"/>
      <c r="J42" s="35"/>
      <c r="K42" s="35">
        <f t="shared" si="14"/>
        <v>0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f t="shared" si="15"/>
        <v>0</v>
      </c>
      <c r="X42" s="35"/>
      <c r="Y42" s="44" t="s">
        <v>62</v>
      </c>
      <c r="Z42" s="55"/>
      <c r="AA42" s="35" t="s">
        <v>15</v>
      </c>
      <c r="AB42" s="35"/>
      <c r="AC42" s="35"/>
      <c r="AD42" s="35"/>
      <c r="AE42" s="35"/>
      <c r="AF42" s="35"/>
      <c r="AG42" s="35"/>
      <c r="AH42" s="35"/>
      <c r="AI42" s="45">
        <f t="shared" si="9"/>
        <v>0</v>
      </c>
      <c r="AJ42" s="45"/>
      <c r="AK42" s="35"/>
      <c r="AL42" s="35"/>
      <c r="AM42" s="35"/>
      <c r="AN42" s="35"/>
      <c r="AO42" s="35"/>
      <c r="AP42" s="35"/>
      <c r="AQ42" s="35"/>
      <c r="AR42" s="35"/>
      <c r="AS42" s="45">
        <f t="shared" si="12"/>
        <v>0</v>
      </c>
      <c r="AT42" s="45"/>
      <c r="AU42" s="35">
        <v>0</v>
      </c>
      <c r="AV42" s="35"/>
      <c r="AW42" s="35">
        <v>0</v>
      </c>
      <c r="AX42" s="35"/>
      <c r="AY42" s="35">
        <f t="shared" si="16"/>
        <v>0</v>
      </c>
      <c r="AZ42" s="35"/>
      <c r="BA42" s="44" t="s">
        <v>62</v>
      </c>
      <c r="BB42" s="55"/>
      <c r="BC42" s="35" t="s">
        <v>15</v>
      </c>
      <c r="BD42" s="35"/>
      <c r="BE42" s="35"/>
      <c r="BF42" s="35"/>
      <c r="BG42" s="35"/>
      <c r="BH42" s="35"/>
      <c r="BI42" s="35"/>
      <c r="BJ42" s="35"/>
      <c r="BK42" s="35"/>
      <c r="BL42" s="35"/>
      <c r="BM42" s="35">
        <f t="shared" si="10"/>
        <v>0</v>
      </c>
      <c r="BN42" s="54" t="s">
        <v>347</v>
      </c>
    </row>
    <row r="43" spans="1:71" ht="12.75" hidden="1" customHeight="1" x14ac:dyDescent="0.2">
      <c r="A43" s="44" t="s">
        <v>504</v>
      </c>
      <c r="B43" s="47"/>
      <c r="C43" s="44" t="s">
        <v>43</v>
      </c>
      <c r="D43" s="35"/>
      <c r="E43" s="35">
        <f t="shared" ref="E43:E46" si="17">I43-G43</f>
        <v>0</v>
      </c>
      <c r="F43" s="35"/>
      <c r="G43" s="35"/>
      <c r="H43" s="35"/>
      <c r="I43" s="35"/>
      <c r="J43" s="35"/>
      <c r="K43" s="35">
        <f t="shared" ref="K43:K46" si="18">O43-M43</f>
        <v>0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>
        <f t="shared" ref="W43:W46" si="19">SUM(Q43:U43)</f>
        <v>0</v>
      </c>
      <c r="X43" s="35"/>
      <c r="Y43" s="44" t="s">
        <v>504</v>
      </c>
      <c r="AA43" s="44" t="s">
        <v>43</v>
      </c>
      <c r="AB43" s="35"/>
      <c r="AC43" s="35"/>
      <c r="AD43" s="35"/>
      <c r="AE43" s="35"/>
      <c r="AF43" s="35"/>
      <c r="AG43" s="35"/>
      <c r="AH43" s="35"/>
      <c r="AI43" s="45">
        <f t="shared" si="9"/>
        <v>0</v>
      </c>
      <c r="AJ43" s="45"/>
      <c r="AK43" s="35"/>
      <c r="AL43" s="35"/>
      <c r="AM43" s="35"/>
      <c r="AN43" s="35"/>
      <c r="AO43" s="35"/>
      <c r="AP43" s="35"/>
      <c r="AQ43" s="35"/>
      <c r="AR43" s="35"/>
      <c r="AS43" s="45">
        <f t="shared" ref="AS43:AS46" si="20">+AI43+AK43+AM43-AO43+AQ43</f>
        <v>0</v>
      </c>
      <c r="AT43" s="45"/>
      <c r="AU43" s="35">
        <v>0</v>
      </c>
      <c r="AV43" s="35"/>
      <c r="AW43" s="35">
        <v>0</v>
      </c>
      <c r="AX43" s="35"/>
      <c r="AY43" s="35">
        <f t="shared" ref="AY43:AY46" si="21">+E43-K43</f>
        <v>0</v>
      </c>
      <c r="AZ43" s="35"/>
      <c r="BA43" s="44" t="s">
        <v>504</v>
      </c>
      <c r="BC43" s="44" t="s">
        <v>43</v>
      </c>
      <c r="BD43" s="35"/>
      <c r="BE43" s="35"/>
      <c r="BF43" s="35"/>
      <c r="BG43" s="35"/>
      <c r="BH43" s="35"/>
      <c r="BI43" s="35"/>
      <c r="BJ43" s="35"/>
      <c r="BK43" s="35"/>
      <c r="BL43" s="35"/>
      <c r="BM43" s="35">
        <f t="shared" si="10"/>
        <v>0</v>
      </c>
      <c r="BN43" s="54"/>
    </row>
    <row r="44" spans="1:71" ht="12.75" hidden="1" customHeight="1" x14ac:dyDescent="0.2">
      <c r="A44" s="35" t="s">
        <v>60</v>
      </c>
      <c r="C44" s="35" t="s">
        <v>61</v>
      </c>
      <c r="D44" s="35"/>
      <c r="E44" s="35">
        <f t="shared" si="17"/>
        <v>0</v>
      </c>
      <c r="F44" s="35"/>
      <c r="G44" s="35"/>
      <c r="H44" s="35"/>
      <c r="I44" s="35"/>
      <c r="J44" s="35"/>
      <c r="K44" s="35">
        <f t="shared" si="18"/>
        <v>0</v>
      </c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>
        <f t="shared" si="19"/>
        <v>0</v>
      </c>
      <c r="X44" s="35"/>
      <c r="Y44" s="35" t="s">
        <v>60</v>
      </c>
      <c r="Z44" s="55"/>
      <c r="AA44" s="35" t="s">
        <v>61</v>
      </c>
      <c r="AB44" s="35"/>
      <c r="AC44" s="35"/>
      <c r="AD44" s="35"/>
      <c r="AE44" s="35"/>
      <c r="AF44" s="35"/>
      <c r="AG44" s="35"/>
      <c r="AH44" s="35"/>
      <c r="AI44" s="45">
        <f t="shared" si="9"/>
        <v>0</v>
      </c>
      <c r="AJ44" s="45"/>
      <c r="AK44" s="35"/>
      <c r="AL44" s="35"/>
      <c r="AM44" s="35"/>
      <c r="AN44" s="35"/>
      <c r="AO44" s="35"/>
      <c r="AP44" s="35"/>
      <c r="AQ44" s="35"/>
      <c r="AR44" s="35"/>
      <c r="AS44" s="45">
        <f t="shared" si="20"/>
        <v>0</v>
      </c>
      <c r="AT44" s="45"/>
      <c r="AU44" s="35">
        <v>0</v>
      </c>
      <c r="AV44" s="35"/>
      <c r="AW44" s="35">
        <v>0</v>
      </c>
      <c r="AX44" s="35"/>
      <c r="AY44" s="35">
        <f t="shared" si="21"/>
        <v>0</v>
      </c>
      <c r="AZ44" s="35"/>
      <c r="BA44" s="35" t="s">
        <v>60</v>
      </c>
      <c r="BB44" s="55"/>
      <c r="BC44" s="35" t="s">
        <v>61</v>
      </c>
      <c r="BD44" s="35"/>
      <c r="BE44" s="35"/>
      <c r="BF44" s="35"/>
      <c r="BG44" s="35"/>
      <c r="BH44" s="35"/>
      <c r="BI44" s="35"/>
      <c r="BJ44" s="35"/>
      <c r="BK44" s="35"/>
      <c r="BL44" s="35"/>
      <c r="BM44" s="35">
        <f t="shared" si="10"/>
        <v>0</v>
      </c>
      <c r="BN44" s="54" t="s">
        <v>347</v>
      </c>
    </row>
    <row r="45" spans="1:71" ht="12.75" hidden="1" customHeight="1" x14ac:dyDescent="0.2">
      <c r="A45" s="44" t="s">
        <v>62</v>
      </c>
      <c r="C45" s="35" t="s">
        <v>15</v>
      </c>
      <c r="D45" s="35"/>
      <c r="E45" s="35">
        <f t="shared" si="17"/>
        <v>0</v>
      </c>
      <c r="F45" s="35"/>
      <c r="G45" s="35"/>
      <c r="H45" s="35"/>
      <c r="I45" s="35"/>
      <c r="J45" s="35"/>
      <c r="K45" s="35">
        <f t="shared" si="18"/>
        <v>0</v>
      </c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>
        <f t="shared" si="19"/>
        <v>0</v>
      </c>
      <c r="X45" s="35"/>
      <c r="Y45" s="44" t="s">
        <v>62</v>
      </c>
      <c r="Z45" s="55"/>
      <c r="AA45" s="35" t="s">
        <v>15</v>
      </c>
      <c r="AB45" s="35"/>
      <c r="AC45" s="35"/>
      <c r="AD45" s="35"/>
      <c r="AE45" s="35"/>
      <c r="AF45" s="35"/>
      <c r="AG45" s="35"/>
      <c r="AH45" s="35"/>
      <c r="AI45" s="45">
        <f t="shared" si="9"/>
        <v>0</v>
      </c>
      <c r="AJ45" s="45"/>
      <c r="AK45" s="35"/>
      <c r="AL45" s="35"/>
      <c r="AM45" s="35"/>
      <c r="AN45" s="35"/>
      <c r="AO45" s="35"/>
      <c r="AP45" s="35"/>
      <c r="AQ45" s="35"/>
      <c r="AR45" s="35"/>
      <c r="AS45" s="45">
        <f t="shared" si="20"/>
        <v>0</v>
      </c>
      <c r="AT45" s="45"/>
      <c r="AU45" s="35">
        <v>0</v>
      </c>
      <c r="AV45" s="35"/>
      <c r="AW45" s="35">
        <v>0</v>
      </c>
      <c r="AX45" s="35"/>
      <c r="AY45" s="35">
        <f t="shared" si="21"/>
        <v>0</v>
      </c>
      <c r="AZ45" s="35"/>
      <c r="BA45" s="44" t="s">
        <v>62</v>
      </c>
      <c r="BB45" s="55"/>
      <c r="BC45" s="35" t="s">
        <v>15</v>
      </c>
      <c r="BD45" s="35"/>
      <c r="BE45" s="35"/>
      <c r="BF45" s="35"/>
      <c r="BG45" s="35"/>
      <c r="BH45" s="35"/>
      <c r="BI45" s="35"/>
      <c r="BJ45" s="35"/>
      <c r="BK45" s="35"/>
      <c r="BL45" s="35"/>
      <c r="BM45" s="35">
        <f t="shared" si="10"/>
        <v>0</v>
      </c>
      <c r="BN45" s="54" t="s">
        <v>347</v>
      </c>
    </row>
    <row r="46" spans="1:71" ht="12.75" hidden="1" customHeight="1" x14ac:dyDescent="0.2">
      <c r="A46" s="35" t="s">
        <v>485</v>
      </c>
      <c r="C46" s="35" t="s">
        <v>111</v>
      </c>
      <c r="D46" s="35"/>
      <c r="E46" s="35">
        <f t="shared" si="17"/>
        <v>0</v>
      </c>
      <c r="F46" s="35"/>
      <c r="G46" s="35"/>
      <c r="H46" s="35"/>
      <c r="I46" s="35"/>
      <c r="J46" s="35"/>
      <c r="K46" s="35">
        <f t="shared" si="18"/>
        <v>0</v>
      </c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>
        <f t="shared" si="19"/>
        <v>0</v>
      </c>
      <c r="X46" s="35"/>
      <c r="Y46" s="35" t="s">
        <v>485</v>
      </c>
      <c r="Z46" s="55"/>
      <c r="AA46" s="35" t="s">
        <v>111</v>
      </c>
      <c r="AB46" s="35"/>
      <c r="AC46" s="35"/>
      <c r="AD46" s="35"/>
      <c r="AE46" s="35"/>
      <c r="AF46" s="35"/>
      <c r="AG46" s="35"/>
      <c r="AH46" s="35"/>
      <c r="AI46" s="45">
        <f t="shared" si="9"/>
        <v>0</v>
      </c>
      <c r="AJ46" s="45"/>
      <c r="AK46" s="35"/>
      <c r="AL46" s="35"/>
      <c r="AM46" s="35"/>
      <c r="AN46" s="35"/>
      <c r="AO46" s="35"/>
      <c r="AP46" s="35"/>
      <c r="AQ46" s="35"/>
      <c r="AR46" s="35"/>
      <c r="AS46" s="45">
        <f t="shared" si="20"/>
        <v>0</v>
      </c>
      <c r="AT46" s="45"/>
      <c r="AU46" s="35">
        <v>0</v>
      </c>
      <c r="AV46" s="35"/>
      <c r="AW46" s="35">
        <v>0</v>
      </c>
      <c r="AX46" s="35"/>
      <c r="AY46" s="35">
        <f t="shared" si="21"/>
        <v>0</v>
      </c>
      <c r="AZ46" s="35"/>
      <c r="BA46" s="35" t="s">
        <v>485</v>
      </c>
      <c r="BB46" s="55"/>
      <c r="BC46" s="35" t="s">
        <v>111</v>
      </c>
      <c r="BD46" s="35"/>
      <c r="BE46" s="35"/>
      <c r="BF46" s="35"/>
      <c r="BG46" s="35"/>
      <c r="BH46" s="35"/>
      <c r="BI46" s="35"/>
      <c r="BJ46" s="35"/>
      <c r="BK46" s="35"/>
      <c r="BL46" s="35"/>
      <c r="BM46" s="35">
        <f t="shared" si="10"/>
        <v>0</v>
      </c>
      <c r="BN46" s="54" t="s">
        <v>347</v>
      </c>
      <c r="BS46" s="44" t="s">
        <v>505</v>
      </c>
    </row>
    <row r="47" spans="1:71" ht="12.75" customHeight="1" x14ac:dyDescent="0.2">
      <c r="A47" s="35" t="s">
        <v>63</v>
      </c>
      <c r="C47" s="35" t="s">
        <v>64</v>
      </c>
      <c r="D47" s="35"/>
      <c r="E47" s="35">
        <f t="shared" si="13"/>
        <v>9384360</v>
      </c>
      <c r="F47" s="35"/>
      <c r="G47" s="35">
        <v>14812142</v>
      </c>
      <c r="H47" s="35"/>
      <c r="I47" s="35">
        <v>24196502</v>
      </c>
      <c r="J47" s="35"/>
      <c r="K47" s="35">
        <f t="shared" si="14"/>
        <v>1794774</v>
      </c>
      <c r="L47" s="35"/>
      <c r="M47" s="35">
        <v>2667249</v>
      </c>
      <c r="N47" s="35"/>
      <c r="O47" s="35">
        <v>4462023</v>
      </c>
      <c r="P47" s="35"/>
      <c r="Q47" s="35">
        <v>14345984</v>
      </c>
      <c r="R47" s="35"/>
      <c r="S47" s="35">
        <v>0</v>
      </c>
      <c r="T47" s="35"/>
      <c r="U47" s="35">
        <v>5388495</v>
      </c>
      <c r="V47" s="35"/>
      <c r="W47" s="35">
        <f t="shared" si="15"/>
        <v>19734479</v>
      </c>
      <c r="X47" s="35"/>
      <c r="Y47" s="35" t="s">
        <v>63</v>
      </c>
      <c r="Z47" s="55"/>
      <c r="AA47" s="35" t="s">
        <v>64</v>
      </c>
      <c r="AB47" s="35"/>
      <c r="AC47" s="35">
        <v>17035382</v>
      </c>
      <c r="AD47" s="35"/>
      <c r="AE47" s="35">
        <f>17319975-861100</f>
        <v>16458875</v>
      </c>
      <c r="AF47" s="35"/>
      <c r="AG47" s="35">
        <v>861100</v>
      </c>
      <c r="AH47" s="35"/>
      <c r="AI47" s="45">
        <f t="shared" si="9"/>
        <v>-284593</v>
      </c>
      <c r="AJ47" s="45"/>
      <c r="AK47" s="35">
        <v>268288</v>
      </c>
      <c r="AL47" s="35"/>
      <c r="AM47" s="35">
        <v>48000</v>
      </c>
      <c r="AN47" s="35"/>
      <c r="AO47" s="35">
        <v>35601</v>
      </c>
      <c r="AP47" s="35"/>
      <c r="AQ47" s="35">
        <v>0</v>
      </c>
      <c r="AR47" s="35"/>
      <c r="AS47" s="45">
        <f t="shared" si="12"/>
        <v>-3906</v>
      </c>
      <c r="AT47" s="45"/>
      <c r="AU47" s="35">
        <v>0</v>
      </c>
      <c r="AV47" s="35"/>
      <c r="AW47" s="35">
        <v>0</v>
      </c>
      <c r="AX47" s="35"/>
      <c r="AY47" s="35">
        <f t="shared" si="16"/>
        <v>7589586</v>
      </c>
      <c r="AZ47" s="35"/>
      <c r="BA47" s="35" t="s">
        <v>63</v>
      </c>
      <c r="BB47" s="55"/>
      <c r="BC47" s="35" t="s">
        <v>64</v>
      </c>
      <c r="BD47" s="35"/>
      <c r="BE47" s="35">
        <f>450000+6193</f>
        <v>456193</v>
      </c>
      <c r="BF47" s="35"/>
      <c r="BG47" s="35">
        <v>0</v>
      </c>
      <c r="BH47" s="35"/>
      <c r="BI47" s="35">
        <f>2232792+183239</f>
        <v>2416031</v>
      </c>
      <c r="BJ47" s="35"/>
      <c r="BK47" s="35">
        <f>30764+55881+372383</f>
        <v>459028</v>
      </c>
      <c r="BL47" s="35"/>
      <c r="BM47" s="35">
        <f t="shared" si="10"/>
        <v>3331252</v>
      </c>
      <c r="BN47" s="54" t="s">
        <v>347</v>
      </c>
      <c r="BO47" s="55" t="s">
        <v>315</v>
      </c>
    </row>
    <row r="48" spans="1:71" ht="12.75" hidden="1" customHeight="1" x14ac:dyDescent="0.2">
      <c r="A48" s="35" t="s">
        <v>65</v>
      </c>
      <c r="C48" s="35" t="s">
        <v>66</v>
      </c>
      <c r="D48" s="35"/>
      <c r="E48" s="35">
        <f t="shared" si="13"/>
        <v>0</v>
      </c>
      <c r="F48" s="35"/>
      <c r="G48" s="35"/>
      <c r="H48" s="35"/>
      <c r="I48" s="35"/>
      <c r="J48" s="35"/>
      <c r="K48" s="35">
        <f t="shared" si="14"/>
        <v>0</v>
      </c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>
        <f t="shared" si="15"/>
        <v>0</v>
      </c>
      <c r="X48" s="35"/>
      <c r="Y48" s="35" t="s">
        <v>65</v>
      </c>
      <c r="Z48" s="55"/>
      <c r="AA48" s="35" t="s">
        <v>66</v>
      </c>
      <c r="AB48" s="35"/>
      <c r="AC48" s="35"/>
      <c r="AD48" s="35"/>
      <c r="AE48" s="35"/>
      <c r="AF48" s="35"/>
      <c r="AG48" s="35"/>
      <c r="AH48" s="35"/>
      <c r="AI48" s="45">
        <f t="shared" si="9"/>
        <v>0</v>
      </c>
      <c r="AJ48" s="45"/>
      <c r="AK48" s="35"/>
      <c r="AL48" s="35"/>
      <c r="AM48" s="35"/>
      <c r="AN48" s="35"/>
      <c r="AO48" s="35"/>
      <c r="AP48" s="35"/>
      <c r="AQ48" s="35"/>
      <c r="AR48" s="35"/>
      <c r="AS48" s="45">
        <f t="shared" si="12"/>
        <v>0</v>
      </c>
      <c r="AT48" s="45"/>
      <c r="AU48" s="35">
        <v>0</v>
      </c>
      <c r="AV48" s="35"/>
      <c r="AW48" s="35">
        <v>0</v>
      </c>
      <c r="AX48" s="35"/>
      <c r="AY48" s="35">
        <f t="shared" si="16"/>
        <v>0</v>
      </c>
      <c r="AZ48" s="35"/>
      <c r="BA48" s="35" t="s">
        <v>65</v>
      </c>
      <c r="BB48" s="55"/>
      <c r="BC48" s="35" t="s">
        <v>66</v>
      </c>
      <c r="BD48" s="35"/>
      <c r="BE48" s="35"/>
      <c r="BF48" s="35"/>
      <c r="BG48" s="35"/>
      <c r="BH48" s="35"/>
      <c r="BI48" s="35"/>
      <c r="BJ48" s="35"/>
      <c r="BK48" s="35"/>
      <c r="BL48" s="35"/>
      <c r="BM48" s="35">
        <f t="shared" si="10"/>
        <v>0</v>
      </c>
      <c r="BN48" s="54" t="s">
        <v>347</v>
      </c>
    </row>
    <row r="49" spans="1:67" ht="12.75" hidden="1" customHeight="1" x14ac:dyDescent="0.2">
      <c r="A49" s="35" t="s">
        <v>67</v>
      </c>
      <c r="C49" s="35" t="s">
        <v>375</v>
      </c>
      <c r="D49" s="35"/>
      <c r="E49" s="35">
        <f t="shared" si="13"/>
        <v>0</v>
      </c>
      <c r="F49" s="35"/>
      <c r="G49" s="35"/>
      <c r="H49" s="35"/>
      <c r="I49" s="35"/>
      <c r="J49" s="35"/>
      <c r="K49" s="35">
        <f t="shared" si="14"/>
        <v>0</v>
      </c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>
        <f t="shared" si="15"/>
        <v>0</v>
      </c>
      <c r="X49" s="35"/>
      <c r="Y49" s="35" t="s">
        <v>67</v>
      </c>
      <c r="Z49" s="55"/>
      <c r="AA49" s="35" t="s">
        <v>375</v>
      </c>
      <c r="AB49" s="35"/>
      <c r="AC49" s="35"/>
      <c r="AD49" s="35"/>
      <c r="AE49" s="35"/>
      <c r="AF49" s="35"/>
      <c r="AG49" s="35"/>
      <c r="AH49" s="35"/>
      <c r="AI49" s="45">
        <f t="shared" si="9"/>
        <v>0</v>
      </c>
      <c r="AJ49" s="45"/>
      <c r="AK49" s="35"/>
      <c r="AL49" s="35"/>
      <c r="AM49" s="35"/>
      <c r="AN49" s="35"/>
      <c r="AO49" s="35"/>
      <c r="AP49" s="35"/>
      <c r="AQ49" s="35"/>
      <c r="AR49" s="35"/>
      <c r="AS49" s="45">
        <f t="shared" si="12"/>
        <v>0</v>
      </c>
      <c r="AT49" s="45"/>
      <c r="AU49" s="35">
        <v>0</v>
      </c>
      <c r="AV49" s="35"/>
      <c r="AW49" s="35">
        <v>0</v>
      </c>
      <c r="AX49" s="35"/>
      <c r="AY49" s="35">
        <f t="shared" si="16"/>
        <v>0</v>
      </c>
      <c r="AZ49" s="35"/>
      <c r="BA49" s="35" t="s">
        <v>67</v>
      </c>
      <c r="BB49" s="55"/>
      <c r="BC49" s="35" t="s">
        <v>375</v>
      </c>
      <c r="BD49" s="35"/>
      <c r="BE49" s="35"/>
      <c r="BF49" s="35"/>
      <c r="BG49" s="35"/>
      <c r="BH49" s="35"/>
      <c r="BI49" s="35"/>
      <c r="BJ49" s="35"/>
      <c r="BK49" s="35"/>
      <c r="BL49" s="35"/>
      <c r="BM49" s="35">
        <f t="shared" si="10"/>
        <v>0</v>
      </c>
      <c r="BN49" s="54" t="s">
        <v>347</v>
      </c>
    </row>
    <row r="50" spans="1:67" ht="12.75" hidden="1" customHeight="1" x14ac:dyDescent="0.2">
      <c r="A50" s="35" t="s">
        <v>68</v>
      </c>
      <c r="C50" s="35" t="s">
        <v>45</v>
      </c>
      <c r="D50" s="35"/>
      <c r="E50" s="35">
        <f t="shared" si="13"/>
        <v>0</v>
      </c>
      <c r="F50" s="35"/>
      <c r="G50" s="35"/>
      <c r="H50" s="35"/>
      <c r="I50" s="35"/>
      <c r="J50" s="35"/>
      <c r="K50" s="35">
        <f t="shared" si="14"/>
        <v>0</v>
      </c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>
        <f t="shared" si="15"/>
        <v>0</v>
      </c>
      <c r="X50" s="35"/>
      <c r="Y50" s="35" t="s">
        <v>68</v>
      </c>
      <c r="Z50" s="55"/>
      <c r="AA50" s="35" t="s">
        <v>45</v>
      </c>
      <c r="AB50" s="35"/>
      <c r="AC50" s="35"/>
      <c r="AD50" s="35"/>
      <c r="AE50" s="35"/>
      <c r="AF50" s="35"/>
      <c r="AG50" s="35"/>
      <c r="AH50" s="35"/>
      <c r="AI50" s="45">
        <f t="shared" si="9"/>
        <v>0</v>
      </c>
      <c r="AJ50" s="45"/>
      <c r="AK50" s="35"/>
      <c r="AL50" s="35"/>
      <c r="AM50" s="35"/>
      <c r="AN50" s="35"/>
      <c r="AO50" s="35"/>
      <c r="AP50" s="35"/>
      <c r="AQ50" s="35"/>
      <c r="AR50" s="35"/>
      <c r="AS50" s="45">
        <f t="shared" si="12"/>
        <v>0</v>
      </c>
      <c r="AT50" s="45"/>
      <c r="AU50" s="35">
        <v>0</v>
      </c>
      <c r="AV50" s="35"/>
      <c r="AW50" s="35">
        <v>0</v>
      </c>
      <c r="AX50" s="35"/>
      <c r="AY50" s="35">
        <f t="shared" si="16"/>
        <v>0</v>
      </c>
      <c r="AZ50" s="35"/>
      <c r="BA50" s="35" t="s">
        <v>68</v>
      </c>
      <c r="BB50" s="55"/>
      <c r="BC50" s="35" t="s">
        <v>45</v>
      </c>
      <c r="BD50" s="35"/>
      <c r="BE50" s="35"/>
      <c r="BF50" s="35"/>
      <c r="BG50" s="35"/>
      <c r="BH50" s="35"/>
      <c r="BI50" s="35"/>
      <c r="BJ50" s="35"/>
      <c r="BK50" s="35"/>
      <c r="BL50" s="35"/>
      <c r="BM50" s="35">
        <f t="shared" si="10"/>
        <v>0</v>
      </c>
      <c r="BN50" s="54" t="s">
        <v>347</v>
      </c>
    </row>
    <row r="51" spans="1:67" ht="12.75" hidden="1" customHeight="1" x14ac:dyDescent="0.2">
      <c r="A51" s="35" t="s">
        <v>69</v>
      </c>
      <c r="C51" s="35" t="s">
        <v>70</v>
      </c>
      <c r="D51" s="35"/>
      <c r="E51" s="35">
        <f t="shared" si="13"/>
        <v>0</v>
      </c>
      <c r="F51" s="35"/>
      <c r="G51" s="35"/>
      <c r="H51" s="35"/>
      <c r="I51" s="35"/>
      <c r="J51" s="35"/>
      <c r="K51" s="35">
        <f t="shared" si="14"/>
        <v>0</v>
      </c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>
        <f t="shared" si="15"/>
        <v>0</v>
      </c>
      <c r="X51" s="35"/>
      <c r="Y51" s="35" t="s">
        <v>69</v>
      </c>
      <c r="Z51" s="55"/>
      <c r="AA51" s="35" t="s">
        <v>70</v>
      </c>
      <c r="AB51" s="35"/>
      <c r="AC51" s="35"/>
      <c r="AD51" s="35"/>
      <c r="AE51" s="35"/>
      <c r="AF51" s="35"/>
      <c r="AG51" s="35"/>
      <c r="AH51" s="35"/>
      <c r="AI51" s="45">
        <f t="shared" si="9"/>
        <v>0</v>
      </c>
      <c r="AJ51" s="45"/>
      <c r="AK51" s="35"/>
      <c r="AL51" s="35"/>
      <c r="AM51" s="35"/>
      <c r="AN51" s="35"/>
      <c r="AO51" s="35"/>
      <c r="AP51" s="35"/>
      <c r="AQ51" s="35"/>
      <c r="AR51" s="35"/>
      <c r="AS51" s="45">
        <f t="shared" si="12"/>
        <v>0</v>
      </c>
      <c r="AT51" s="45"/>
      <c r="AU51" s="35">
        <v>0</v>
      </c>
      <c r="AV51" s="35"/>
      <c r="AW51" s="35">
        <v>0</v>
      </c>
      <c r="AX51" s="35"/>
      <c r="AY51" s="35">
        <f t="shared" si="16"/>
        <v>0</v>
      </c>
      <c r="AZ51" s="35"/>
      <c r="BA51" s="35" t="s">
        <v>69</v>
      </c>
      <c r="BB51" s="55"/>
      <c r="BC51" s="35" t="s">
        <v>70</v>
      </c>
      <c r="BD51" s="35"/>
      <c r="BE51" s="35"/>
      <c r="BF51" s="35"/>
      <c r="BG51" s="35"/>
      <c r="BH51" s="35"/>
      <c r="BI51" s="35"/>
      <c r="BJ51" s="35"/>
      <c r="BK51" s="35"/>
      <c r="BL51" s="35"/>
      <c r="BM51" s="35">
        <f t="shared" si="10"/>
        <v>0</v>
      </c>
      <c r="BN51" s="54" t="s">
        <v>347</v>
      </c>
    </row>
    <row r="52" spans="1:67" ht="12.75" hidden="1" customHeight="1" x14ac:dyDescent="0.2">
      <c r="A52" s="35" t="s">
        <v>71</v>
      </c>
      <c r="C52" s="35" t="s">
        <v>45</v>
      </c>
      <c r="D52" s="35"/>
      <c r="E52" s="35">
        <f t="shared" si="13"/>
        <v>0</v>
      </c>
      <c r="F52" s="35"/>
      <c r="G52" s="35"/>
      <c r="H52" s="35"/>
      <c r="I52" s="35"/>
      <c r="J52" s="35"/>
      <c r="K52" s="35">
        <f t="shared" si="14"/>
        <v>0</v>
      </c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>
        <f t="shared" si="15"/>
        <v>0</v>
      </c>
      <c r="X52" s="35"/>
      <c r="Y52" s="35" t="s">
        <v>71</v>
      </c>
      <c r="Z52" s="55"/>
      <c r="AA52" s="35" t="s">
        <v>45</v>
      </c>
      <c r="AB52" s="35"/>
      <c r="AC52" s="35"/>
      <c r="AD52" s="35"/>
      <c r="AE52" s="35"/>
      <c r="AF52" s="35"/>
      <c r="AG52" s="35"/>
      <c r="AH52" s="35"/>
      <c r="AI52" s="45">
        <f t="shared" si="9"/>
        <v>0</v>
      </c>
      <c r="AJ52" s="45"/>
      <c r="AK52" s="35"/>
      <c r="AL52" s="35"/>
      <c r="AM52" s="35"/>
      <c r="AN52" s="35"/>
      <c r="AO52" s="35"/>
      <c r="AP52" s="35"/>
      <c r="AQ52" s="35"/>
      <c r="AR52" s="35"/>
      <c r="AS52" s="45">
        <f t="shared" si="12"/>
        <v>0</v>
      </c>
      <c r="AT52" s="45"/>
      <c r="AU52" s="35">
        <v>0</v>
      </c>
      <c r="AV52" s="35"/>
      <c r="AW52" s="35">
        <v>0</v>
      </c>
      <c r="AX52" s="35"/>
      <c r="AY52" s="35">
        <f t="shared" si="16"/>
        <v>0</v>
      </c>
      <c r="AZ52" s="35"/>
      <c r="BA52" s="35" t="s">
        <v>71</v>
      </c>
      <c r="BB52" s="55"/>
      <c r="BC52" s="35" t="s">
        <v>45</v>
      </c>
      <c r="BD52" s="35"/>
      <c r="BE52" s="35"/>
      <c r="BF52" s="35"/>
      <c r="BG52" s="35"/>
      <c r="BH52" s="35"/>
      <c r="BI52" s="35"/>
      <c r="BJ52" s="35"/>
      <c r="BK52" s="35"/>
      <c r="BL52" s="35"/>
      <c r="BM52" s="35">
        <f t="shared" si="10"/>
        <v>0</v>
      </c>
      <c r="BN52" s="54" t="s">
        <v>347</v>
      </c>
    </row>
    <row r="53" spans="1:67" ht="12.75" hidden="1" customHeight="1" x14ac:dyDescent="0.2">
      <c r="A53" s="35" t="s">
        <v>72</v>
      </c>
      <c r="C53" s="35" t="s">
        <v>66</v>
      </c>
      <c r="D53" s="35"/>
      <c r="E53" s="35">
        <f t="shared" si="13"/>
        <v>0</v>
      </c>
      <c r="F53" s="35"/>
      <c r="G53" s="35"/>
      <c r="H53" s="35"/>
      <c r="I53" s="35"/>
      <c r="J53" s="35"/>
      <c r="K53" s="35">
        <f t="shared" si="14"/>
        <v>0</v>
      </c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>
        <f t="shared" si="15"/>
        <v>0</v>
      </c>
      <c r="X53" s="35"/>
      <c r="Y53" s="35" t="s">
        <v>72</v>
      </c>
      <c r="Z53" s="55"/>
      <c r="AA53" s="35" t="s">
        <v>66</v>
      </c>
      <c r="AB53" s="35"/>
      <c r="AC53" s="35"/>
      <c r="AD53" s="35"/>
      <c r="AE53" s="35"/>
      <c r="AF53" s="35"/>
      <c r="AG53" s="35"/>
      <c r="AH53" s="35"/>
      <c r="AI53" s="45">
        <f t="shared" si="9"/>
        <v>0</v>
      </c>
      <c r="AJ53" s="45"/>
      <c r="AK53" s="35"/>
      <c r="AL53" s="35"/>
      <c r="AM53" s="35"/>
      <c r="AN53" s="35"/>
      <c r="AO53" s="35"/>
      <c r="AP53" s="35"/>
      <c r="AQ53" s="35"/>
      <c r="AR53" s="35"/>
      <c r="AS53" s="45">
        <f t="shared" si="12"/>
        <v>0</v>
      </c>
      <c r="AT53" s="45"/>
      <c r="AU53" s="35">
        <v>0</v>
      </c>
      <c r="AV53" s="35"/>
      <c r="AW53" s="35">
        <v>0</v>
      </c>
      <c r="AX53" s="35"/>
      <c r="AY53" s="35">
        <f t="shared" si="16"/>
        <v>0</v>
      </c>
      <c r="AZ53" s="35"/>
      <c r="BA53" s="35" t="s">
        <v>72</v>
      </c>
      <c r="BB53" s="55"/>
      <c r="BC53" s="35" t="s">
        <v>66</v>
      </c>
      <c r="BD53" s="35"/>
      <c r="BE53" s="35"/>
      <c r="BF53" s="35"/>
      <c r="BG53" s="35"/>
      <c r="BH53" s="35"/>
      <c r="BI53" s="35"/>
      <c r="BJ53" s="35"/>
      <c r="BK53" s="35"/>
      <c r="BL53" s="35"/>
      <c r="BM53" s="35">
        <f t="shared" si="10"/>
        <v>0</v>
      </c>
      <c r="BN53" s="54" t="s">
        <v>347</v>
      </c>
    </row>
    <row r="54" spans="1:67" ht="12.75" customHeight="1" x14ac:dyDescent="0.2">
      <c r="A54" s="35" t="s">
        <v>73</v>
      </c>
      <c r="B54" s="55"/>
      <c r="C54" s="35" t="s">
        <v>27</v>
      </c>
      <c r="D54" s="35"/>
      <c r="E54" s="35">
        <f t="shared" si="13"/>
        <v>85253000</v>
      </c>
      <c r="F54" s="35"/>
      <c r="G54" s="35">
        <v>394030000</v>
      </c>
      <c r="H54" s="35"/>
      <c r="I54" s="35">
        <v>479283000</v>
      </c>
      <c r="J54" s="35"/>
      <c r="K54" s="35">
        <f t="shared" si="14"/>
        <v>39483000</v>
      </c>
      <c r="L54" s="35"/>
      <c r="M54" s="35">
        <v>231203000</v>
      </c>
      <c r="N54" s="35"/>
      <c r="O54" s="35">
        <v>270686000</v>
      </c>
      <c r="P54" s="35"/>
      <c r="Q54" s="35">
        <v>145158000</v>
      </c>
      <c r="R54" s="35"/>
      <c r="S54" s="35">
        <f>1309000+3894000</f>
        <v>5203000</v>
      </c>
      <c r="T54" s="35"/>
      <c r="U54" s="35">
        <v>58236000</v>
      </c>
      <c r="V54" s="35"/>
      <c r="W54" s="35">
        <f t="shared" si="15"/>
        <v>208597000</v>
      </c>
      <c r="X54" s="35"/>
      <c r="Y54" s="35" t="s">
        <v>73</v>
      </c>
      <c r="Z54" s="55"/>
      <c r="AA54" s="35" t="s">
        <v>27</v>
      </c>
      <c r="AB54" s="35"/>
      <c r="AC54" s="35">
        <v>168448000</v>
      </c>
      <c r="AD54" s="35"/>
      <c r="AE54" s="35">
        <f>156528000-16576000</f>
        <v>139952000</v>
      </c>
      <c r="AF54" s="35"/>
      <c r="AG54" s="35">
        <v>16576000</v>
      </c>
      <c r="AH54" s="35"/>
      <c r="AI54" s="45">
        <f t="shared" si="9"/>
        <v>11920000</v>
      </c>
      <c r="AJ54" s="45"/>
      <c r="AK54" s="35">
        <v>-10239000</v>
      </c>
      <c r="AL54" s="35"/>
      <c r="AM54" s="35">
        <v>0</v>
      </c>
      <c r="AN54" s="35"/>
      <c r="AO54" s="35">
        <v>0</v>
      </c>
      <c r="AP54" s="35"/>
      <c r="AQ54" s="35">
        <v>158000</v>
      </c>
      <c r="AR54" s="35"/>
      <c r="AS54" s="45">
        <f t="shared" si="12"/>
        <v>1839000</v>
      </c>
      <c r="AT54" s="45"/>
      <c r="AU54" s="35">
        <v>0</v>
      </c>
      <c r="AV54" s="35"/>
      <c r="AW54" s="35">
        <v>0</v>
      </c>
      <c r="AX54" s="35"/>
      <c r="AY54" s="35">
        <f t="shared" si="16"/>
        <v>45770000</v>
      </c>
      <c r="AZ54" s="35"/>
      <c r="BA54" s="35" t="s">
        <v>73</v>
      </c>
      <c r="BB54" s="55"/>
      <c r="BC54" s="35" t="s">
        <v>27</v>
      </c>
      <c r="BD54" s="35"/>
      <c r="BE54" s="35">
        <v>0</v>
      </c>
      <c r="BF54" s="35"/>
      <c r="BG54" s="35">
        <v>230690000</v>
      </c>
      <c r="BH54" s="35"/>
      <c r="BI54" s="35">
        <v>0</v>
      </c>
      <c r="BJ54" s="35"/>
      <c r="BK54" s="35">
        <f>513000+11640000</f>
        <v>12153000</v>
      </c>
      <c r="BL54" s="35"/>
      <c r="BM54" s="35">
        <f t="shared" si="10"/>
        <v>242843000</v>
      </c>
      <c r="BN54" s="54" t="s">
        <v>347</v>
      </c>
    </row>
    <row r="55" spans="1:67" s="140" customFormat="1" ht="12.75" hidden="1" customHeight="1" x14ac:dyDescent="0.2">
      <c r="A55" s="126" t="s">
        <v>74</v>
      </c>
      <c r="B55" s="124"/>
      <c r="C55" s="126" t="s">
        <v>27</v>
      </c>
      <c r="D55" s="126"/>
      <c r="E55" s="126">
        <f t="shared" si="13"/>
        <v>0</v>
      </c>
      <c r="F55" s="126"/>
      <c r="G55" s="126"/>
      <c r="H55" s="126"/>
      <c r="I55" s="126"/>
      <c r="J55" s="126"/>
      <c r="K55" s="126">
        <f t="shared" si="14"/>
        <v>0</v>
      </c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>
        <f t="shared" si="15"/>
        <v>0</v>
      </c>
      <c r="X55" s="126"/>
      <c r="Y55" s="126" t="s">
        <v>74</v>
      </c>
      <c r="AA55" s="126" t="s">
        <v>27</v>
      </c>
      <c r="AB55" s="126"/>
      <c r="AC55" s="126"/>
      <c r="AD55" s="126"/>
      <c r="AE55" s="126"/>
      <c r="AF55" s="126"/>
      <c r="AG55" s="126"/>
      <c r="AH55" s="126"/>
      <c r="AI55" s="127">
        <f t="shared" si="9"/>
        <v>0</v>
      </c>
      <c r="AJ55" s="127"/>
      <c r="AK55" s="126"/>
      <c r="AL55" s="126"/>
      <c r="AM55" s="126"/>
      <c r="AN55" s="126"/>
      <c r="AO55" s="126"/>
      <c r="AP55" s="126"/>
      <c r="AQ55" s="126"/>
      <c r="AR55" s="126"/>
      <c r="AS55" s="127">
        <f t="shared" si="12"/>
        <v>0</v>
      </c>
      <c r="AT55" s="127"/>
      <c r="AU55" s="126">
        <v>0</v>
      </c>
      <c r="AV55" s="126"/>
      <c r="AW55" s="126">
        <v>0</v>
      </c>
      <c r="AX55" s="126"/>
      <c r="AY55" s="126">
        <f t="shared" si="16"/>
        <v>0</v>
      </c>
      <c r="AZ55" s="126"/>
      <c r="BA55" s="126" t="s">
        <v>74</v>
      </c>
      <c r="BC55" s="126" t="s">
        <v>27</v>
      </c>
      <c r="BD55" s="126"/>
      <c r="BE55" s="126"/>
      <c r="BF55" s="126"/>
      <c r="BG55" s="126"/>
      <c r="BH55" s="126"/>
      <c r="BI55" s="126"/>
      <c r="BJ55" s="126"/>
      <c r="BK55" s="126"/>
      <c r="BL55" s="126"/>
      <c r="BM55" s="126">
        <f t="shared" si="10"/>
        <v>0</v>
      </c>
      <c r="BN55" s="139" t="s">
        <v>347</v>
      </c>
    </row>
    <row r="56" spans="1:67" ht="12.75" customHeight="1" x14ac:dyDescent="0.2">
      <c r="A56" s="35" t="s">
        <v>75</v>
      </c>
      <c r="C56" s="35" t="s">
        <v>76</v>
      </c>
      <c r="D56" s="35"/>
      <c r="E56" s="35">
        <f t="shared" si="13"/>
        <v>8163134</v>
      </c>
      <c r="F56" s="35"/>
      <c r="G56" s="35">
        <v>11985637</v>
      </c>
      <c r="H56" s="35"/>
      <c r="I56" s="35">
        <v>20148771</v>
      </c>
      <c r="J56" s="35"/>
      <c r="K56" s="35">
        <f t="shared" si="14"/>
        <v>3152360</v>
      </c>
      <c r="L56" s="35"/>
      <c r="M56" s="35">
        <v>1588878</v>
      </c>
      <c r="N56" s="35"/>
      <c r="O56" s="35">
        <v>4741238</v>
      </c>
      <c r="P56" s="35"/>
      <c r="Q56" s="35">
        <v>7932418</v>
      </c>
      <c r="R56" s="35"/>
      <c r="S56" s="35">
        <v>731312</v>
      </c>
      <c r="T56" s="35"/>
      <c r="U56" s="35">
        <v>6743803</v>
      </c>
      <c r="V56" s="35"/>
      <c r="W56" s="35">
        <f t="shared" si="15"/>
        <v>15407533</v>
      </c>
      <c r="X56" s="35"/>
      <c r="Y56" s="35" t="s">
        <v>75</v>
      </c>
      <c r="Z56" s="55"/>
      <c r="AA56" s="35" t="s">
        <v>76</v>
      </c>
      <c r="AB56" s="35"/>
      <c r="AC56" s="35">
        <v>17059869</v>
      </c>
      <c r="AD56" s="35"/>
      <c r="AE56" s="35">
        <f>16121403-503858</f>
        <v>15617545</v>
      </c>
      <c r="AF56" s="35"/>
      <c r="AG56" s="35">
        <v>503858</v>
      </c>
      <c r="AH56" s="35"/>
      <c r="AI56" s="45">
        <f t="shared" si="9"/>
        <v>938466</v>
      </c>
      <c r="AJ56" s="45"/>
      <c r="AK56" s="35">
        <v>94944</v>
      </c>
      <c r="AL56" s="35"/>
      <c r="AM56" s="35">
        <v>93044</v>
      </c>
      <c r="AN56" s="35"/>
      <c r="AO56" s="35">
        <v>0</v>
      </c>
      <c r="AP56" s="35"/>
      <c r="AQ56" s="35">
        <v>0</v>
      </c>
      <c r="AR56" s="35"/>
      <c r="AS56" s="45">
        <f t="shared" si="12"/>
        <v>1126454</v>
      </c>
      <c r="AT56" s="45"/>
      <c r="AU56" s="35">
        <v>0</v>
      </c>
      <c r="AV56" s="35"/>
      <c r="AW56" s="35">
        <v>0</v>
      </c>
      <c r="AX56" s="35"/>
      <c r="AY56" s="35">
        <f t="shared" si="16"/>
        <v>5010774</v>
      </c>
      <c r="AZ56" s="35"/>
      <c r="BA56" s="35" t="s">
        <v>75</v>
      </c>
      <c r="BB56" s="55"/>
      <c r="BC56" s="35" t="s">
        <v>76</v>
      </c>
      <c r="BD56" s="35"/>
      <c r="BE56" s="35">
        <f>769644+420000</f>
        <v>1189644</v>
      </c>
      <c r="BF56" s="35"/>
      <c r="BG56" s="35">
        <f>770000+355000</f>
        <v>1125000</v>
      </c>
      <c r="BH56" s="35"/>
      <c r="BI56" s="35">
        <v>0</v>
      </c>
      <c r="BJ56" s="35"/>
      <c r="BK56" s="35">
        <f>49234+13714</f>
        <v>62948</v>
      </c>
      <c r="BL56" s="35"/>
      <c r="BM56" s="35">
        <f t="shared" si="10"/>
        <v>2377592</v>
      </c>
      <c r="BN56" s="54" t="s">
        <v>347</v>
      </c>
    </row>
    <row r="57" spans="1:67" ht="12.75" customHeight="1" x14ac:dyDescent="0.2">
      <c r="A57" s="35" t="s">
        <v>94</v>
      </c>
      <c r="C57" s="35" t="s">
        <v>94</v>
      </c>
      <c r="D57" s="35"/>
      <c r="E57" s="35">
        <f t="shared" si="13"/>
        <v>3095197</v>
      </c>
      <c r="F57" s="35"/>
      <c r="G57" s="35">
        <v>4818935</v>
      </c>
      <c r="H57" s="35"/>
      <c r="I57" s="35">
        <v>7914132</v>
      </c>
      <c r="J57" s="35"/>
      <c r="K57" s="35">
        <f t="shared" si="14"/>
        <v>481175</v>
      </c>
      <c r="L57" s="35"/>
      <c r="M57" s="35">
        <v>22360</v>
      </c>
      <c r="N57" s="35"/>
      <c r="O57" s="35">
        <v>503535</v>
      </c>
      <c r="P57" s="35"/>
      <c r="Q57" s="35">
        <v>4328544</v>
      </c>
      <c r="R57" s="35"/>
      <c r="S57" s="35">
        <v>0</v>
      </c>
      <c r="T57" s="35"/>
      <c r="U57" s="35">
        <v>3082053</v>
      </c>
      <c r="V57" s="35"/>
      <c r="W57" s="35">
        <f t="shared" si="15"/>
        <v>7410597</v>
      </c>
      <c r="X57" s="35"/>
      <c r="Y57" s="35" t="str">
        <f>+A57</f>
        <v>Columbiana</v>
      </c>
      <c r="Z57" s="55"/>
      <c r="AA57" s="35" t="s">
        <v>94</v>
      </c>
      <c r="AB57" s="35"/>
      <c r="AC57" s="35">
        <v>7108411</v>
      </c>
      <c r="AD57" s="35"/>
      <c r="AE57" s="35">
        <f>7328176-404741</f>
        <v>6923435</v>
      </c>
      <c r="AF57" s="35"/>
      <c r="AG57" s="35">
        <v>404741</v>
      </c>
      <c r="AH57" s="35"/>
      <c r="AI57" s="45">
        <f t="shared" si="9"/>
        <v>-219765</v>
      </c>
      <c r="AJ57" s="45"/>
      <c r="AK57" s="35">
        <v>-8121</v>
      </c>
      <c r="AL57" s="35"/>
      <c r="AM57" s="35">
        <v>0</v>
      </c>
      <c r="AN57" s="35"/>
      <c r="AO57" s="35">
        <v>0</v>
      </c>
      <c r="AP57" s="35"/>
      <c r="AQ57" s="35">
        <v>0</v>
      </c>
      <c r="AR57" s="35"/>
      <c r="AS57" s="45">
        <f t="shared" si="12"/>
        <v>-227886</v>
      </c>
      <c r="AT57" s="45"/>
      <c r="AU57" s="35">
        <v>0</v>
      </c>
      <c r="AV57" s="35"/>
      <c r="AW57" s="35">
        <v>0</v>
      </c>
      <c r="AX57" s="35"/>
      <c r="AY57" s="35">
        <f t="shared" si="16"/>
        <v>2614022</v>
      </c>
      <c r="AZ57" s="35"/>
      <c r="BA57" s="35" t="str">
        <f>+Y57</f>
        <v>Columbiana</v>
      </c>
      <c r="BB57" s="55"/>
      <c r="BC57" s="35" t="s">
        <v>94</v>
      </c>
      <c r="BD57" s="35"/>
      <c r="BE57" s="35">
        <v>0</v>
      </c>
      <c r="BF57" s="35"/>
      <c r="BG57" s="35">
        <v>0</v>
      </c>
      <c r="BH57" s="35"/>
      <c r="BI57" s="35">
        <v>0</v>
      </c>
      <c r="BJ57" s="35"/>
      <c r="BK57" s="35">
        <f>32748+22360</f>
        <v>55108</v>
      </c>
      <c r="BL57" s="35"/>
      <c r="BM57" s="35">
        <f t="shared" si="10"/>
        <v>55108</v>
      </c>
      <c r="BN57" s="54" t="s">
        <v>347</v>
      </c>
    </row>
    <row r="58" spans="1:67" ht="12.75" customHeight="1" x14ac:dyDescent="0.2">
      <c r="A58" s="35" t="s">
        <v>77</v>
      </c>
      <c r="C58" s="35" t="s">
        <v>43</v>
      </c>
      <c r="D58" s="35"/>
      <c r="E58" s="35">
        <f t="shared" si="13"/>
        <v>21990000</v>
      </c>
      <c r="F58" s="35"/>
      <c r="G58" s="35">
        <v>88941000</v>
      </c>
      <c r="H58" s="35"/>
      <c r="I58" s="35">
        <v>110931000</v>
      </c>
      <c r="J58" s="35"/>
      <c r="K58" s="35">
        <f t="shared" si="14"/>
        <v>12758000</v>
      </c>
      <c r="L58" s="35"/>
      <c r="M58" s="35">
        <v>19322000</v>
      </c>
      <c r="N58" s="35"/>
      <c r="O58" s="35">
        <v>32080000</v>
      </c>
      <c r="P58" s="35"/>
      <c r="Q58" s="35">
        <v>70455000</v>
      </c>
      <c r="R58" s="35"/>
      <c r="S58" s="35">
        <v>0</v>
      </c>
      <c r="T58" s="35"/>
      <c r="U58" s="35">
        <v>8396000</v>
      </c>
      <c r="V58" s="35"/>
      <c r="W58" s="35">
        <f t="shared" si="15"/>
        <v>78851000</v>
      </c>
      <c r="X58" s="35"/>
      <c r="Y58" s="35" t="s">
        <v>77</v>
      </c>
      <c r="Z58" s="55"/>
      <c r="AA58" s="35" t="s">
        <v>43</v>
      </c>
      <c r="AB58" s="35"/>
      <c r="AC58" s="35">
        <v>90559000</v>
      </c>
      <c r="AD58" s="35"/>
      <c r="AE58" s="35">
        <f>84132000-3925000</f>
        <v>80207000</v>
      </c>
      <c r="AF58" s="35"/>
      <c r="AG58" s="35">
        <v>3925000</v>
      </c>
      <c r="AH58" s="35"/>
      <c r="AI58" s="45">
        <f t="shared" si="9"/>
        <v>6427000</v>
      </c>
      <c r="AJ58" s="45"/>
      <c r="AK58" s="35">
        <v>-1036000</v>
      </c>
      <c r="AL58" s="35"/>
      <c r="AM58" s="35">
        <v>314000</v>
      </c>
      <c r="AN58" s="35"/>
      <c r="AO58" s="35">
        <v>0</v>
      </c>
      <c r="AP58" s="35"/>
      <c r="AQ58" s="35">
        <v>0</v>
      </c>
      <c r="AR58" s="35"/>
      <c r="AS58" s="45">
        <f t="shared" si="12"/>
        <v>5705000</v>
      </c>
      <c r="AT58" s="45"/>
      <c r="AU58" s="35">
        <v>0</v>
      </c>
      <c r="AV58" s="35"/>
      <c r="AW58" s="35">
        <v>0</v>
      </c>
      <c r="AX58" s="35"/>
      <c r="AY58" s="35">
        <f t="shared" si="16"/>
        <v>9232000</v>
      </c>
      <c r="AZ58" s="35"/>
      <c r="BA58" s="35" t="s">
        <v>77</v>
      </c>
      <c r="BB58" s="55"/>
      <c r="BC58" s="35" t="s">
        <v>43</v>
      </c>
      <c r="BD58" s="35"/>
      <c r="BE58" s="35">
        <f>19322000+3993000</f>
        <v>23315000</v>
      </c>
      <c r="BF58" s="35"/>
      <c r="BG58" s="35">
        <v>0</v>
      </c>
      <c r="BH58" s="35"/>
      <c r="BI58" s="35">
        <v>0</v>
      </c>
      <c r="BJ58" s="35"/>
      <c r="BK58" s="35">
        <v>0</v>
      </c>
      <c r="BL58" s="35"/>
      <c r="BM58" s="35">
        <f t="shared" si="10"/>
        <v>23315000</v>
      </c>
      <c r="BN58" s="54" t="s">
        <v>347</v>
      </c>
    </row>
    <row r="59" spans="1:67" ht="12.75" hidden="1" customHeight="1" x14ac:dyDescent="0.2">
      <c r="A59" s="35" t="s">
        <v>78</v>
      </c>
      <c r="C59" s="35" t="s">
        <v>19</v>
      </c>
      <c r="D59" s="35"/>
      <c r="E59" s="35">
        <f t="shared" si="13"/>
        <v>0</v>
      </c>
      <c r="F59" s="35"/>
      <c r="G59" s="35"/>
      <c r="H59" s="35"/>
      <c r="I59" s="35"/>
      <c r="J59" s="35"/>
      <c r="K59" s="35">
        <f t="shared" si="14"/>
        <v>0</v>
      </c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>
        <f t="shared" si="15"/>
        <v>0</v>
      </c>
      <c r="X59" s="35"/>
      <c r="Y59" s="35" t="s">
        <v>78</v>
      </c>
      <c r="Z59" s="55"/>
      <c r="AA59" s="35" t="s">
        <v>19</v>
      </c>
      <c r="AB59" s="35"/>
      <c r="AC59" s="35"/>
      <c r="AD59" s="35"/>
      <c r="AE59" s="35"/>
      <c r="AF59" s="35"/>
      <c r="AG59" s="35"/>
      <c r="AH59" s="35"/>
      <c r="AI59" s="45">
        <f t="shared" si="9"/>
        <v>0</v>
      </c>
      <c r="AJ59" s="45"/>
      <c r="AK59" s="35"/>
      <c r="AL59" s="35"/>
      <c r="AM59" s="35"/>
      <c r="AN59" s="35"/>
      <c r="AO59" s="35"/>
      <c r="AP59" s="35"/>
      <c r="AQ59" s="35"/>
      <c r="AR59" s="35"/>
      <c r="AS59" s="45">
        <f t="shared" si="12"/>
        <v>0</v>
      </c>
      <c r="AT59" s="45"/>
      <c r="AU59" s="35">
        <v>0</v>
      </c>
      <c r="AV59" s="35"/>
      <c r="AW59" s="35">
        <v>0</v>
      </c>
      <c r="AX59" s="35"/>
      <c r="AY59" s="35">
        <f t="shared" si="16"/>
        <v>0</v>
      </c>
      <c r="AZ59" s="35"/>
      <c r="BA59" s="35" t="s">
        <v>78</v>
      </c>
      <c r="BB59" s="55"/>
      <c r="BC59" s="35" t="s">
        <v>19</v>
      </c>
      <c r="BD59" s="35"/>
      <c r="BE59" s="35"/>
      <c r="BF59" s="35"/>
      <c r="BG59" s="35"/>
      <c r="BH59" s="35"/>
      <c r="BI59" s="35"/>
      <c r="BJ59" s="35"/>
      <c r="BK59" s="35"/>
      <c r="BL59" s="35"/>
      <c r="BM59" s="35">
        <f t="shared" si="10"/>
        <v>0</v>
      </c>
      <c r="BN59" s="54" t="s">
        <v>347</v>
      </c>
    </row>
    <row r="60" spans="1:67" ht="12.75" hidden="1" customHeight="1" x14ac:dyDescent="0.2">
      <c r="A60" s="35" t="s">
        <v>79</v>
      </c>
      <c r="C60" s="35" t="s">
        <v>80</v>
      </c>
      <c r="D60" s="35"/>
      <c r="E60" s="35">
        <f t="shared" si="13"/>
        <v>0</v>
      </c>
      <c r="F60" s="35"/>
      <c r="G60" s="35"/>
      <c r="H60" s="35"/>
      <c r="I60" s="35"/>
      <c r="J60" s="35"/>
      <c r="K60" s="35">
        <f t="shared" si="14"/>
        <v>0</v>
      </c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>
        <f t="shared" si="15"/>
        <v>0</v>
      </c>
      <c r="X60" s="35"/>
      <c r="Y60" s="35" t="s">
        <v>79</v>
      </c>
      <c r="Z60" s="55"/>
      <c r="AA60" s="35" t="s">
        <v>80</v>
      </c>
      <c r="AB60" s="35"/>
      <c r="AC60" s="35"/>
      <c r="AD60" s="35"/>
      <c r="AE60" s="35"/>
      <c r="AF60" s="35"/>
      <c r="AG60" s="35"/>
      <c r="AH60" s="35"/>
      <c r="AI60" s="45">
        <f t="shared" si="9"/>
        <v>0</v>
      </c>
      <c r="AJ60" s="45"/>
      <c r="AK60" s="35"/>
      <c r="AL60" s="35"/>
      <c r="AM60" s="35"/>
      <c r="AN60" s="35"/>
      <c r="AO60" s="35"/>
      <c r="AP60" s="35"/>
      <c r="AQ60" s="35"/>
      <c r="AR60" s="35"/>
      <c r="AS60" s="45">
        <f t="shared" si="12"/>
        <v>0</v>
      </c>
      <c r="AT60" s="45"/>
      <c r="AU60" s="35">
        <v>0</v>
      </c>
      <c r="AV60" s="35"/>
      <c r="AW60" s="35">
        <v>0</v>
      </c>
      <c r="AX60" s="35"/>
      <c r="AY60" s="35">
        <f t="shared" si="16"/>
        <v>0</v>
      </c>
      <c r="AZ60" s="35"/>
      <c r="BA60" s="35" t="s">
        <v>79</v>
      </c>
      <c r="BB60" s="55"/>
      <c r="BC60" s="35" t="s">
        <v>80</v>
      </c>
      <c r="BD60" s="35"/>
      <c r="BE60" s="35"/>
      <c r="BF60" s="35"/>
      <c r="BG60" s="35"/>
      <c r="BH60" s="35"/>
      <c r="BI60" s="35"/>
      <c r="BJ60" s="35"/>
      <c r="BK60" s="35"/>
      <c r="BL60" s="35"/>
      <c r="BM60" s="35">
        <f t="shared" si="10"/>
        <v>0</v>
      </c>
      <c r="BN60" s="54" t="s">
        <v>347</v>
      </c>
    </row>
    <row r="61" spans="1:67" ht="12.75" hidden="1" customHeight="1" x14ac:dyDescent="0.2">
      <c r="A61" s="35" t="s">
        <v>81</v>
      </c>
      <c r="C61" s="35" t="s">
        <v>81</v>
      </c>
      <c r="D61" s="35"/>
      <c r="E61" s="35">
        <f t="shared" si="13"/>
        <v>0</v>
      </c>
      <c r="F61" s="35"/>
      <c r="G61" s="35"/>
      <c r="H61" s="35"/>
      <c r="I61" s="35"/>
      <c r="J61" s="35"/>
      <c r="K61" s="35">
        <f t="shared" si="14"/>
        <v>0</v>
      </c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>
        <f t="shared" si="15"/>
        <v>0</v>
      </c>
      <c r="X61" s="35"/>
      <c r="Y61" s="35" t="s">
        <v>81</v>
      </c>
      <c r="Z61" s="55"/>
      <c r="AA61" s="35" t="s">
        <v>81</v>
      </c>
      <c r="AB61" s="35"/>
      <c r="AC61" s="35"/>
      <c r="AD61" s="35"/>
      <c r="AE61" s="35"/>
      <c r="AF61" s="35"/>
      <c r="AG61" s="35"/>
      <c r="AH61" s="35"/>
      <c r="AI61" s="45">
        <f t="shared" si="9"/>
        <v>0</v>
      </c>
      <c r="AJ61" s="45"/>
      <c r="AK61" s="35"/>
      <c r="AL61" s="35"/>
      <c r="AM61" s="35"/>
      <c r="AN61" s="35"/>
      <c r="AO61" s="35"/>
      <c r="AP61" s="35"/>
      <c r="AQ61" s="35"/>
      <c r="AR61" s="35"/>
      <c r="AS61" s="45">
        <f t="shared" si="12"/>
        <v>0</v>
      </c>
      <c r="AT61" s="45"/>
      <c r="AU61" s="35">
        <v>0</v>
      </c>
      <c r="AV61" s="35"/>
      <c r="AW61" s="35">
        <v>0</v>
      </c>
      <c r="AX61" s="35"/>
      <c r="AY61" s="35">
        <f t="shared" si="16"/>
        <v>0</v>
      </c>
      <c r="AZ61" s="35"/>
      <c r="BA61" s="35" t="s">
        <v>81</v>
      </c>
      <c r="BB61" s="55"/>
      <c r="BC61" s="35" t="s">
        <v>81</v>
      </c>
      <c r="BD61" s="35"/>
      <c r="BE61" s="35"/>
      <c r="BF61" s="35"/>
      <c r="BG61" s="35"/>
      <c r="BH61" s="35"/>
      <c r="BI61" s="35"/>
      <c r="BJ61" s="35"/>
      <c r="BK61" s="35"/>
      <c r="BL61" s="35"/>
      <c r="BM61" s="35">
        <f t="shared" si="10"/>
        <v>0</v>
      </c>
      <c r="BN61" s="54" t="s">
        <v>347</v>
      </c>
    </row>
    <row r="62" spans="1:67" ht="12.75" customHeight="1" x14ac:dyDescent="0.2">
      <c r="A62" s="35" t="s">
        <v>82</v>
      </c>
      <c r="C62" s="35" t="s">
        <v>13</v>
      </c>
      <c r="D62" s="35"/>
      <c r="E62" s="35">
        <f t="shared" si="13"/>
        <v>27661890</v>
      </c>
      <c r="F62" s="35"/>
      <c r="G62" s="35">
        <v>24875239</v>
      </c>
      <c r="H62" s="35"/>
      <c r="I62" s="35">
        <v>52537129</v>
      </c>
      <c r="J62" s="35"/>
      <c r="K62" s="35">
        <f t="shared" si="14"/>
        <v>4623092</v>
      </c>
      <c r="L62" s="35"/>
      <c r="M62" s="35">
        <v>9853895</v>
      </c>
      <c r="N62" s="35"/>
      <c r="O62" s="35">
        <v>14476987</v>
      </c>
      <c r="P62" s="35"/>
      <c r="Q62" s="35">
        <v>18071745</v>
      </c>
      <c r="R62" s="35"/>
      <c r="S62" s="35">
        <v>0</v>
      </c>
      <c r="T62" s="35"/>
      <c r="U62" s="35">
        <v>19988397</v>
      </c>
      <c r="V62" s="35"/>
      <c r="W62" s="35">
        <f t="shared" si="15"/>
        <v>38060142</v>
      </c>
      <c r="X62" s="35"/>
      <c r="Y62" s="35" t="s">
        <v>82</v>
      </c>
      <c r="Z62" s="55"/>
      <c r="AA62" s="35" t="s">
        <v>13</v>
      </c>
      <c r="AB62" s="35"/>
      <c r="AC62" s="35">
        <v>39723724</v>
      </c>
      <c r="AD62" s="35"/>
      <c r="AE62" s="35">
        <f>38507119-1362789</f>
        <v>37144330</v>
      </c>
      <c r="AF62" s="35"/>
      <c r="AG62" s="35">
        <v>1362789</v>
      </c>
      <c r="AH62" s="35"/>
      <c r="AI62" s="45">
        <f t="shared" si="9"/>
        <v>1216605</v>
      </c>
      <c r="AJ62" s="45"/>
      <c r="AK62" s="35">
        <v>-315611</v>
      </c>
      <c r="AL62" s="35"/>
      <c r="AM62" s="35">
        <v>1762567</v>
      </c>
      <c r="AN62" s="35"/>
      <c r="AO62" s="35">
        <v>1771293</v>
      </c>
      <c r="AP62" s="35"/>
      <c r="AQ62" s="35">
        <v>0</v>
      </c>
      <c r="AR62" s="35"/>
      <c r="AS62" s="45">
        <f t="shared" si="12"/>
        <v>892268</v>
      </c>
      <c r="AT62" s="45"/>
      <c r="AU62" s="35">
        <v>0</v>
      </c>
      <c r="AV62" s="35"/>
      <c r="AW62" s="35">
        <v>0</v>
      </c>
      <c r="AX62" s="35"/>
      <c r="AY62" s="35">
        <f t="shared" si="16"/>
        <v>23038798</v>
      </c>
      <c r="AZ62" s="35"/>
      <c r="BA62" s="35" t="s">
        <v>82</v>
      </c>
      <c r="BB62" s="55"/>
      <c r="BC62" s="35" t="s">
        <v>13</v>
      </c>
      <c r="BD62" s="35"/>
      <c r="BE62" s="35">
        <v>0</v>
      </c>
      <c r="BF62" s="35"/>
      <c r="BG62" s="35">
        <v>0</v>
      </c>
      <c r="BH62" s="35"/>
      <c r="BI62" s="35">
        <v>0</v>
      </c>
      <c r="BJ62" s="35"/>
      <c r="BK62" s="35">
        <f>173725+728951+633047+6074543</f>
        <v>7610266</v>
      </c>
      <c r="BL62" s="35"/>
      <c r="BM62" s="35">
        <f t="shared" si="10"/>
        <v>7610266</v>
      </c>
      <c r="BN62" s="54" t="s">
        <v>347</v>
      </c>
    </row>
    <row r="63" spans="1:67" ht="12.75" hidden="1" customHeight="1" x14ac:dyDescent="0.2">
      <c r="A63" s="35" t="s">
        <v>83</v>
      </c>
      <c r="C63" s="35" t="s">
        <v>66</v>
      </c>
      <c r="D63" s="35"/>
      <c r="E63" s="35">
        <f t="shared" si="13"/>
        <v>0</v>
      </c>
      <c r="F63" s="35"/>
      <c r="G63" s="35"/>
      <c r="H63" s="35"/>
      <c r="I63" s="35"/>
      <c r="J63" s="35"/>
      <c r="K63" s="35">
        <f t="shared" si="14"/>
        <v>0</v>
      </c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>
        <f t="shared" si="15"/>
        <v>0</v>
      </c>
      <c r="X63" s="35"/>
      <c r="Y63" s="35" t="s">
        <v>83</v>
      </c>
      <c r="Z63" s="55"/>
      <c r="AA63" s="35" t="s">
        <v>66</v>
      </c>
      <c r="AB63" s="35"/>
      <c r="AC63" s="35"/>
      <c r="AD63" s="35"/>
      <c r="AE63" s="35"/>
      <c r="AF63" s="35"/>
      <c r="AG63" s="35"/>
      <c r="AH63" s="35"/>
      <c r="AI63" s="45">
        <f t="shared" si="9"/>
        <v>0</v>
      </c>
      <c r="AJ63" s="45"/>
      <c r="AK63" s="35"/>
      <c r="AL63" s="35"/>
      <c r="AM63" s="35"/>
      <c r="AN63" s="35"/>
      <c r="AO63" s="35"/>
      <c r="AP63" s="35"/>
      <c r="AQ63" s="35"/>
      <c r="AR63" s="35"/>
      <c r="AS63" s="45">
        <f t="shared" si="12"/>
        <v>0</v>
      </c>
      <c r="AT63" s="45"/>
      <c r="AU63" s="35">
        <v>0</v>
      </c>
      <c r="AV63" s="35"/>
      <c r="AW63" s="35">
        <v>0</v>
      </c>
      <c r="AX63" s="35"/>
      <c r="AY63" s="35">
        <f t="shared" si="16"/>
        <v>0</v>
      </c>
      <c r="AZ63" s="35"/>
      <c r="BA63" s="35" t="s">
        <v>83</v>
      </c>
      <c r="BB63" s="55"/>
      <c r="BC63" s="35" t="s">
        <v>66</v>
      </c>
      <c r="BD63" s="35"/>
      <c r="BE63" s="35"/>
      <c r="BF63" s="35"/>
      <c r="BG63" s="35"/>
      <c r="BH63" s="35"/>
      <c r="BI63" s="35"/>
      <c r="BJ63" s="35"/>
      <c r="BK63" s="35"/>
      <c r="BL63" s="35"/>
      <c r="BM63" s="35">
        <f t="shared" si="10"/>
        <v>0</v>
      </c>
      <c r="BN63" s="54" t="s">
        <v>347</v>
      </c>
    </row>
    <row r="64" spans="1:67" ht="12.75" hidden="1" customHeight="1" x14ac:dyDescent="0.2">
      <c r="A64" s="35" t="s">
        <v>84</v>
      </c>
      <c r="C64" s="35" t="s">
        <v>45</v>
      </c>
      <c r="D64" s="35"/>
      <c r="E64" s="35">
        <f t="shared" si="13"/>
        <v>0</v>
      </c>
      <c r="F64" s="35"/>
      <c r="G64" s="35"/>
      <c r="H64" s="35"/>
      <c r="I64" s="35"/>
      <c r="J64" s="35"/>
      <c r="K64" s="35">
        <f t="shared" si="14"/>
        <v>0</v>
      </c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>
        <f t="shared" si="15"/>
        <v>0</v>
      </c>
      <c r="X64" s="35"/>
      <c r="Y64" s="35" t="s">
        <v>84</v>
      </c>
      <c r="Z64" s="55"/>
      <c r="AA64" s="35" t="s">
        <v>45</v>
      </c>
      <c r="AB64" s="35"/>
      <c r="AC64" s="35"/>
      <c r="AD64" s="35"/>
      <c r="AE64" s="35"/>
      <c r="AF64" s="35"/>
      <c r="AG64" s="35"/>
      <c r="AH64" s="35"/>
      <c r="AI64" s="45">
        <f t="shared" si="9"/>
        <v>0</v>
      </c>
      <c r="AJ64" s="45"/>
      <c r="AK64" s="35"/>
      <c r="AL64" s="35"/>
      <c r="AM64" s="35"/>
      <c r="AN64" s="35"/>
      <c r="AO64" s="35"/>
      <c r="AP64" s="35"/>
      <c r="AQ64" s="35"/>
      <c r="AR64" s="35"/>
      <c r="AS64" s="45">
        <f t="shared" si="12"/>
        <v>0</v>
      </c>
      <c r="AT64" s="45"/>
      <c r="AU64" s="35">
        <v>0</v>
      </c>
      <c r="AV64" s="35"/>
      <c r="AW64" s="35">
        <v>0</v>
      </c>
      <c r="AX64" s="35"/>
      <c r="AY64" s="35">
        <f t="shared" si="16"/>
        <v>0</v>
      </c>
      <c r="AZ64" s="35"/>
      <c r="BA64" s="35" t="s">
        <v>84</v>
      </c>
      <c r="BB64" s="55"/>
      <c r="BC64" s="35" t="s">
        <v>45</v>
      </c>
      <c r="BD64" s="35"/>
      <c r="BE64" s="35"/>
      <c r="BF64" s="35"/>
      <c r="BG64" s="35"/>
      <c r="BH64" s="35"/>
      <c r="BI64" s="35"/>
      <c r="BJ64" s="35"/>
      <c r="BK64" s="35"/>
      <c r="BL64" s="35"/>
      <c r="BM64" s="35">
        <f t="shared" si="10"/>
        <v>0</v>
      </c>
      <c r="BN64" s="54" t="s">
        <v>347</v>
      </c>
      <c r="BO64" s="55" t="s">
        <v>371</v>
      </c>
    </row>
    <row r="65" spans="1:67" ht="12.75" hidden="1" customHeight="1" x14ac:dyDescent="0.2">
      <c r="A65" s="35" t="s">
        <v>85</v>
      </c>
      <c r="C65" s="35" t="s">
        <v>85</v>
      </c>
      <c r="D65" s="35"/>
      <c r="E65" s="35">
        <f t="shared" si="13"/>
        <v>0</v>
      </c>
      <c r="F65" s="35"/>
      <c r="G65" s="35"/>
      <c r="H65" s="35"/>
      <c r="I65" s="35"/>
      <c r="J65" s="35"/>
      <c r="K65" s="35">
        <f t="shared" si="14"/>
        <v>0</v>
      </c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>
        <f t="shared" si="15"/>
        <v>0</v>
      </c>
      <c r="X65" s="35"/>
      <c r="Y65" s="35" t="s">
        <v>85</v>
      </c>
      <c r="Z65" s="55"/>
      <c r="AA65" s="35" t="s">
        <v>85</v>
      </c>
      <c r="AB65" s="35"/>
      <c r="AC65" s="35"/>
      <c r="AD65" s="35"/>
      <c r="AE65" s="35"/>
      <c r="AF65" s="35"/>
      <c r="AG65" s="35"/>
      <c r="AH65" s="35"/>
      <c r="AI65" s="45">
        <f t="shared" si="9"/>
        <v>0</v>
      </c>
      <c r="AJ65" s="45"/>
      <c r="AK65" s="35"/>
      <c r="AL65" s="35"/>
      <c r="AM65" s="35"/>
      <c r="AN65" s="35"/>
      <c r="AO65" s="35"/>
      <c r="AP65" s="35"/>
      <c r="AQ65" s="35"/>
      <c r="AR65" s="35"/>
      <c r="AS65" s="45">
        <f t="shared" si="12"/>
        <v>0</v>
      </c>
      <c r="AT65" s="45"/>
      <c r="AU65" s="35">
        <v>0</v>
      </c>
      <c r="AV65" s="35"/>
      <c r="AW65" s="35">
        <v>0</v>
      </c>
      <c r="AX65" s="35"/>
      <c r="AY65" s="35">
        <f t="shared" si="16"/>
        <v>0</v>
      </c>
      <c r="AZ65" s="35"/>
      <c r="BA65" s="35" t="s">
        <v>85</v>
      </c>
      <c r="BB65" s="55"/>
      <c r="BC65" s="35" t="s">
        <v>85</v>
      </c>
      <c r="BD65" s="35"/>
      <c r="BE65" s="35"/>
      <c r="BF65" s="35"/>
      <c r="BG65" s="35"/>
      <c r="BH65" s="35"/>
      <c r="BI65" s="35"/>
      <c r="BJ65" s="35"/>
      <c r="BK65" s="35"/>
      <c r="BL65" s="35"/>
      <c r="BM65" s="35">
        <f t="shared" si="10"/>
        <v>0</v>
      </c>
      <c r="BN65" s="54" t="s">
        <v>347</v>
      </c>
    </row>
    <row r="66" spans="1:67" ht="12.75" hidden="1" customHeight="1" x14ac:dyDescent="0.2">
      <c r="A66" s="35" t="s">
        <v>86</v>
      </c>
      <c r="C66" s="35" t="s">
        <v>86</v>
      </c>
      <c r="D66" s="35"/>
      <c r="E66" s="35">
        <f t="shared" si="13"/>
        <v>0</v>
      </c>
      <c r="F66" s="35"/>
      <c r="G66" s="35"/>
      <c r="H66" s="35"/>
      <c r="I66" s="35"/>
      <c r="J66" s="35"/>
      <c r="K66" s="35">
        <f t="shared" si="14"/>
        <v>0</v>
      </c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>
        <f t="shared" si="15"/>
        <v>0</v>
      </c>
      <c r="X66" s="35"/>
      <c r="Y66" s="35" t="s">
        <v>86</v>
      </c>
      <c r="Z66" s="55"/>
      <c r="AA66" s="35" t="s">
        <v>86</v>
      </c>
      <c r="AB66" s="35"/>
      <c r="AC66" s="35"/>
      <c r="AD66" s="35"/>
      <c r="AE66" s="35"/>
      <c r="AF66" s="35"/>
      <c r="AG66" s="35"/>
      <c r="AH66" s="35"/>
      <c r="AI66" s="45">
        <f t="shared" si="9"/>
        <v>0</v>
      </c>
      <c r="AJ66" s="45"/>
      <c r="AK66" s="35"/>
      <c r="AL66" s="35"/>
      <c r="AM66" s="35"/>
      <c r="AN66" s="35"/>
      <c r="AO66" s="35"/>
      <c r="AP66" s="35"/>
      <c r="AQ66" s="35"/>
      <c r="AR66" s="35"/>
      <c r="AS66" s="45">
        <f t="shared" si="12"/>
        <v>0</v>
      </c>
      <c r="AT66" s="45"/>
      <c r="AU66" s="35">
        <v>0</v>
      </c>
      <c r="AV66" s="35"/>
      <c r="AW66" s="35">
        <v>0</v>
      </c>
      <c r="AX66" s="35"/>
      <c r="AY66" s="35">
        <f t="shared" si="16"/>
        <v>0</v>
      </c>
      <c r="AZ66" s="35"/>
      <c r="BA66" s="35" t="s">
        <v>86</v>
      </c>
      <c r="BB66" s="55"/>
      <c r="BC66" s="35" t="s">
        <v>86</v>
      </c>
      <c r="BD66" s="35"/>
      <c r="BE66" s="35"/>
      <c r="BF66" s="35"/>
      <c r="BG66" s="35"/>
      <c r="BH66" s="35"/>
      <c r="BI66" s="35"/>
      <c r="BJ66" s="35"/>
      <c r="BK66" s="35"/>
      <c r="BL66" s="35"/>
      <c r="BM66" s="35">
        <f t="shared" ref="BM66:BM99" si="22">SUM(BE66:BK66)</f>
        <v>0</v>
      </c>
      <c r="BN66" s="54" t="s">
        <v>347</v>
      </c>
    </row>
    <row r="67" spans="1:67" s="90" customFormat="1" ht="12.75" hidden="1" customHeight="1" x14ac:dyDescent="0.2">
      <c r="A67" s="64" t="s">
        <v>87</v>
      </c>
      <c r="C67" s="64" t="s">
        <v>88</v>
      </c>
      <c r="D67" s="64"/>
      <c r="E67" s="35">
        <f t="shared" si="13"/>
        <v>0</v>
      </c>
      <c r="F67" s="35"/>
      <c r="G67" s="35"/>
      <c r="H67" s="35"/>
      <c r="I67" s="35"/>
      <c r="J67" s="35"/>
      <c r="K67" s="35">
        <f t="shared" si="14"/>
        <v>0</v>
      </c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>
        <f t="shared" si="15"/>
        <v>0</v>
      </c>
      <c r="X67" s="64"/>
      <c r="Y67" s="64" t="s">
        <v>87</v>
      </c>
      <c r="AA67" s="64" t="s">
        <v>88</v>
      </c>
      <c r="AB67" s="64"/>
      <c r="AC67" s="35"/>
      <c r="AD67" s="35"/>
      <c r="AE67" s="35"/>
      <c r="AF67" s="35"/>
      <c r="AG67" s="35"/>
      <c r="AH67" s="35"/>
      <c r="AI67" s="45">
        <f t="shared" si="9"/>
        <v>0</v>
      </c>
      <c r="AJ67" s="45"/>
      <c r="AK67" s="35"/>
      <c r="AL67" s="35"/>
      <c r="AM67" s="35"/>
      <c r="AN67" s="35"/>
      <c r="AO67" s="35"/>
      <c r="AP67" s="35"/>
      <c r="AQ67" s="35"/>
      <c r="AR67" s="35"/>
      <c r="AS67" s="45">
        <f t="shared" si="12"/>
        <v>0</v>
      </c>
      <c r="AT67" s="45"/>
      <c r="AU67" s="35">
        <v>0</v>
      </c>
      <c r="AV67" s="35"/>
      <c r="AW67" s="35">
        <v>0</v>
      </c>
      <c r="AX67" s="35"/>
      <c r="AY67" s="35">
        <f t="shared" si="16"/>
        <v>0</v>
      </c>
      <c r="AZ67" s="64"/>
      <c r="BA67" s="64" t="s">
        <v>87</v>
      </c>
      <c r="BC67" s="64" t="s">
        <v>88</v>
      </c>
      <c r="BD67" s="64"/>
      <c r="BE67" s="35"/>
      <c r="BF67" s="35"/>
      <c r="BG67" s="35"/>
      <c r="BH67" s="35"/>
      <c r="BI67" s="35"/>
      <c r="BJ67" s="35"/>
      <c r="BK67" s="35"/>
      <c r="BL67" s="64"/>
      <c r="BM67" s="64">
        <f t="shared" si="22"/>
        <v>0</v>
      </c>
      <c r="BN67" s="91" t="s">
        <v>347</v>
      </c>
    </row>
    <row r="68" spans="1:67" ht="12.75" customHeight="1" x14ac:dyDescent="0.2">
      <c r="A68" s="35" t="s">
        <v>394</v>
      </c>
      <c r="C68" s="35" t="s">
        <v>89</v>
      </c>
      <c r="D68" s="35"/>
      <c r="E68" s="35">
        <f t="shared" si="13"/>
        <v>7309897</v>
      </c>
      <c r="F68" s="35"/>
      <c r="G68" s="35">
        <v>24225625</v>
      </c>
      <c r="H68" s="35"/>
      <c r="I68" s="35">
        <v>31535522</v>
      </c>
      <c r="J68" s="35"/>
      <c r="K68" s="35">
        <f t="shared" si="14"/>
        <v>3380168</v>
      </c>
      <c r="L68" s="35"/>
      <c r="M68" s="35">
        <v>12825783</v>
      </c>
      <c r="N68" s="35"/>
      <c r="O68" s="35">
        <v>16205951</v>
      </c>
      <c r="P68" s="35"/>
      <c r="Q68" s="35">
        <v>6939518</v>
      </c>
      <c r="R68" s="35"/>
      <c r="S68" s="35">
        <f>990732+2036185</f>
        <v>3026917</v>
      </c>
      <c r="T68" s="35"/>
      <c r="U68" s="35">
        <v>5363136</v>
      </c>
      <c r="V68" s="35"/>
      <c r="W68" s="35">
        <f t="shared" si="15"/>
        <v>15329571</v>
      </c>
      <c r="X68" s="35"/>
      <c r="Y68" s="35" t="s">
        <v>394</v>
      </c>
      <c r="Z68" s="55"/>
      <c r="AA68" s="35" t="s">
        <v>89</v>
      </c>
      <c r="AB68" s="35"/>
      <c r="AC68" s="35">
        <v>20636900</v>
      </c>
      <c r="AD68" s="35"/>
      <c r="AE68" s="35">
        <f>20228563-1102102</f>
        <v>19126461</v>
      </c>
      <c r="AF68" s="35"/>
      <c r="AG68" s="35">
        <v>1102102</v>
      </c>
      <c r="AH68" s="35"/>
      <c r="AI68" s="45">
        <f t="shared" si="9"/>
        <v>408337</v>
      </c>
      <c r="AJ68" s="45"/>
      <c r="AK68" s="35">
        <v>-513611</v>
      </c>
      <c r="AL68" s="35"/>
      <c r="AM68" s="35">
        <v>0</v>
      </c>
      <c r="AN68" s="35"/>
      <c r="AO68" s="35">
        <v>0</v>
      </c>
      <c r="AP68" s="35"/>
      <c r="AQ68" s="35">
        <v>0</v>
      </c>
      <c r="AR68" s="35"/>
      <c r="AS68" s="45">
        <f t="shared" si="12"/>
        <v>-105274</v>
      </c>
      <c r="AT68" s="45"/>
      <c r="AU68" s="35">
        <v>0</v>
      </c>
      <c r="AV68" s="35"/>
      <c r="AW68" s="35">
        <v>0</v>
      </c>
      <c r="AX68" s="35"/>
      <c r="AY68" s="35">
        <f t="shared" si="16"/>
        <v>3929729</v>
      </c>
      <c r="AZ68" s="35"/>
      <c r="BA68" s="35" t="s">
        <v>394</v>
      </c>
      <c r="BB68" s="55"/>
      <c r="BC68" s="35" t="s">
        <v>89</v>
      </c>
      <c r="BD68" s="35"/>
      <c r="BE68" s="35">
        <f>6802343+285000</f>
        <v>7087343</v>
      </c>
      <c r="BF68" s="35"/>
      <c r="BG68" s="35">
        <f>5750678+655000</f>
        <v>6405678</v>
      </c>
      <c r="BH68" s="35"/>
      <c r="BI68" s="35">
        <v>0</v>
      </c>
      <c r="BJ68" s="35"/>
      <c r="BK68" s="35">
        <f>272762+121220</f>
        <v>393982</v>
      </c>
      <c r="BL68" s="35"/>
      <c r="BM68" s="35">
        <f t="shared" si="22"/>
        <v>13887003</v>
      </c>
      <c r="BN68" s="54" t="s">
        <v>347</v>
      </c>
      <c r="BO68" s="55" t="s">
        <v>315</v>
      </c>
    </row>
    <row r="69" spans="1:67" ht="12.75" hidden="1" customHeight="1" x14ac:dyDescent="0.2">
      <c r="A69" s="35" t="s">
        <v>90</v>
      </c>
      <c r="C69" s="35" t="s">
        <v>43</v>
      </c>
      <c r="D69" s="35"/>
      <c r="E69" s="35">
        <f t="shared" si="13"/>
        <v>0</v>
      </c>
      <c r="F69" s="35"/>
      <c r="G69" s="35"/>
      <c r="H69" s="35"/>
      <c r="I69" s="35"/>
      <c r="J69" s="35"/>
      <c r="K69" s="35">
        <f t="shared" si="14"/>
        <v>0</v>
      </c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>
        <f t="shared" si="15"/>
        <v>0</v>
      </c>
      <c r="X69" s="35"/>
      <c r="Y69" s="35" t="s">
        <v>90</v>
      </c>
      <c r="Z69" s="55"/>
      <c r="AA69" s="35" t="s">
        <v>43</v>
      </c>
      <c r="AB69" s="35"/>
      <c r="AC69" s="35"/>
      <c r="AD69" s="35"/>
      <c r="AE69" s="35"/>
      <c r="AF69" s="35"/>
      <c r="AG69" s="35"/>
      <c r="AH69" s="35"/>
      <c r="AI69" s="45">
        <f t="shared" si="9"/>
        <v>0</v>
      </c>
      <c r="AJ69" s="45"/>
      <c r="AK69" s="35"/>
      <c r="AL69" s="35"/>
      <c r="AM69" s="35"/>
      <c r="AN69" s="35"/>
      <c r="AO69" s="35"/>
      <c r="AP69" s="35"/>
      <c r="AQ69" s="35"/>
      <c r="AR69" s="35"/>
      <c r="AS69" s="45">
        <f t="shared" si="12"/>
        <v>0</v>
      </c>
      <c r="AT69" s="45"/>
      <c r="AU69" s="35">
        <v>0</v>
      </c>
      <c r="AV69" s="35"/>
      <c r="AW69" s="35">
        <v>0</v>
      </c>
      <c r="AX69" s="35"/>
      <c r="AY69" s="35">
        <f t="shared" si="16"/>
        <v>0</v>
      </c>
      <c r="AZ69" s="35"/>
      <c r="BA69" s="35" t="s">
        <v>90</v>
      </c>
      <c r="BB69" s="55"/>
      <c r="BC69" s="35" t="s">
        <v>43</v>
      </c>
      <c r="BD69" s="35"/>
      <c r="BE69" s="35"/>
      <c r="BF69" s="35"/>
      <c r="BG69" s="35"/>
      <c r="BH69" s="35"/>
      <c r="BI69" s="35"/>
      <c r="BJ69" s="35"/>
      <c r="BK69" s="35"/>
      <c r="BL69" s="35"/>
      <c r="BM69" s="35">
        <f t="shared" si="22"/>
        <v>0</v>
      </c>
      <c r="BN69" s="54" t="s">
        <v>347</v>
      </c>
    </row>
    <row r="70" spans="1:67" ht="12.75" hidden="1" customHeight="1" x14ac:dyDescent="0.2">
      <c r="A70" s="35" t="s">
        <v>93</v>
      </c>
      <c r="C70" s="35" t="s">
        <v>94</v>
      </c>
      <c r="D70" s="35"/>
      <c r="E70" s="35">
        <f t="shared" si="13"/>
        <v>0</v>
      </c>
      <c r="F70" s="35"/>
      <c r="G70" s="35"/>
      <c r="H70" s="35"/>
      <c r="I70" s="35"/>
      <c r="J70" s="35"/>
      <c r="K70" s="35">
        <f t="shared" si="14"/>
        <v>0</v>
      </c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>
        <f t="shared" si="15"/>
        <v>0</v>
      </c>
      <c r="X70" s="35"/>
      <c r="Y70" s="35" t="s">
        <v>93</v>
      </c>
      <c r="Z70" s="55"/>
      <c r="AA70" s="35" t="s">
        <v>94</v>
      </c>
      <c r="AB70" s="35"/>
      <c r="AC70" s="35"/>
      <c r="AD70" s="35"/>
      <c r="AE70" s="35"/>
      <c r="AF70" s="35"/>
      <c r="AG70" s="35"/>
      <c r="AH70" s="35"/>
      <c r="AI70" s="45">
        <f t="shared" si="9"/>
        <v>0</v>
      </c>
      <c r="AJ70" s="45"/>
      <c r="AK70" s="35"/>
      <c r="AL70" s="35"/>
      <c r="AM70" s="35"/>
      <c r="AN70" s="35"/>
      <c r="AO70" s="35"/>
      <c r="AP70" s="35"/>
      <c r="AQ70" s="35"/>
      <c r="AR70" s="35"/>
      <c r="AS70" s="45">
        <f t="shared" si="12"/>
        <v>0</v>
      </c>
      <c r="AT70" s="45"/>
      <c r="AU70" s="35">
        <v>0</v>
      </c>
      <c r="AV70" s="35"/>
      <c r="AW70" s="35">
        <v>0</v>
      </c>
      <c r="AX70" s="35"/>
      <c r="AY70" s="35">
        <f t="shared" si="16"/>
        <v>0</v>
      </c>
      <c r="AZ70" s="35"/>
      <c r="BA70" s="35" t="s">
        <v>93</v>
      </c>
      <c r="BB70" s="55"/>
      <c r="BC70" s="35" t="s">
        <v>94</v>
      </c>
      <c r="BD70" s="35"/>
      <c r="BE70" s="35"/>
      <c r="BF70" s="35"/>
      <c r="BG70" s="35"/>
      <c r="BH70" s="35"/>
      <c r="BI70" s="35"/>
      <c r="BJ70" s="35"/>
      <c r="BK70" s="35"/>
      <c r="BL70" s="35"/>
      <c r="BM70" s="35">
        <f t="shared" si="22"/>
        <v>0</v>
      </c>
      <c r="BN70" s="54" t="s">
        <v>347</v>
      </c>
    </row>
    <row r="71" spans="1:67" ht="12.75" hidden="1" customHeight="1" x14ac:dyDescent="0.2">
      <c r="A71" s="35" t="s">
        <v>95</v>
      </c>
      <c r="C71" s="35" t="s">
        <v>94</v>
      </c>
      <c r="D71" s="35"/>
      <c r="E71" s="35">
        <f t="shared" si="13"/>
        <v>0</v>
      </c>
      <c r="F71" s="35"/>
      <c r="G71" s="35"/>
      <c r="H71" s="35"/>
      <c r="I71" s="35"/>
      <c r="J71" s="35"/>
      <c r="K71" s="35">
        <f t="shared" si="14"/>
        <v>0</v>
      </c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>
        <f t="shared" si="15"/>
        <v>0</v>
      </c>
      <c r="X71" s="35"/>
      <c r="Y71" s="35" t="s">
        <v>95</v>
      </c>
      <c r="Z71" s="55"/>
      <c r="AA71" s="35" t="s">
        <v>94</v>
      </c>
      <c r="AB71" s="35"/>
      <c r="AC71" s="35"/>
      <c r="AD71" s="35"/>
      <c r="AE71" s="35"/>
      <c r="AF71" s="35"/>
      <c r="AG71" s="35"/>
      <c r="AH71" s="35"/>
      <c r="AI71" s="45">
        <f t="shared" si="9"/>
        <v>0</v>
      </c>
      <c r="AJ71" s="45"/>
      <c r="AK71" s="35"/>
      <c r="AL71" s="35"/>
      <c r="AM71" s="35"/>
      <c r="AN71" s="35"/>
      <c r="AO71" s="35"/>
      <c r="AP71" s="35"/>
      <c r="AQ71" s="35"/>
      <c r="AR71" s="35"/>
      <c r="AS71" s="45">
        <f t="shared" si="12"/>
        <v>0</v>
      </c>
      <c r="AT71" s="45"/>
      <c r="AU71" s="35">
        <v>0</v>
      </c>
      <c r="AV71" s="35"/>
      <c r="AW71" s="35">
        <v>0</v>
      </c>
      <c r="AX71" s="35"/>
      <c r="AY71" s="35">
        <f t="shared" si="16"/>
        <v>0</v>
      </c>
      <c r="AZ71" s="35"/>
      <c r="BA71" s="35" t="s">
        <v>95</v>
      </c>
      <c r="BB71" s="55"/>
      <c r="BC71" s="35" t="s">
        <v>94</v>
      </c>
      <c r="BD71" s="35"/>
      <c r="BE71" s="35"/>
      <c r="BF71" s="35"/>
      <c r="BG71" s="35"/>
      <c r="BH71" s="35"/>
      <c r="BI71" s="35"/>
      <c r="BJ71" s="35"/>
      <c r="BK71" s="35"/>
      <c r="BL71" s="35"/>
      <c r="BM71" s="35">
        <f t="shared" si="22"/>
        <v>0</v>
      </c>
      <c r="BN71" s="54" t="s">
        <v>347</v>
      </c>
    </row>
    <row r="72" spans="1:67" ht="12.75" hidden="1" customHeight="1" x14ac:dyDescent="0.2">
      <c r="A72" s="35" t="s">
        <v>91</v>
      </c>
      <c r="C72" s="35" t="s">
        <v>92</v>
      </c>
      <c r="D72" s="35"/>
      <c r="E72" s="35">
        <f t="shared" si="13"/>
        <v>0</v>
      </c>
      <c r="F72" s="35"/>
      <c r="G72" s="35"/>
      <c r="H72" s="35"/>
      <c r="I72" s="35"/>
      <c r="J72" s="35"/>
      <c r="K72" s="35">
        <f t="shared" si="14"/>
        <v>0</v>
      </c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>
        <f t="shared" si="15"/>
        <v>0</v>
      </c>
      <c r="X72" s="35"/>
      <c r="Y72" s="35" t="s">
        <v>91</v>
      </c>
      <c r="Z72" s="55"/>
      <c r="AA72" s="35" t="s">
        <v>92</v>
      </c>
      <c r="AB72" s="35"/>
      <c r="AC72" s="35"/>
      <c r="AD72" s="35"/>
      <c r="AE72" s="35"/>
      <c r="AF72" s="35"/>
      <c r="AG72" s="35"/>
      <c r="AH72" s="35"/>
      <c r="AI72" s="45">
        <f t="shared" si="9"/>
        <v>0</v>
      </c>
      <c r="AJ72" s="45"/>
      <c r="AK72" s="35"/>
      <c r="AL72" s="35"/>
      <c r="AM72" s="35"/>
      <c r="AN72" s="35"/>
      <c r="AO72" s="35"/>
      <c r="AP72" s="35"/>
      <c r="AQ72" s="35"/>
      <c r="AR72" s="35"/>
      <c r="AS72" s="45">
        <f t="shared" si="12"/>
        <v>0</v>
      </c>
      <c r="AT72" s="45"/>
      <c r="AU72" s="35">
        <v>0</v>
      </c>
      <c r="AV72" s="35"/>
      <c r="AW72" s="35">
        <v>0</v>
      </c>
      <c r="AX72" s="35"/>
      <c r="AY72" s="35">
        <f t="shared" si="16"/>
        <v>0</v>
      </c>
      <c r="AZ72" s="35"/>
      <c r="BA72" s="35" t="s">
        <v>91</v>
      </c>
      <c r="BB72" s="55"/>
      <c r="BC72" s="35" t="s">
        <v>92</v>
      </c>
      <c r="BD72" s="35"/>
      <c r="BE72" s="35"/>
      <c r="BF72" s="35"/>
      <c r="BG72" s="35"/>
      <c r="BH72" s="35"/>
      <c r="BI72" s="35"/>
      <c r="BJ72" s="35"/>
      <c r="BK72" s="35"/>
      <c r="BL72" s="35"/>
      <c r="BM72" s="35">
        <f t="shared" si="22"/>
        <v>0</v>
      </c>
      <c r="BN72" s="54" t="s">
        <v>347</v>
      </c>
    </row>
    <row r="73" spans="1:67" ht="12.75" hidden="1" customHeight="1" x14ac:dyDescent="0.2">
      <c r="A73" s="35" t="s">
        <v>96</v>
      </c>
      <c r="C73" s="35" t="s">
        <v>97</v>
      </c>
      <c r="D73" s="35"/>
      <c r="E73" s="35">
        <f t="shared" si="13"/>
        <v>0</v>
      </c>
      <c r="F73" s="35"/>
      <c r="G73" s="35"/>
      <c r="H73" s="35"/>
      <c r="I73" s="35"/>
      <c r="J73" s="35"/>
      <c r="K73" s="35">
        <f t="shared" si="14"/>
        <v>0</v>
      </c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>
        <f t="shared" si="15"/>
        <v>0</v>
      </c>
      <c r="X73" s="35"/>
      <c r="Y73" s="35" t="s">
        <v>96</v>
      </c>
      <c r="Z73" s="55"/>
      <c r="AA73" s="35" t="s">
        <v>97</v>
      </c>
      <c r="AB73" s="35"/>
      <c r="AC73" s="35"/>
      <c r="AD73" s="35"/>
      <c r="AE73" s="35"/>
      <c r="AF73" s="35"/>
      <c r="AG73" s="35"/>
      <c r="AH73" s="35"/>
      <c r="AI73" s="45">
        <f t="shared" si="9"/>
        <v>0</v>
      </c>
      <c r="AJ73" s="45"/>
      <c r="AK73" s="35"/>
      <c r="AL73" s="35"/>
      <c r="AM73" s="35"/>
      <c r="AN73" s="35"/>
      <c r="AO73" s="35"/>
      <c r="AP73" s="35"/>
      <c r="AQ73" s="35"/>
      <c r="AR73" s="35"/>
      <c r="AS73" s="45">
        <f t="shared" si="12"/>
        <v>0</v>
      </c>
      <c r="AT73" s="45"/>
      <c r="AU73" s="35">
        <v>0</v>
      </c>
      <c r="AV73" s="35"/>
      <c r="AW73" s="35">
        <v>0</v>
      </c>
      <c r="AX73" s="35"/>
      <c r="AY73" s="35">
        <f t="shared" si="16"/>
        <v>0</v>
      </c>
      <c r="AZ73" s="35"/>
      <c r="BA73" s="35" t="s">
        <v>96</v>
      </c>
      <c r="BB73" s="55"/>
      <c r="BC73" s="35" t="s">
        <v>97</v>
      </c>
      <c r="BD73" s="35"/>
      <c r="BE73" s="35"/>
      <c r="BF73" s="35"/>
      <c r="BG73" s="35"/>
      <c r="BH73" s="35"/>
      <c r="BI73" s="35"/>
      <c r="BJ73" s="35"/>
      <c r="BK73" s="35"/>
      <c r="BL73" s="35"/>
      <c r="BM73" s="35">
        <f t="shared" si="22"/>
        <v>0</v>
      </c>
      <c r="BN73" s="54" t="s">
        <v>347</v>
      </c>
    </row>
    <row r="74" spans="1:67" ht="12.75" hidden="1" customHeight="1" x14ac:dyDescent="0.2">
      <c r="A74" s="35" t="s">
        <v>98</v>
      </c>
      <c r="C74" s="35" t="s">
        <v>17</v>
      </c>
      <c r="D74" s="35"/>
      <c r="E74" s="35">
        <f t="shared" si="13"/>
        <v>0</v>
      </c>
      <c r="F74" s="35"/>
      <c r="G74" s="35"/>
      <c r="H74" s="35"/>
      <c r="I74" s="35"/>
      <c r="J74" s="35"/>
      <c r="K74" s="35">
        <f t="shared" si="14"/>
        <v>0</v>
      </c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>
        <f t="shared" si="15"/>
        <v>0</v>
      </c>
      <c r="X74" s="35"/>
      <c r="Y74" s="35" t="s">
        <v>98</v>
      </c>
      <c r="Z74" s="55"/>
      <c r="AA74" s="35" t="s">
        <v>17</v>
      </c>
      <c r="AB74" s="35"/>
      <c r="AC74" s="35"/>
      <c r="AD74" s="35"/>
      <c r="AE74" s="35"/>
      <c r="AF74" s="35"/>
      <c r="AG74" s="35"/>
      <c r="AH74" s="35"/>
      <c r="AI74" s="45">
        <f t="shared" si="9"/>
        <v>0</v>
      </c>
      <c r="AJ74" s="45"/>
      <c r="AK74" s="35"/>
      <c r="AL74" s="35"/>
      <c r="AM74" s="35"/>
      <c r="AN74" s="35"/>
      <c r="AO74" s="35"/>
      <c r="AP74" s="35"/>
      <c r="AQ74" s="35"/>
      <c r="AR74" s="35"/>
      <c r="AS74" s="45">
        <f t="shared" si="12"/>
        <v>0</v>
      </c>
      <c r="AT74" s="45"/>
      <c r="AU74" s="35">
        <v>0</v>
      </c>
      <c r="AV74" s="35"/>
      <c r="AW74" s="35">
        <v>0</v>
      </c>
      <c r="AX74" s="35"/>
      <c r="AY74" s="35">
        <f t="shared" si="16"/>
        <v>0</v>
      </c>
      <c r="AZ74" s="35"/>
      <c r="BA74" s="35" t="s">
        <v>98</v>
      </c>
      <c r="BB74" s="55"/>
      <c r="BC74" s="35" t="s">
        <v>17</v>
      </c>
      <c r="BD74" s="35"/>
      <c r="BE74" s="35"/>
      <c r="BF74" s="35"/>
      <c r="BG74" s="35"/>
      <c r="BH74" s="35"/>
      <c r="BI74" s="35"/>
      <c r="BJ74" s="35"/>
      <c r="BK74" s="35"/>
      <c r="BL74" s="35"/>
      <c r="BM74" s="35">
        <f t="shared" si="22"/>
        <v>0</v>
      </c>
      <c r="BN74" s="54" t="s">
        <v>347</v>
      </c>
    </row>
    <row r="75" spans="1:67" ht="12.75" hidden="1" customHeight="1" x14ac:dyDescent="0.2">
      <c r="A75" s="35" t="s">
        <v>99</v>
      </c>
      <c r="C75" s="35" t="s">
        <v>66</v>
      </c>
      <c r="D75" s="35"/>
      <c r="E75" s="35">
        <f t="shared" si="13"/>
        <v>0</v>
      </c>
      <c r="F75" s="35"/>
      <c r="G75" s="35"/>
      <c r="H75" s="35"/>
      <c r="I75" s="35"/>
      <c r="J75" s="35"/>
      <c r="K75" s="35">
        <f t="shared" si="14"/>
        <v>0</v>
      </c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>
        <f t="shared" si="15"/>
        <v>0</v>
      </c>
      <c r="X75" s="35"/>
      <c r="Y75" s="35" t="s">
        <v>99</v>
      </c>
      <c r="Z75" s="55"/>
      <c r="AA75" s="35" t="s">
        <v>66</v>
      </c>
      <c r="AB75" s="35"/>
      <c r="AC75" s="35"/>
      <c r="AD75" s="35"/>
      <c r="AE75" s="35"/>
      <c r="AF75" s="35"/>
      <c r="AG75" s="35"/>
      <c r="AH75" s="35"/>
      <c r="AI75" s="45">
        <f t="shared" si="9"/>
        <v>0</v>
      </c>
      <c r="AJ75" s="45"/>
      <c r="AK75" s="35"/>
      <c r="AL75" s="35"/>
      <c r="AM75" s="35"/>
      <c r="AN75" s="35"/>
      <c r="AO75" s="35"/>
      <c r="AP75" s="35"/>
      <c r="AQ75" s="35"/>
      <c r="AR75" s="35"/>
      <c r="AS75" s="45">
        <f t="shared" si="12"/>
        <v>0</v>
      </c>
      <c r="AT75" s="45"/>
      <c r="AU75" s="35">
        <v>0</v>
      </c>
      <c r="AV75" s="35"/>
      <c r="AW75" s="35">
        <v>0</v>
      </c>
      <c r="AX75" s="35"/>
      <c r="AY75" s="35">
        <f t="shared" si="16"/>
        <v>0</v>
      </c>
      <c r="AZ75" s="35"/>
      <c r="BA75" s="35" t="s">
        <v>99</v>
      </c>
      <c r="BB75" s="55"/>
      <c r="BC75" s="35" t="s">
        <v>66</v>
      </c>
      <c r="BD75" s="35"/>
      <c r="BE75" s="35"/>
      <c r="BF75" s="35"/>
      <c r="BG75" s="35"/>
      <c r="BH75" s="35"/>
      <c r="BI75" s="35"/>
      <c r="BJ75" s="35"/>
      <c r="BK75" s="35"/>
      <c r="BL75" s="35"/>
      <c r="BM75" s="35">
        <f t="shared" si="22"/>
        <v>0</v>
      </c>
      <c r="BN75" s="54" t="s">
        <v>347</v>
      </c>
    </row>
    <row r="76" spans="1:67" ht="12.75" hidden="1" customHeight="1" x14ac:dyDescent="0.2">
      <c r="A76" s="35" t="s">
        <v>100</v>
      </c>
      <c r="C76" s="35" t="s">
        <v>27</v>
      </c>
      <c r="D76" s="35"/>
      <c r="E76" s="35">
        <f t="shared" si="13"/>
        <v>0</v>
      </c>
      <c r="F76" s="35"/>
      <c r="G76" s="35"/>
      <c r="H76" s="35"/>
      <c r="I76" s="35"/>
      <c r="J76" s="35"/>
      <c r="K76" s="35">
        <f t="shared" si="14"/>
        <v>0</v>
      </c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>
        <f t="shared" si="15"/>
        <v>0</v>
      </c>
      <c r="X76" s="35"/>
      <c r="Y76" s="35" t="s">
        <v>100</v>
      </c>
      <c r="Z76" s="55"/>
      <c r="AA76" s="35" t="s">
        <v>27</v>
      </c>
      <c r="AB76" s="35"/>
      <c r="AC76" s="35"/>
      <c r="AD76" s="35"/>
      <c r="AE76" s="35"/>
      <c r="AF76" s="35"/>
      <c r="AG76" s="35"/>
      <c r="AH76" s="35"/>
      <c r="AI76" s="45">
        <f t="shared" si="9"/>
        <v>0</v>
      </c>
      <c r="AJ76" s="45"/>
      <c r="AK76" s="35"/>
      <c r="AL76" s="35"/>
      <c r="AM76" s="35"/>
      <c r="AN76" s="35"/>
      <c r="AO76" s="35"/>
      <c r="AP76" s="35"/>
      <c r="AQ76" s="35"/>
      <c r="AR76" s="35"/>
      <c r="AS76" s="45">
        <f t="shared" si="12"/>
        <v>0</v>
      </c>
      <c r="AT76" s="45"/>
      <c r="AU76" s="35">
        <v>0</v>
      </c>
      <c r="AV76" s="35"/>
      <c r="AW76" s="35">
        <v>0</v>
      </c>
      <c r="AX76" s="35"/>
      <c r="AY76" s="35">
        <f t="shared" si="16"/>
        <v>0</v>
      </c>
      <c r="AZ76" s="35"/>
      <c r="BA76" s="35" t="s">
        <v>100</v>
      </c>
      <c r="BB76" s="55"/>
      <c r="BC76" s="35" t="s">
        <v>27</v>
      </c>
      <c r="BD76" s="35"/>
      <c r="BE76" s="35"/>
      <c r="BF76" s="35"/>
      <c r="BG76" s="35"/>
      <c r="BH76" s="35"/>
      <c r="BI76" s="35"/>
      <c r="BJ76" s="35"/>
      <c r="BK76" s="35"/>
      <c r="BL76" s="35"/>
      <c r="BM76" s="35">
        <f t="shared" si="22"/>
        <v>0</v>
      </c>
      <c r="BN76" s="54" t="s">
        <v>347</v>
      </c>
    </row>
    <row r="77" spans="1:67" ht="12.75" hidden="1" customHeight="1" x14ac:dyDescent="0.2">
      <c r="A77" s="35" t="s">
        <v>101</v>
      </c>
      <c r="C77" s="35" t="s">
        <v>30</v>
      </c>
      <c r="D77" s="35"/>
      <c r="E77" s="35">
        <f t="shared" si="13"/>
        <v>0</v>
      </c>
      <c r="F77" s="35"/>
      <c r="G77" s="35"/>
      <c r="H77" s="35"/>
      <c r="I77" s="35"/>
      <c r="J77" s="35"/>
      <c r="K77" s="35">
        <f t="shared" si="14"/>
        <v>0</v>
      </c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>
        <f t="shared" si="15"/>
        <v>0</v>
      </c>
      <c r="X77" s="35"/>
      <c r="Y77" s="35" t="s">
        <v>101</v>
      </c>
      <c r="Z77" s="55"/>
      <c r="AA77" s="35" t="s">
        <v>30</v>
      </c>
      <c r="AB77" s="35"/>
      <c r="AC77" s="35"/>
      <c r="AD77" s="35"/>
      <c r="AE77" s="35"/>
      <c r="AF77" s="35"/>
      <c r="AG77" s="35"/>
      <c r="AH77" s="35"/>
      <c r="AI77" s="45">
        <f t="shared" si="9"/>
        <v>0</v>
      </c>
      <c r="AJ77" s="45"/>
      <c r="AK77" s="35"/>
      <c r="AL77" s="35"/>
      <c r="AM77" s="35"/>
      <c r="AN77" s="35"/>
      <c r="AO77" s="35"/>
      <c r="AP77" s="35"/>
      <c r="AQ77" s="35"/>
      <c r="AR77" s="35"/>
      <c r="AS77" s="45">
        <f t="shared" si="12"/>
        <v>0</v>
      </c>
      <c r="AT77" s="45"/>
      <c r="AU77" s="35">
        <v>0</v>
      </c>
      <c r="AV77" s="35"/>
      <c r="AW77" s="35">
        <v>0</v>
      </c>
      <c r="AX77" s="35"/>
      <c r="AY77" s="35">
        <f t="shared" si="16"/>
        <v>0</v>
      </c>
      <c r="AZ77" s="35"/>
      <c r="BA77" s="35" t="s">
        <v>101</v>
      </c>
      <c r="BB77" s="55"/>
      <c r="BC77" s="35" t="s">
        <v>30</v>
      </c>
      <c r="BD77" s="35"/>
      <c r="BE77" s="35"/>
      <c r="BF77" s="35"/>
      <c r="BG77" s="35"/>
      <c r="BH77" s="35"/>
      <c r="BI77" s="35"/>
      <c r="BJ77" s="35"/>
      <c r="BK77" s="35"/>
      <c r="BL77" s="35"/>
      <c r="BM77" s="35">
        <f t="shared" si="22"/>
        <v>0</v>
      </c>
      <c r="BN77" s="54" t="s">
        <v>347</v>
      </c>
    </row>
    <row r="78" spans="1:67" ht="12.75" hidden="1" customHeight="1" x14ac:dyDescent="0.2">
      <c r="A78" s="35" t="s">
        <v>102</v>
      </c>
      <c r="C78" s="35" t="s">
        <v>103</v>
      </c>
      <c r="D78" s="35"/>
      <c r="E78" s="35">
        <f t="shared" si="13"/>
        <v>0</v>
      </c>
      <c r="F78" s="35"/>
      <c r="G78" s="35"/>
      <c r="H78" s="35"/>
      <c r="I78" s="35"/>
      <c r="J78" s="35"/>
      <c r="K78" s="35">
        <f t="shared" si="14"/>
        <v>0</v>
      </c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>
        <f t="shared" si="15"/>
        <v>0</v>
      </c>
      <c r="X78" s="35"/>
      <c r="Y78" s="35" t="s">
        <v>102</v>
      </c>
      <c r="Z78" s="55"/>
      <c r="AA78" s="35" t="s">
        <v>103</v>
      </c>
      <c r="AB78" s="35"/>
      <c r="AC78" s="35"/>
      <c r="AD78" s="35"/>
      <c r="AE78" s="35"/>
      <c r="AF78" s="35"/>
      <c r="AG78" s="35"/>
      <c r="AH78" s="35"/>
      <c r="AI78" s="45">
        <f t="shared" si="9"/>
        <v>0</v>
      </c>
      <c r="AJ78" s="45"/>
      <c r="AK78" s="35"/>
      <c r="AL78" s="35"/>
      <c r="AM78" s="35"/>
      <c r="AN78" s="35"/>
      <c r="AO78" s="35"/>
      <c r="AP78" s="35"/>
      <c r="AQ78" s="35"/>
      <c r="AR78" s="35"/>
      <c r="AS78" s="45">
        <f t="shared" si="12"/>
        <v>0</v>
      </c>
      <c r="AT78" s="45"/>
      <c r="AU78" s="35">
        <v>0</v>
      </c>
      <c r="AV78" s="35"/>
      <c r="AW78" s="35">
        <v>0</v>
      </c>
      <c r="AX78" s="35"/>
      <c r="AY78" s="35">
        <f t="shared" si="16"/>
        <v>0</v>
      </c>
      <c r="AZ78" s="35"/>
      <c r="BA78" s="35" t="s">
        <v>102</v>
      </c>
      <c r="BB78" s="55"/>
      <c r="BC78" s="35" t="s">
        <v>103</v>
      </c>
      <c r="BD78" s="35"/>
      <c r="BE78" s="35"/>
      <c r="BF78" s="35"/>
      <c r="BG78" s="35"/>
      <c r="BH78" s="35"/>
      <c r="BI78" s="35"/>
      <c r="BJ78" s="35"/>
      <c r="BK78" s="35"/>
      <c r="BL78" s="35"/>
      <c r="BM78" s="35">
        <f t="shared" si="22"/>
        <v>0</v>
      </c>
      <c r="BN78" s="54" t="s">
        <v>347</v>
      </c>
    </row>
    <row r="79" spans="1:67" ht="12.75" hidden="1" customHeight="1" x14ac:dyDescent="0.2">
      <c r="A79" s="35" t="s">
        <v>104</v>
      </c>
      <c r="C79" s="35" t="s">
        <v>13</v>
      </c>
      <c r="D79" s="35"/>
      <c r="E79" s="35">
        <f t="shared" si="13"/>
        <v>0</v>
      </c>
      <c r="F79" s="35"/>
      <c r="G79" s="35"/>
      <c r="H79" s="35"/>
      <c r="I79" s="35"/>
      <c r="J79" s="35"/>
      <c r="K79" s="35">
        <f t="shared" si="14"/>
        <v>0</v>
      </c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>
        <f t="shared" si="15"/>
        <v>0</v>
      </c>
      <c r="X79" s="35"/>
      <c r="Y79" s="35" t="s">
        <v>104</v>
      </c>
      <c r="Z79" s="55"/>
      <c r="AA79" s="35" t="s">
        <v>13</v>
      </c>
      <c r="AB79" s="35"/>
      <c r="AC79" s="35"/>
      <c r="AD79" s="35"/>
      <c r="AE79" s="35"/>
      <c r="AF79" s="35"/>
      <c r="AG79" s="35"/>
      <c r="AH79" s="35"/>
      <c r="AI79" s="45">
        <f t="shared" si="9"/>
        <v>0</v>
      </c>
      <c r="AJ79" s="45"/>
      <c r="AK79" s="35"/>
      <c r="AL79" s="35"/>
      <c r="AM79" s="35"/>
      <c r="AN79" s="35"/>
      <c r="AO79" s="35"/>
      <c r="AP79" s="35"/>
      <c r="AQ79" s="35"/>
      <c r="AR79" s="35"/>
      <c r="AS79" s="45">
        <f t="shared" si="12"/>
        <v>0</v>
      </c>
      <c r="AT79" s="45"/>
      <c r="AU79" s="35">
        <v>0</v>
      </c>
      <c r="AV79" s="35"/>
      <c r="AW79" s="35">
        <v>0</v>
      </c>
      <c r="AX79" s="35"/>
      <c r="AY79" s="35">
        <f t="shared" si="16"/>
        <v>0</v>
      </c>
      <c r="AZ79" s="35"/>
      <c r="BA79" s="35" t="s">
        <v>104</v>
      </c>
      <c r="BB79" s="55"/>
      <c r="BC79" s="35" t="s">
        <v>13</v>
      </c>
      <c r="BD79" s="35"/>
      <c r="BE79" s="35"/>
      <c r="BF79" s="35"/>
      <c r="BG79" s="35"/>
      <c r="BH79" s="35"/>
      <c r="BI79" s="35"/>
      <c r="BJ79" s="35"/>
      <c r="BK79" s="35"/>
      <c r="BL79" s="35"/>
      <c r="BM79" s="35">
        <f t="shared" si="22"/>
        <v>0</v>
      </c>
      <c r="BN79" s="54" t="s">
        <v>347</v>
      </c>
    </row>
    <row r="80" spans="1:67" ht="12.75" hidden="1" customHeight="1" x14ac:dyDescent="0.2">
      <c r="A80" s="35" t="s">
        <v>105</v>
      </c>
      <c r="C80" s="35" t="s">
        <v>27</v>
      </c>
      <c r="D80" s="35"/>
      <c r="E80" s="35">
        <f t="shared" si="13"/>
        <v>0</v>
      </c>
      <c r="F80" s="35"/>
      <c r="G80" s="35"/>
      <c r="H80" s="35"/>
      <c r="I80" s="35"/>
      <c r="J80" s="35"/>
      <c r="K80" s="35">
        <f t="shared" si="14"/>
        <v>0</v>
      </c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>
        <f t="shared" si="15"/>
        <v>0</v>
      </c>
      <c r="X80" s="35"/>
      <c r="Y80" s="35" t="s">
        <v>105</v>
      </c>
      <c r="Z80" s="55"/>
      <c r="AA80" s="35" t="s">
        <v>27</v>
      </c>
      <c r="AB80" s="35"/>
      <c r="AC80" s="35"/>
      <c r="AD80" s="35"/>
      <c r="AE80" s="35"/>
      <c r="AF80" s="35"/>
      <c r="AG80" s="35"/>
      <c r="AH80" s="35"/>
      <c r="AI80" s="45">
        <f t="shared" si="9"/>
        <v>0</v>
      </c>
      <c r="AJ80" s="45"/>
      <c r="AK80" s="35"/>
      <c r="AL80" s="35"/>
      <c r="AM80" s="35"/>
      <c r="AN80" s="35"/>
      <c r="AO80" s="35"/>
      <c r="AP80" s="35"/>
      <c r="AQ80" s="35"/>
      <c r="AR80" s="35"/>
      <c r="AS80" s="45">
        <f t="shared" si="12"/>
        <v>0</v>
      </c>
      <c r="AT80" s="45"/>
      <c r="AU80" s="35">
        <v>0</v>
      </c>
      <c r="AV80" s="35"/>
      <c r="AW80" s="35">
        <v>0</v>
      </c>
      <c r="AX80" s="35"/>
      <c r="AY80" s="35">
        <f t="shared" si="16"/>
        <v>0</v>
      </c>
      <c r="AZ80" s="35"/>
      <c r="BA80" s="35" t="s">
        <v>105</v>
      </c>
      <c r="BB80" s="55"/>
      <c r="BC80" s="35" t="s">
        <v>27</v>
      </c>
      <c r="BD80" s="35"/>
      <c r="BE80" s="35"/>
      <c r="BF80" s="35"/>
      <c r="BG80" s="35"/>
      <c r="BH80" s="35"/>
      <c r="BI80" s="35"/>
      <c r="BJ80" s="35"/>
      <c r="BK80" s="35"/>
      <c r="BL80" s="35"/>
      <c r="BM80" s="35">
        <f t="shared" si="22"/>
        <v>0</v>
      </c>
      <c r="BN80" s="54" t="s">
        <v>347</v>
      </c>
    </row>
    <row r="81" spans="1:67" ht="12.75" hidden="1" customHeight="1" x14ac:dyDescent="0.2">
      <c r="A81" s="35" t="s">
        <v>106</v>
      </c>
      <c r="C81" s="35" t="s">
        <v>107</v>
      </c>
      <c r="D81" s="35"/>
      <c r="E81" s="35">
        <f t="shared" si="13"/>
        <v>0</v>
      </c>
      <c r="F81" s="35"/>
      <c r="G81" s="35"/>
      <c r="H81" s="35"/>
      <c r="I81" s="35"/>
      <c r="J81" s="35"/>
      <c r="K81" s="35">
        <f t="shared" si="14"/>
        <v>0</v>
      </c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>
        <f t="shared" si="15"/>
        <v>0</v>
      </c>
      <c r="X81" s="35"/>
      <c r="Y81" s="35" t="s">
        <v>106</v>
      </c>
      <c r="Z81" s="55"/>
      <c r="AA81" s="35" t="s">
        <v>107</v>
      </c>
      <c r="AB81" s="35"/>
      <c r="AC81" s="35"/>
      <c r="AD81" s="35"/>
      <c r="AE81" s="35"/>
      <c r="AF81" s="35"/>
      <c r="AG81" s="35"/>
      <c r="AH81" s="35"/>
      <c r="AI81" s="45">
        <f t="shared" si="9"/>
        <v>0</v>
      </c>
      <c r="AJ81" s="45"/>
      <c r="AK81" s="35"/>
      <c r="AL81" s="35"/>
      <c r="AM81" s="35"/>
      <c r="AN81" s="35"/>
      <c r="AO81" s="35"/>
      <c r="AP81" s="35"/>
      <c r="AQ81" s="35"/>
      <c r="AR81" s="35"/>
      <c r="AS81" s="45">
        <f t="shared" si="12"/>
        <v>0</v>
      </c>
      <c r="AT81" s="45"/>
      <c r="AU81" s="35">
        <v>0</v>
      </c>
      <c r="AV81" s="35"/>
      <c r="AW81" s="35">
        <v>0</v>
      </c>
      <c r="AX81" s="35"/>
      <c r="AY81" s="35">
        <f t="shared" si="16"/>
        <v>0</v>
      </c>
      <c r="AZ81" s="35"/>
      <c r="BA81" s="35" t="s">
        <v>106</v>
      </c>
      <c r="BB81" s="55"/>
      <c r="BC81" s="35" t="s">
        <v>107</v>
      </c>
      <c r="BD81" s="35"/>
      <c r="BE81" s="35"/>
      <c r="BF81" s="35"/>
      <c r="BG81" s="35"/>
      <c r="BH81" s="35"/>
      <c r="BI81" s="35"/>
      <c r="BJ81" s="35"/>
      <c r="BK81" s="35"/>
      <c r="BL81" s="35"/>
      <c r="BM81" s="35">
        <f t="shared" si="22"/>
        <v>0</v>
      </c>
      <c r="BN81" s="54" t="s">
        <v>347</v>
      </c>
    </row>
    <row r="82" spans="1:67" ht="12.75" hidden="1" customHeight="1" x14ac:dyDescent="0.2">
      <c r="A82" s="35" t="s">
        <v>108</v>
      </c>
      <c r="C82" s="35" t="s">
        <v>45</v>
      </c>
      <c r="D82" s="35"/>
      <c r="E82" s="35">
        <f t="shared" si="13"/>
        <v>0</v>
      </c>
      <c r="F82" s="35"/>
      <c r="G82" s="35"/>
      <c r="H82" s="35"/>
      <c r="I82" s="35"/>
      <c r="J82" s="35"/>
      <c r="K82" s="35">
        <f t="shared" si="14"/>
        <v>0</v>
      </c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>
        <f t="shared" si="15"/>
        <v>0</v>
      </c>
      <c r="X82" s="35"/>
      <c r="Y82" s="35" t="s">
        <v>108</v>
      </c>
      <c r="Z82" s="55"/>
      <c r="AA82" s="35" t="s">
        <v>45</v>
      </c>
      <c r="AB82" s="35"/>
      <c r="AC82" s="35"/>
      <c r="AD82" s="35"/>
      <c r="AE82" s="35"/>
      <c r="AF82" s="35"/>
      <c r="AG82" s="35"/>
      <c r="AH82" s="35"/>
      <c r="AI82" s="45">
        <f t="shared" si="9"/>
        <v>0</v>
      </c>
      <c r="AJ82" s="45"/>
      <c r="AK82" s="35"/>
      <c r="AL82" s="35"/>
      <c r="AM82" s="35"/>
      <c r="AN82" s="35"/>
      <c r="AO82" s="35"/>
      <c r="AP82" s="35"/>
      <c r="AQ82" s="35"/>
      <c r="AR82" s="35"/>
      <c r="AS82" s="45">
        <f t="shared" si="12"/>
        <v>0</v>
      </c>
      <c r="AT82" s="45"/>
      <c r="AU82" s="35">
        <v>0</v>
      </c>
      <c r="AV82" s="35"/>
      <c r="AW82" s="35">
        <v>0</v>
      </c>
      <c r="AX82" s="35"/>
      <c r="AY82" s="35">
        <f t="shared" si="16"/>
        <v>0</v>
      </c>
      <c r="AZ82" s="35"/>
      <c r="BA82" s="35" t="s">
        <v>108</v>
      </c>
      <c r="BB82" s="55"/>
      <c r="BC82" s="35" t="s">
        <v>45</v>
      </c>
      <c r="BD82" s="35"/>
      <c r="BE82" s="35"/>
      <c r="BF82" s="35"/>
      <c r="BG82" s="35"/>
      <c r="BH82" s="35"/>
      <c r="BI82" s="35"/>
      <c r="BJ82" s="35"/>
      <c r="BK82" s="35"/>
      <c r="BL82" s="35"/>
      <c r="BM82" s="35">
        <f t="shared" si="22"/>
        <v>0</v>
      </c>
      <c r="BN82" s="54" t="s">
        <v>347</v>
      </c>
    </row>
    <row r="83" spans="1:67" ht="12.75" hidden="1" customHeight="1" x14ac:dyDescent="0.2">
      <c r="A83" s="35" t="s">
        <v>109</v>
      </c>
      <c r="C83" s="35" t="s">
        <v>110</v>
      </c>
      <c r="D83" s="35"/>
      <c r="E83" s="35">
        <f t="shared" si="13"/>
        <v>0</v>
      </c>
      <c r="F83" s="35"/>
      <c r="G83" s="35"/>
      <c r="H83" s="35"/>
      <c r="I83" s="35"/>
      <c r="J83" s="35"/>
      <c r="K83" s="35">
        <f t="shared" si="14"/>
        <v>0</v>
      </c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>
        <f t="shared" si="15"/>
        <v>0</v>
      </c>
      <c r="X83" s="35"/>
      <c r="Y83" s="35" t="s">
        <v>109</v>
      </c>
      <c r="Z83" s="55"/>
      <c r="AA83" s="35" t="s">
        <v>110</v>
      </c>
      <c r="AB83" s="35"/>
      <c r="AC83" s="35"/>
      <c r="AD83" s="35"/>
      <c r="AE83" s="35"/>
      <c r="AF83" s="35"/>
      <c r="AG83" s="35"/>
      <c r="AH83" s="35"/>
      <c r="AI83" s="45">
        <f t="shared" si="9"/>
        <v>0</v>
      </c>
      <c r="AJ83" s="45"/>
      <c r="AK83" s="35"/>
      <c r="AL83" s="35"/>
      <c r="AM83" s="35"/>
      <c r="AN83" s="35"/>
      <c r="AO83" s="35"/>
      <c r="AP83" s="35"/>
      <c r="AQ83" s="35"/>
      <c r="AR83" s="35"/>
      <c r="AS83" s="45">
        <f t="shared" si="12"/>
        <v>0</v>
      </c>
      <c r="AT83" s="45"/>
      <c r="AU83" s="35">
        <v>0</v>
      </c>
      <c r="AV83" s="35"/>
      <c r="AW83" s="35">
        <v>0</v>
      </c>
      <c r="AX83" s="35"/>
      <c r="AY83" s="35">
        <f t="shared" si="16"/>
        <v>0</v>
      </c>
      <c r="AZ83" s="35"/>
      <c r="BA83" s="35" t="s">
        <v>109</v>
      </c>
      <c r="BB83" s="55"/>
      <c r="BC83" s="35" t="s">
        <v>110</v>
      </c>
      <c r="BD83" s="35"/>
      <c r="BE83" s="35"/>
      <c r="BF83" s="35"/>
      <c r="BG83" s="35"/>
      <c r="BH83" s="35"/>
      <c r="BI83" s="35"/>
      <c r="BJ83" s="35"/>
      <c r="BK83" s="35"/>
      <c r="BL83" s="35"/>
      <c r="BM83" s="35">
        <f t="shared" si="22"/>
        <v>0</v>
      </c>
      <c r="BN83" s="54" t="s">
        <v>347</v>
      </c>
    </row>
    <row r="84" spans="1:67" ht="12.75" hidden="1" customHeight="1" x14ac:dyDescent="0.2">
      <c r="A84" s="35" t="s">
        <v>43</v>
      </c>
      <c r="C84" s="35" t="s">
        <v>111</v>
      </c>
      <c r="D84" s="35"/>
      <c r="E84" s="35">
        <f t="shared" si="13"/>
        <v>0</v>
      </c>
      <c r="F84" s="35"/>
      <c r="G84" s="35"/>
      <c r="H84" s="35"/>
      <c r="I84" s="35"/>
      <c r="J84" s="35"/>
      <c r="K84" s="35">
        <f t="shared" si="14"/>
        <v>0</v>
      </c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>
        <f t="shared" si="15"/>
        <v>0</v>
      </c>
      <c r="X84" s="35"/>
      <c r="Y84" s="35" t="s">
        <v>43</v>
      </c>
      <c r="Z84" s="55"/>
      <c r="AA84" s="35" t="s">
        <v>111</v>
      </c>
      <c r="AB84" s="35"/>
      <c r="AC84" s="35"/>
      <c r="AD84" s="35"/>
      <c r="AE84" s="35"/>
      <c r="AF84" s="35"/>
      <c r="AG84" s="35"/>
      <c r="AH84" s="35"/>
      <c r="AI84" s="45">
        <f t="shared" si="9"/>
        <v>0</v>
      </c>
      <c r="AJ84" s="45"/>
      <c r="AK84" s="35"/>
      <c r="AL84" s="35"/>
      <c r="AM84" s="35"/>
      <c r="AN84" s="35"/>
      <c r="AO84" s="35"/>
      <c r="AP84" s="35"/>
      <c r="AQ84" s="35"/>
      <c r="AR84" s="35"/>
      <c r="AS84" s="45">
        <f t="shared" si="12"/>
        <v>0</v>
      </c>
      <c r="AT84" s="45"/>
      <c r="AU84" s="35">
        <v>0</v>
      </c>
      <c r="AV84" s="35"/>
      <c r="AW84" s="35">
        <v>0</v>
      </c>
      <c r="AX84" s="35"/>
      <c r="AY84" s="35">
        <f t="shared" si="16"/>
        <v>0</v>
      </c>
      <c r="AZ84" s="35"/>
      <c r="BA84" s="35" t="s">
        <v>43</v>
      </c>
      <c r="BB84" s="55"/>
      <c r="BC84" s="35" t="s">
        <v>111</v>
      </c>
      <c r="BD84" s="35"/>
      <c r="BE84" s="35"/>
      <c r="BF84" s="35"/>
      <c r="BG84" s="35"/>
      <c r="BH84" s="35"/>
      <c r="BI84" s="35"/>
      <c r="BJ84" s="35"/>
      <c r="BK84" s="35"/>
      <c r="BL84" s="35"/>
      <c r="BM84" s="35">
        <f t="shared" si="22"/>
        <v>0</v>
      </c>
      <c r="BN84" s="54" t="s">
        <v>347</v>
      </c>
    </row>
    <row r="85" spans="1:67" ht="12.75" hidden="1" customHeight="1" x14ac:dyDescent="0.2">
      <c r="A85" s="35" t="s">
        <v>112</v>
      </c>
      <c r="C85" s="35" t="s">
        <v>76</v>
      </c>
      <c r="D85" s="35"/>
      <c r="E85" s="35">
        <f t="shared" si="13"/>
        <v>0</v>
      </c>
      <c r="F85" s="35"/>
      <c r="G85" s="35"/>
      <c r="H85" s="35"/>
      <c r="I85" s="35"/>
      <c r="J85" s="35"/>
      <c r="K85" s="35">
        <f t="shared" si="14"/>
        <v>0</v>
      </c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>
        <f t="shared" si="15"/>
        <v>0</v>
      </c>
      <c r="X85" s="35"/>
      <c r="Y85" s="35" t="s">
        <v>112</v>
      </c>
      <c r="Z85" s="55"/>
      <c r="AA85" s="35" t="s">
        <v>76</v>
      </c>
      <c r="AB85" s="35"/>
      <c r="AC85" s="35"/>
      <c r="AD85" s="35"/>
      <c r="AE85" s="35"/>
      <c r="AF85" s="35"/>
      <c r="AG85" s="35"/>
      <c r="AH85" s="35"/>
      <c r="AI85" s="45">
        <f t="shared" si="9"/>
        <v>0</v>
      </c>
      <c r="AJ85" s="45"/>
      <c r="AK85" s="35"/>
      <c r="AL85" s="35"/>
      <c r="AM85" s="35"/>
      <c r="AN85" s="35"/>
      <c r="AO85" s="35"/>
      <c r="AP85" s="35"/>
      <c r="AQ85" s="35"/>
      <c r="AR85" s="35"/>
      <c r="AS85" s="45">
        <f t="shared" si="12"/>
        <v>0</v>
      </c>
      <c r="AT85" s="45"/>
      <c r="AU85" s="35">
        <v>0</v>
      </c>
      <c r="AV85" s="35"/>
      <c r="AW85" s="35">
        <v>0</v>
      </c>
      <c r="AX85" s="35"/>
      <c r="AY85" s="35">
        <f t="shared" si="16"/>
        <v>0</v>
      </c>
      <c r="AZ85" s="35"/>
      <c r="BA85" s="35" t="s">
        <v>112</v>
      </c>
      <c r="BB85" s="55"/>
      <c r="BC85" s="35" t="s">
        <v>76</v>
      </c>
      <c r="BD85" s="35"/>
      <c r="BE85" s="35"/>
      <c r="BF85" s="35"/>
      <c r="BG85" s="35"/>
      <c r="BH85" s="35"/>
      <c r="BI85" s="35"/>
      <c r="BJ85" s="35"/>
      <c r="BK85" s="35"/>
      <c r="BL85" s="35"/>
      <c r="BM85" s="35">
        <f t="shared" si="22"/>
        <v>0</v>
      </c>
      <c r="BN85" s="54" t="s">
        <v>347</v>
      </c>
    </row>
    <row r="86" spans="1:67" ht="12.75" hidden="1" customHeight="1" x14ac:dyDescent="0.2">
      <c r="A86" s="35" t="s">
        <v>113</v>
      </c>
      <c r="C86" s="35" t="s">
        <v>43</v>
      </c>
      <c r="D86" s="35"/>
      <c r="E86" s="35">
        <f t="shared" si="13"/>
        <v>0</v>
      </c>
      <c r="F86" s="35"/>
      <c r="G86" s="35"/>
      <c r="H86" s="35"/>
      <c r="I86" s="35"/>
      <c r="J86" s="35"/>
      <c r="K86" s="35">
        <f t="shared" si="14"/>
        <v>0</v>
      </c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>
        <f t="shared" si="15"/>
        <v>0</v>
      </c>
      <c r="X86" s="35"/>
      <c r="Y86" s="35" t="s">
        <v>113</v>
      </c>
      <c r="Z86" s="55"/>
      <c r="AA86" s="35" t="s">
        <v>43</v>
      </c>
      <c r="AB86" s="35"/>
      <c r="AC86" s="35"/>
      <c r="AD86" s="35"/>
      <c r="AE86" s="35"/>
      <c r="AF86" s="35"/>
      <c r="AG86" s="35"/>
      <c r="AH86" s="35"/>
      <c r="AI86" s="45">
        <f t="shared" si="9"/>
        <v>0</v>
      </c>
      <c r="AJ86" s="45"/>
      <c r="AK86" s="35"/>
      <c r="AL86" s="35"/>
      <c r="AM86" s="35"/>
      <c r="AN86" s="35"/>
      <c r="AO86" s="35"/>
      <c r="AP86" s="35"/>
      <c r="AQ86" s="35"/>
      <c r="AR86" s="35"/>
      <c r="AS86" s="45">
        <f t="shared" si="12"/>
        <v>0</v>
      </c>
      <c r="AT86" s="45"/>
      <c r="AU86" s="35">
        <v>0</v>
      </c>
      <c r="AV86" s="35"/>
      <c r="AW86" s="35">
        <v>0</v>
      </c>
      <c r="AX86" s="35"/>
      <c r="AY86" s="35">
        <f t="shared" si="16"/>
        <v>0</v>
      </c>
      <c r="AZ86" s="35"/>
      <c r="BA86" s="35" t="s">
        <v>113</v>
      </c>
      <c r="BB86" s="55"/>
      <c r="BC86" s="35" t="s">
        <v>43</v>
      </c>
      <c r="BD86" s="35"/>
      <c r="BE86" s="35"/>
      <c r="BF86" s="35"/>
      <c r="BG86" s="35"/>
      <c r="BH86" s="35"/>
      <c r="BI86" s="35"/>
      <c r="BJ86" s="35"/>
      <c r="BK86" s="35"/>
      <c r="BL86" s="35"/>
      <c r="BM86" s="35">
        <f t="shared" si="22"/>
        <v>0</v>
      </c>
      <c r="BN86" s="54" t="s">
        <v>347</v>
      </c>
    </row>
    <row r="87" spans="1:67" ht="12.75" customHeight="1" x14ac:dyDescent="0.2">
      <c r="A87" s="44" t="s">
        <v>489</v>
      </c>
      <c r="C87" s="35" t="s">
        <v>57</v>
      </c>
      <c r="D87" s="35"/>
      <c r="E87" s="35">
        <f t="shared" si="13"/>
        <v>13539387</v>
      </c>
      <c r="F87" s="35"/>
      <c r="G87" s="35">
        <v>8876318</v>
      </c>
      <c r="H87" s="35"/>
      <c r="I87" s="35">
        <v>22415705</v>
      </c>
      <c r="J87" s="35"/>
      <c r="K87" s="35">
        <f t="shared" si="14"/>
        <v>2103132</v>
      </c>
      <c r="L87" s="35"/>
      <c r="M87" s="35">
        <v>11828876</v>
      </c>
      <c r="N87" s="35"/>
      <c r="O87" s="35">
        <v>13932008</v>
      </c>
      <c r="P87" s="35"/>
      <c r="Q87" s="35">
        <v>2163361</v>
      </c>
      <c r="R87" s="35"/>
      <c r="S87" s="35">
        <v>0</v>
      </c>
      <c r="T87" s="35"/>
      <c r="U87" s="35">
        <v>6320336</v>
      </c>
      <c r="V87" s="35"/>
      <c r="W87" s="35">
        <f t="shared" si="15"/>
        <v>8483697</v>
      </c>
      <c r="X87" s="35"/>
      <c r="Y87" s="44" t="s">
        <v>489</v>
      </c>
      <c r="Z87" s="55"/>
      <c r="AA87" s="35" t="s">
        <v>57</v>
      </c>
      <c r="AB87" s="35"/>
      <c r="AC87" s="35">
        <v>12214744</v>
      </c>
      <c r="AD87" s="35"/>
      <c r="AE87" s="35">
        <f>11292606-205879</f>
        <v>11086727</v>
      </c>
      <c r="AF87" s="35"/>
      <c r="AG87" s="35">
        <v>205879</v>
      </c>
      <c r="AH87" s="35"/>
      <c r="AI87" s="45">
        <f t="shared" si="9"/>
        <v>922138</v>
      </c>
      <c r="AJ87" s="45"/>
      <c r="AK87" s="35">
        <v>-541016</v>
      </c>
      <c r="AL87" s="35"/>
      <c r="AM87" s="35">
        <v>0</v>
      </c>
      <c r="AN87" s="35"/>
      <c r="AO87" s="35">
        <v>0</v>
      </c>
      <c r="AP87" s="35"/>
      <c r="AQ87" s="35">
        <v>0</v>
      </c>
      <c r="AR87" s="35"/>
      <c r="AS87" s="45">
        <f t="shared" si="12"/>
        <v>381122</v>
      </c>
      <c r="AT87" s="45"/>
      <c r="AU87" s="35">
        <v>0</v>
      </c>
      <c r="AV87" s="35"/>
      <c r="AW87" s="35">
        <v>0</v>
      </c>
      <c r="AX87" s="35"/>
      <c r="AY87" s="35">
        <f t="shared" si="16"/>
        <v>11436255</v>
      </c>
      <c r="AZ87" s="35"/>
      <c r="BA87" s="44" t="s">
        <v>489</v>
      </c>
      <c r="BB87" s="55"/>
      <c r="BC87" s="35" t="s">
        <v>57</v>
      </c>
      <c r="BD87" s="35"/>
      <c r="BE87" s="35">
        <f>9104365+717635</f>
        <v>9822000</v>
      </c>
      <c r="BF87" s="35"/>
      <c r="BG87" s="35">
        <v>0</v>
      </c>
      <c r="BH87" s="35"/>
      <c r="BI87" s="35">
        <v>2365024</v>
      </c>
      <c r="BJ87" s="35"/>
      <c r="BK87" s="35">
        <f>241746+117741+37805</f>
        <v>397292</v>
      </c>
      <c r="BL87" s="35"/>
      <c r="BM87" s="35">
        <f>SUM(BE87:BK87)</f>
        <v>12584316</v>
      </c>
      <c r="BN87" s="54" t="s">
        <v>347</v>
      </c>
      <c r="BO87" s="55" t="s">
        <v>315</v>
      </c>
    </row>
    <row r="88" spans="1:67" ht="12.75" hidden="1" customHeight="1" x14ac:dyDescent="0.2">
      <c r="A88" s="35" t="s">
        <v>114</v>
      </c>
      <c r="C88" s="35" t="s">
        <v>27</v>
      </c>
      <c r="D88" s="35"/>
      <c r="E88" s="35">
        <f t="shared" si="13"/>
        <v>0</v>
      </c>
      <c r="F88" s="35"/>
      <c r="G88" s="35"/>
      <c r="H88" s="35"/>
      <c r="I88" s="35"/>
      <c r="J88" s="35"/>
      <c r="K88" s="35">
        <f t="shared" si="14"/>
        <v>0</v>
      </c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>
        <f t="shared" si="15"/>
        <v>0</v>
      </c>
      <c r="X88" s="35"/>
      <c r="Y88" s="35" t="s">
        <v>114</v>
      </c>
      <c r="Z88" s="55"/>
      <c r="AA88" s="35" t="s">
        <v>27</v>
      </c>
      <c r="AB88" s="35"/>
      <c r="AC88" s="35"/>
      <c r="AD88" s="35"/>
      <c r="AE88" s="35"/>
      <c r="AF88" s="35"/>
      <c r="AG88" s="35"/>
      <c r="AH88" s="35"/>
      <c r="AI88" s="45">
        <f t="shared" si="9"/>
        <v>0</v>
      </c>
      <c r="AJ88" s="45"/>
      <c r="AK88" s="35"/>
      <c r="AL88" s="35"/>
      <c r="AM88" s="35"/>
      <c r="AN88" s="35"/>
      <c r="AO88" s="35"/>
      <c r="AP88" s="35"/>
      <c r="AQ88" s="35"/>
      <c r="AR88" s="35"/>
      <c r="AS88" s="45">
        <f t="shared" si="12"/>
        <v>0</v>
      </c>
      <c r="AT88" s="45"/>
      <c r="AU88" s="35">
        <v>0</v>
      </c>
      <c r="AV88" s="35"/>
      <c r="AW88" s="35">
        <v>0</v>
      </c>
      <c r="AX88" s="35"/>
      <c r="AY88" s="35">
        <f t="shared" si="16"/>
        <v>0</v>
      </c>
      <c r="AZ88" s="35"/>
      <c r="BA88" s="35" t="s">
        <v>114</v>
      </c>
      <c r="BB88" s="55"/>
      <c r="BC88" s="35" t="s">
        <v>27</v>
      </c>
      <c r="BD88" s="35"/>
      <c r="BE88" s="35"/>
      <c r="BF88" s="35"/>
      <c r="BG88" s="35"/>
      <c r="BH88" s="35"/>
      <c r="BI88" s="35"/>
      <c r="BJ88" s="35"/>
      <c r="BK88" s="35"/>
      <c r="BL88" s="35"/>
      <c r="BM88" s="35">
        <f t="shared" si="22"/>
        <v>0</v>
      </c>
      <c r="BN88" s="54" t="s">
        <v>347</v>
      </c>
    </row>
    <row r="89" spans="1:67" ht="12.75" hidden="1" customHeight="1" x14ac:dyDescent="0.2">
      <c r="A89" s="35" t="s">
        <v>115</v>
      </c>
      <c r="C89" s="35" t="s">
        <v>19</v>
      </c>
      <c r="D89" s="35"/>
      <c r="E89" s="35">
        <f t="shared" si="13"/>
        <v>0</v>
      </c>
      <c r="F89" s="35"/>
      <c r="G89" s="35"/>
      <c r="H89" s="35"/>
      <c r="I89" s="35"/>
      <c r="J89" s="35"/>
      <c r="K89" s="35">
        <f t="shared" si="14"/>
        <v>0</v>
      </c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>
        <f t="shared" si="15"/>
        <v>0</v>
      </c>
      <c r="X89" s="35"/>
      <c r="Y89" s="35" t="s">
        <v>115</v>
      </c>
      <c r="Z89" s="55"/>
      <c r="AA89" s="35" t="s">
        <v>19</v>
      </c>
      <c r="AB89" s="35"/>
      <c r="AC89" s="35"/>
      <c r="AD89" s="35"/>
      <c r="AE89" s="35"/>
      <c r="AF89" s="35"/>
      <c r="AG89" s="35"/>
      <c r="AH89" s="35"/>
      <c r="AI89" s="45">
        <f t="shared" si="9"/>
        <v>0</v>
      </c>
      <c r="AJ89" s="45"/>
      <c r="AK89" s="35"/>
      <c r="AL89" s="35"/>
      <c r="AM89" s="35"/>
      <c r="AN89" s="35"/>
      <c r="AO89" s="35"/>
      <c r="AP89" s="35"/>
      <c r="AQ89" s="35"/>
      <c r="AR89" s="35"/>
      <c r="AS89" s="45">
        <f t="shared" si="12"/>
        <v>0</v>
      </c>
      <c r="AT89" s="45"/>
      <c r="AU89" s="35">
        <v>0</v>
      </c>
      <c r="AV89" s="35"/>
      <c r="AW89" s="35">
        <v>0</v>
      </c>
      <c r="AX89" s="35"/>
      <c r="AY89" s="35">
        <f t="shared" si="16"/>
        <v>0</v>
      </c>
      <c r="AZ89" s="35"/>
      <c r="BA89" s="35" t="s">
        <v>115</v>
      </c>
      <c r="BB89" s="55"/>
      <c r="BC89" s="35" t="s">
        <v>19</v>
      </c>
      <c r="BD89" s="35"/>
      <c r="BE89" s="35"/>
      <c r="BF89" s="35"/>
      <c r="BG89" s="35"/>
      <c r="BH89" s="35"/>
      <c r="BI89" s="35"/>
      <c r="BJ89" s="35"/>
      <c r="BK89" s="35"/>
      <c r="BL89" s="35"/>
      <c r="BM89" s="35">
        <f t="shared" si="22"/>
        <v>0</v>
      </c>
      <c r="BN89" s="54" t="s">
        <v>347</v>
      </c>
    </row>
    <row r="90" spans="1:67" ht="12.75" hidden="1" customHeight="1" x14ac:dyDescent="0.2">
      <c r="A90" s="35" t="s">
        <v>116</v>
      </c>
      <c r="C90" s="35" t="s">
        <v>80</v>
      </c>
      <c r="D90" s="35"/>
      <c r="E90" s="35">
        <f t="shared" si="13"/>
        <v>0</v>
      </c>
      <c r="F90" s="35"/>
      <c r="G90" s="35"/>
      <c r="H90" s="35"/>
      <c r="I90" s="35"/>
      <c r="J90" s="35"/>
      <c r="K90" s="35">
        <f t="shared" si="14"/>
        <v>0</v>
      </c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>
        <f t="shared" si="15"/>
        <v>0</v>
      </c>
      <c r="X90" s="35"/>
      <c r="Y90" s="35" t="s">
        <v>116</v>
      </c>
      <c r="Z90" s="55"/>
      <c r="AA90" s="35" t="s">
        <v>80</v>
      </c>
      <c r="AB90" s="35"/>
      <c r="AC90" s="35"/>
      <c r="AD90" s="35"/>
      <c r="AE90" s="35"/>
      <c r="AF90" s="35"/>
      <c r="AG90" s="35"/>
      <c r="AH90" s="35"/>
      <c r="AI90" s="45">
        <f t="shared" si="9"/>
        <v>0</v>
      </c>
      <c r="AJ90" s="45"/>
      <c r="AK90" s="35"/>
      <c r="AL90" s="35"/>
      <c r="AM90" s="35"/>
      <c r="AN90" s="35"/>
      <c r="AO90" s="35"/>
      <c r="AP90" s="35"/>
      <c r="AQ90" s="35"/>
      <c r="AR90" s="35"/>
      <c r="AS90" s="45">
        <f t="shared" si="12"/>
        <v>0</v>
      </c>
      <c r="AT90" s="45"/>
      <c r="AU90" s="35">
        <v>0</v>
      </c>
      <c r="AV90" s="35"/>
      <c r="AW90" s="35">
        <v>0</v>
      </c>
      <c r="AX90" s="35"/>
      <c r="AY90" s="35">
        <f t="shared" si="16"/>
        <v>0</v>
      </c>
      <c r="AZ90" s="35"/>
      <c r="BA90" s="35" t="s">
        <v>116</v>
      </c>
      <c r="BB90" s="55"/>
      <c r="BC90" s="35" t="s">
        <v>80</v>
      </c>
      <c r="BD90" s="35"/>
      <c r="BE90" s="35"/>
      <c r="BF90" s="35"/>
      <c r="BG90" s="35"/>
      <c r="BH90" s="35"/>
      <c r="BI90" s="35"/>
      <c r="BJ90" s="35"/>
      <c r="BK90" s="35"/>
      <c r="BL90" s="35"/>
      <c r="BM90" s="35">
        <f t="shared" si="22"/>
        <v>0</v>
      </c>
      <c r="BN90" s="54" t="s">
        <v>347</v>
      </c>
    </row>
    <row r="91" spans="1:67" ht="12.75" hidden="1" customHeight="1" x14ac:dyDescent="0.2">
      <c r="A91" s="44" t="s">
        <v>117</v>
      </c>
      <c r="C91" s="35" t="s">
        <v>43</v>
      </c>
      <c r="D91" s="35"/>
      <c r="E91" s="35">
        <f t="shared" si="13"/>
        <v>0</v>
      </c>
      <c r="F91" s="35"/>
      <c r="G91" s="35"/>
      <c r="H91" s="35"/>
      <c r="I91" s="35"/>
      <c r="J91" s="35"/>
      <c r="K91" s="35">
        <f t="shared" si="14"/>
        <v>0</v>
      </c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>
        <f t="shared" si="15"/>
        <v>0</v>
      </c>
      <c r="X91" s="35"/>
      <c r="Y91" s="44" t="s">
        <v>117</v>
      </c>
      <c r="Z91" s="55"/>
      <c r="AA91" s="35" t="s">
        <v>43</v>
      </c>
      <c r="AB91" s="35"/>
      <c r="AC91" s="35"/>
      <c r="AD91" s="35"/>
      <c r="AE91" s="35"/>
      <c r="AF91" s="35"/>
      <c r="AG91" s="35"/>
      <c r="AH91" s="35"/>
      <c r="AI91" s="45">
        <f t="shared" si="9"/>
        <v>0</v>
      </c>
      <c r="AJ91" s="45"/>
      <c r="AK91" s="35"/>
      <c r="AL91" s="35"/>
      <c r="AM91" s="35"/>
      <c r="AN91" s="35"/>
      <c r="AO91" s="35"/>
      <c r="AP91" s="35"/>
      <c r="AQ91" s="35"/>
      <c r="AR91" s="35"/>
      <c r="AS91" s="45">
        <f t="shared" si="12"/>
        <v>0</v>
      </c>
      <c r="AT91" s="45"/>
      <c r="AU91" s="35">
        <v>0</v>
      </c>
      <c r="AV91" s="35"/>
      <c r="AW91" s="35">
        <v>0</v>
      </c>
      <c r="AX91" s="35"/>
      <c r="AY91" s="35">
        <f t="shared" si="16"/>
        <v>0</v>
      </c>
      <c r="AZ91" s="35"/>
      <c r="BA91" s="44" t="s">
        <v>117</v>
      </c>
      <c r="BB91" s="55"/>
      <c r="BC91" s="35" t="s">
        <v>43</v>
      </c>
      <c r="BD91" s="35"/>
      <c r="BE91" s="35"/>
      <c r="BF91" s="35"/>
      <c r="BG91" s="35"/>
      <c r="BH91" s="35"/>
      <c r="BI91" s="35"/>
      <c r="BJ91" s="35"/>
      <c r="BK91" s="35"/>
      <c r="BL91" s="35"/>
      <c r="BM91" s="35">
        <f t="shared" si="22"/>
        <v>0</v>
      </c>
      <c r="BN91" s="54" t="s">
        <v>347</v>
      </c>
    </row>
    <row r="92" spans="1:67" ht="12.75" hidden="1" customHeight="1" x14ac:dyDescent="0.2">
      <c r="A92" s="35" t="s">
        <v>118</v>
      </c>
      <c r="C92" s="35" t="s">
        <v>13</v>
      </c>
      <c r="D92" s="35"/>
      <c r="E92" s="35">
        <f t="shared" si="13"/>
        <v>0</v>
      </c>
      <c r="F92" s="35"/>
      <c r="G92" s="35"/>
      <c r="H92" s="35"/>
      <c r="I92" s="35"/>
      <c r="J92" s="35"/>
      <c r="K92" s="35">
        <f t="shared" si="14"/>
        <v>0</v>
      </c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>
        <f t="shared" si="15"/>
        <v>0</v>
      </c>
      <c r="X92" s="35"/>
      <c r="Y92" s="35" t="s">
        <v>118</v>
      </c>
      <c r="Z92" s="55"/>
      <c r="AA92" s="35" t="s">
        <v>13</v>
      </c>
      <c r="AB92" s="35"/>
      <c r="AC92" s="35"/>
      <c r="AD92" s="35"/>
      <c r="AE92" s="35"/>
      <c r="AF92" s="35"/>
      <c r="AG92" s="35"/>
      <c r="AH92" s="35"/>
      <c r="AI92" s="45">
        <f t="shared" si="9"/>
        <v>0</v>
      </c>
      <c r="AJ92" s="45"/>
      <c r="AK92" s="35"/>
      <c r="AL92" s="35"/>
      <c r="AM92" s="35"/>
      <c r="AN92" s="35"/>
      <c r="AO92" s="35"/>
      <c r="AP92" s="35"/>
      <c r="AQ92" s="35"/>
      <c r="AR92" s="35"/>
      <c r="AS92" s="45">
        <f t="shared" si="12"/>
        <v>0</v>
      </c>
      <c r="AT92" s="45"/>
      <c r="AU92" s="35">
        <v>0</v>
      </c>
      <c r="AV92" s="35"/>
      <c r="AW92" s="35">
        <v>0</v>
      </c>
      <c r="AX92" s="35"/>
      <c r="AY92" s="35">
        <f t="shared" si="16"/>
        <v>0</v>
      </c>
      <c r="AZ92" s="35"/>
      <c r="BA92" s="35" t="s">
        <v>118</v>
      </c>
      <c r="BB92" s="55"/>
      <c r="BC92" s="35" t="s">
        <v>13</v>
      </c>
      <c r="BD92" s="35"/>
      <c r="BE92" s="35"/>
      <c r="BF92" s="35"/>
      <c r="BG92" s="35"/>
      <c r="BH92" s="35"/>
      <c r="BI92" s="35"/>
      <c r="BJ92" s="35"/>
      <c r="BK92" s="35"/>
      <c r="BL92" s="35"/>
      <c r="BM92" s="35">
        <f t="shared" si="22"/>
        <v>0</v>
      </c>
      <c r="BN92" s="54" t="s">
        <v>347</v>
      </c>
    </row>
    <row r="93" spans="1:67" ht="12.75" hidden="1" customHeight="1" x14ac:dyDescent="0.2">
      <c r="A93" s="35" t="s">
        <v>120</v>
      </c>
      <c r="C93" s="35" t="s">
        <v>121</v>
      </c>
      <c r="D93" s="35"/>
      <c r="E93" s="35">
        <f t="shared" si="13"/>
        <v>0</v>
      </c>
      <c r="F93" s="35"/>
      <c r="G93" s="35"/>
      <c r="H93" s="35"/>
      <c r="I93" s="35"/>
      <c r="J93" s="35"/>
      <c r="K93" s="35">
        <f t="shared" si="14"/>
        <v>0</v>
      </c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>
        <f t="shared" si="15"/>
        <v>0</v>
      </c>
      <c r="X93" s="35"/>
      <c r="Y93" s="35" t="s">
        <v>120</v>
      </c>
      <c r="Z93" s="55"/>
      <c r="AA93" s="35" t="s">
        <v>121</v>
      </c>
      <c r="AB93" s="35"/>
      <c r="AC93" s="35"/>
      <c r="AD93" s="35"/>
      <c r="AE93" s="35"/>
      <c r="AF93" s="35"/>
      <c r="AG93" s="35"/>
      <c r="AH93" s="35"/>
      <c r="AI93" s="45">
        <f t="shared" si="9"/>
        <v>0</v>
      </c>
      <c r="AJ93" s="45"/>
      <c r="AK93" s="35"/>
      <c r="AL93" s="35"/>
      <c r="AM93" s="35"/>
      <c r="AN93" s="35"/>
      <c r="AO93" s="35"/>
      <c r="AP93" s="35"/>
      <c r="AQ93" s="35"/>
      <c r="AR93" s="35"/>
      <c r="AS93" s="45">
        <f t="shared" si="12"/>
        <v>0</v>
      </c>
      <c r="AT93" s="45"/>
      <c r="AU93" s="35">
        <v>0</v>
      </c>
      <c r="AV93" s="35"/>
      <c r="AW93" s="35">
        <v>0</v>
      </c>
      <c r="AX93" s="35"/>
      <c r="AY93" s="35">
        <f t="shared" si="16"/>
        <v>0</v>
      </c>
      <c r="AZ93" s="35"/>
      <c r="BA93" s="35" t="s">
        <v>120</v>
      </c>
      <c r="BB93" s="55"/>
      <c r="BC93" s="35" t="s">
        <v>121</v>
      </c>
      <c r="BD93" s="35"/>
      <c r="BE93" s="35"/>
      <c r="BF93" s="35"/>
      <c r="BG93" s="35"/>
      <c r="BH93" s="35"/>
      <c r="BI93" s="35"/>
      <c r="BJ93" s="35"/>
      <c r="BK93" s="35"/>
      <c r="BL93" s="35"/>
      <c r="BM93" s="35">
        <f t="shared" si="22"/>
        <v>0</v>
      </c>
      <c r="BN93" s="54" t="s">
        <v>347</v>
      </c>
      <c r="BO93" s="55" t="s">
        <v>371</v>
      </c>
    </row>
    <row r="94" spans="1:67" ht="12.75" hidden="1" customHeight="1" x14ac:dyDescent="0.2">
      <c r="A94" s="35" t="s">
        <v>122</v>
      </c>
      <c r="C94" s="35" t="s">
        <v>43</v>
      </c>
      <c r="D94" s="35"/>
      <c r="E94" s="35">
        <f t="shared" si="13"/>
        <v>0</v>
      </c>
      <c r="F94" s="35"/>
      <c r="G94" s="35"/>
      <c r="H94" s="35"/>
      <c r="I94" s="35"/>
      <c r="J94" s="35"/>
      <c r="K94" s="35">
        <f t="shared" si="14"/>
        <v>0</v>
      </c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>
        <f t="shared" si="15"/>
        <v>0</v>
      </c>
      <c r="X94" s="35"/>
      <c r="Y94" s="35" t="s">
        <v>122</v>
      </c>
      <c r="Z94" s="55"/>
      <c r="AA94" s="35" t="s">
        <v>43</v>
      </c>
      <c r="AB94" s="35"/>
      <c r="AC94" s="35"/>
      <c r="AD94" s="35"/>
      <c r="AE94" s="35"/>
      <c r="AF94" s="35"/>
      <c r="AG94" s="35"/>
      <c r="AH94" s="35"/>
      <c r="AI94" s="45">
        <f t="shared" si="9"/>
        <v>0</v>
      </c>
      <c r="AJ94" s="45"/>
      <c r="AK94" s="35"/>
      <c r="AL94" s="35"/>
      <c r="AM94" s="35"/>
      <c r="AN94" s="35"/>
      <c r="AO94" s="35"/>
      <c r="AP94" s="35"/>
      <c r="AQ94" s="35"/>
      <c r="AR94" s="35"/>
      <c r="AS94" s="45">
        <f t="shared" si="12"/>
        <v>0</v>
      </c>
      <c r="AT94" s="45"/>
      <c r="AU94" s="35">
        <v>0</v>
      </c>
      <c r="AV94" s="35"/>
      <c r="AW94" s="35">
        <v>0</v>
      </c>
      <c r="AX94" s="35"/>
      <c r="AY94" s="35">
        <f t="shared" si="16"/>
        <v>0</v>
      </c>
      <c r="AZ94" s="35"/>
      <c r="BA94" s="35" t="s">
        <v>122</v>
      </c>
      <c r="BB94" s="55"/>
      <c r="BC94" s="35" t="s">
        <v>43</v>
      </c>
      <c r="BD94" s="35"/>
      <c r="BE94" s="35"/>
      <c r="BF94" s="35"/>
      <c r="BG94" s="35"/>
      <c r="BH94" s="35"/>
      <c r="BI94" s="35"/>
      <c r="BJ94" s="35"/>
      <c r="BK94" s="35"/>
      <c r="BL94" s="35"/>
      <c r="BM94" s="35">
        <f t="shared" si="22"/>
        <v>0</v>
      </c>
      <c r="BN94" s="54" t="s">
        <v>347</v>
      </c>
    </row>
    <row r="95" spans="1:67" ht="12.75" hidden="1" customHeight="1" x14ac:dyDescent="0.2">
      <c r="A95" s="35" t="s">
        <v>507</v>
      </c>
      <c r="C95" s="35" t="s">
        <v>43</v>
      </c>
      <c r="D95" s="35"/>
      <c r="E95" s="35">
        <f t="shared" si="13"/>
        <v>0</v>
      </c>
      <c r="F95" s="35"/>
      <c r="G95" s="35"/>
      <c r="H95" s="35"/>
      <c r="I95" s="35"/>
      <c r="J95" s="35"/>
      <c r="K95" s="35">
        <f t="shared" si="14"/>
        <v>0</v>
      </c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>
        <f t="shared" si="15"/>
        <v>0</v>
      </c>
      <c r="X95" s="35"/>
      <c r="Y95" s="35" t="s">
        <v>507</v>
      </c>
      <c r="Z95" s="51"/>
      <c r="AA95" s="35" t="s">
        <v>43</v>
      </c>
      <c r="AB95" s="35"/>
      <c r="AC95" s="35"/>
      <c r="AD95" s="35"/>
      <c r="AE95" s="35"/>
      <c r="AF95" s="35"/>
      <c r="AG95" s="35"/>
      <c r="AH95" s="35"/>
      <c r="AI95" s="45">
        <f t="shared" si="9"/>
        <v>0</v>
      </c>
      <c r="AJ95" s="45"/>
      <c r="AK95" s="35"/>
      <c r="AL95" s="35"/>
      <c r="AM95" s="35"/>
      <c r="AN95" s="35"/>
      <c r="AO95" s="35"/>
      <c r="AP95" s="35"/>
      <c r="AQ95" s="35"/>
      <c r="AR95" s="35"/>
      <c r="AS95" s="45">
        <f t="shared" si="12"/>
        <v>0</v>
      </c>
      <c r="AT95" s="45"/>
      <c r="AU95" s="35"/>
      <c r="AV95" s="35"/>
      <c r="AW95" s="35"/>
      <c r="AX95" s="35"/>
      <c r="AY95" s="35">
        <f t="shared" si="16"/>
        <v>0</v>
      </c>
      <c r="AZ95" s="35"/>
      <c r="BA95" s="35" t="s">
        <v>507</v>
      </c>
      <c r="BB95" s="51"/>
      <c r="BC95" s="35" t="s">
        <v>43</v>
      </c>
      <c r="BD95" s="35"/>
      <c r="BE95" s="35"/>
      <c r="BF95" s="35"/>
      <c r="BG95" s="35"/>
      <c r="BH95" s="35"/>
      <c r="BI95" s="35"/>
      <c r="BJ95" s="35"/>
      <c r="BK95" s="35"/>
      <c r="BL95" s="35"/>
      <c r="BM95" s="35">
        <f t="shared" si="22"/>
        <v>0</v>
      </c>
      <c r="BN95" s="54"/>
    </row>
    <row r="96" spans="1:67" ht="12.75" customHeight="1" x14ac:dyDescent="0.2">
      <c r="A96" s="44" t="s">
        <v>45</v>
      </c>
      <c r="C96" s="35" t="s">
        <v>103</v>
      </c>
      <c r="D96" s="35"/>
      <c r="E96" s="35">
        <f t="shared" si="13"/>
        <v>44101930</v>
      </c>
      <c r="F96" s="35"/>
      <c r="G96" s="35">
        <v>134343192</v>
      </c>
      <c r="H96" s="35"/>
      <c r="I96" s="35">
        <v>178445122</v>
      </c>
      <c r="J96" s="35"/>
      <c r="K96" s="35">
        <f t="shared" si="14"/>
        <v>14395879</v>
      </c>
      <c r="L96" s="35"/>
      <c r="M96" s="35">
        <v>150404302</v>
      </c>
      <c r="N96" s="35"/>
      <c r="O96" s="35">
        <v>164800181</v>
      </c>
      <c r="P96" s="35"/>
      <c r="Q96" s="35">
        <v>-23739636</v>
      </c>
      <c r="R96" s="35"/>
      <c r="S96" s="35">
        <f>6338953+4000000</f>
        <v>10338953</v>
      </c>
      <c r="T96" s="35"/>
      <c r="U96" s="35">
        <v>27045624</v>
      </c>
      <c r="V96" s="35"/>
      <c r="W96" s="35">
        <f t="shared" si="15"/>
        <v>13644941</v>
      </c>
      <c r="X96" s="35"/>
      <c r="Y96" s="44" t="s">
        <v>45</v>
      </c>
      <c r="Z96" s="55"/>
      <c r="AA96" s="35" t="s">
        <v>103</v>
      </c>
      <c r="AB96" s="35"/>
      <c r="AC96" s="35">
        <v>63327834</v>
      </c>
      <c r="AD96" s="35"/>
      <c r="AE96" s="35">
        <f>53157718-10751205</f>
        <v>42406513</v>
      </c>
      <c r="AF96" s="35"/>
      <c r="AG96" s="35">
        <v>10751205</v>
      </c>
      <c r="AH96" s="35"/>
      <c r="AI96" s="45">
        <f t="shared" si="9"/>
        <v>10170116</v>
      </c>
      <c r="AJ96" s="45"/>
      <c r="AK96" s="35">
        <v>-8171269</v>
      </c>
      <c r="AL96" s="35"/>
      <c r="AM96" s="35">
        <v>0</v>
      </c>
      <c r="AN96" s="35"/>
      <c r="AO96" s="35">
        <v>0</v>
      </c>
      <c r="AP96" s="35"/>
      <c r="AQ96" s="35">
        <v>0</v>
      </c>
      <c r="AR96" s="35"/>
      <c r="AS96" s="45">
        <f t="shared" si="12"/>
        <v>1998847</v>
      </c>
      <c r="AT96" s="45"/>
      <c r="AU96" s="35">
        <v>0</v>
      </c>
      <c r="AV96" s="35"/>
      <c r="AW96" s="35">
        <v>0</v>
      </c>
      <c r="AX96" s="35"/>
      <c r="AY96" s="35">
        <f t="shared" si="16"/>
        <v>29706051</v>
      </c>
      <c r="AZ96" s="35"/>
      <c r="BA96" s="44" t="s">
        <v>45</v>
      </c>
      <c r="BB96" s="55"/>
      <c r="BC96" s="35" t="s">
        <v>103</v>
      </c>
      <c r="BD96" s="35"/>
      <c r="BE96" s="35">
        <v>0</v>
      </c>
      <c r="BF96" s="35"/>
      <c r="BG96" s="35">
        <f>149385006+7450000</f>
        <v>156835006</v>
      </c>
      <c r="BH96" s="35"/>
      <c r="BI96" s="35">
        <v>0</v>
      </c>
      <c r="BJ96" s="35"/>
      <c r="BK96" s="35">
        <f>684544+1019296</f>
        <v>1703840</v>
      </c>
      <c r="BL96" s="35"/>
      <c r="BM96" s="35">
        <f t="shared" si="22"/>
        <v>158538846</v>
      </c>
      <c r="BN96" s="54" t="s">
        <v>347</v>
      </c>
      <c r="BO96" s="55" t="s">
        <v>315</v>
      </c>
    </row>
    <row r="97" spans="1:66" ht="12.75" hidden="1" customHeight="1" x14ac:dyDescent="0.2">
      <c r="A97" s="44" t="s">
        <v>123</v>
      </c>
      <c r="C97" s="35" t="s">
        <v>45</v>
      </c>
      <c r="D97" s="35"/>
      <c r="E97" s="35">
        <f t="shared" si="13"/>
        <v>0</v>
      </c>
      <c r="F97" s="35"/>
      <c r="G97" s="35"/>
      <c r="H97" s="35"/>
      <c r="I97" s="35"/>
      <c r="J97" s="35"/>
      <c r="K97" s="35">
        <f t="shared" si="14"/>
        <v>0</v>
      </c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>
        <f t="shared" si="15"/>
        <v>0</v>
      </c>
      <c r="X97" s="35"/>
      <c r="Y97" s="44" t="s">
        <v>123</v>
      </c>
      <c r="Z97" s="55"/>
      <c r="AA97" s="35" t="s">
        <v>45</v>
      </c>
      <c r="AB97" s="35"/>
      <c r="AC97" s="35"/>
      <c r="AD97" s="35"/>
      <c r="AE97" s="35"/>
      <c r="AF97" s="35"/>
      <c r="AG97" s="35"/>
      <c r="AH97" s="35"/>
      <c r="AI97" s="45">
        <f t="shared" si="9"/>
        <v>0</v>
      </c>
      <c r="AJ97" s="45"/>
      <c r="AK97" s="35"/>
      <c r="AL97" s="35"/>
      <c r="AM97" s="35"/>
      <c r="AN97" s="35"/>
      <c r="AO97" s="35"/>
      <c r="AP97" s="35"/>
      <c r="AQ97" s="35"/>
      <c r="AR97" s="35"/>
      <c r="AS97" s="45">
        <f t="shared" si="12"/>
        <v>0</v>
      </c>
      <c r="AT97" s="45"/>
      <c r="AU97" s="35">
        <v>0</v>
      </c>
      <c r="AV97" s="35"/>
      <c r="AW97" s="35">
        <v>0</v>
      </c>
      <c r="AX97" s="35"/>
      <c r="AY97" s="35">
        <f t="shared" si="16"/>
        <v>0</v>
      </c>
      <c r="AZ97" s="35"/>
      <c r="BA97" s="44" t="s">
        <v>123</v>
      </c>
      <c r="BB97" s="55"/>
      <c r="BC97" s="35" t="s">
        <v>45</v>
      </c>
      <c r="BD97" s="35"/>
      <c r="BE97" s="35"/>
      <c r="BF97" s="35"/>
      <c r="BG97" s="35"/>
      <c r="BH97" s="35"/>
      <c r="BI97" s="35"/>
      <c r="BJ97" s="35"/>
      <c r="BK97" s="35"/>
      <c r="BL97" s="35"/>
      <c r="BM97" s="35">
        <f t="shared" si="22"/>
        <v>0</v>
      </c>
      <c r="BN97" s="54" t="s">
        <v>347</v>
      </c>
    </row>
    <row r="98" spans="1:66" ht="12.75" hidden="1" customHeight="1" x14ac:dyDescent="0.2">
      <c r="A98" s="35" t="s">
        <v>124</v>
      </c>
      <c r="C98" s="35" t="s">
        <v>125</v>
      </c>
      <c r="D98" s="35"/>
      <c r="E98" s="35">
        <f t="shared" si="13"/>
        <v>0</v>
      </c>
      <c r="F98" s="35"/>
      <c r="G98" s="35"/>
      <c r="H98" s="35"/>
      <c r="I98" s="35"/>
      <c r="J98" s="35"/>
      <c r="K98" s="35">
        <f t="shared" si="14"/>
        <v>0</v>
      </c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>
        <f t="shared" si="15"/>
        <v>0</v>
      </c>
      <c r="X98" s="35"/>
      <c r="Y98" s="35" t="s">
        <v>124</v>
      </c>
      <c r="Z98" s="55"/>
      <c r="AA98" s="35" t="s">
        <v>125</v>
      </c>
      <c r="AB98" s="35"/>
      <c r="AC98" s="35"/>
      <c r="AD98" s="35"/>
      <c r="AE98" s="35"/>
      <c r="AF98" s="35"/>
      <c r="AG98" s="35"/>
      <c r="AH98" s="35"/>
      <c r="AI98" s="45">
        <f t="shared" si="9"/>
        <v>0</v>
      </c>
      <c r="AJ98" s="45"/>
      <c r="AK98" s="35"/>
      <c r="AL98" s="35"/>
      <c r="AM98" s="35"/>
      <c r="AN98" s="35"/>
      <c r="AO98" s="35"/>
      <c r="AP98" s="35"/>
      <c r="AQ98" s="35"/>
      <c r="AR98" s="35"/>
      <c r="AS98" s="45">
        <f t="shared" si="12"/>
        <v>0</v>
      </c>
      <c r="AT98" s="45"/>
      <c r="AU98" s="35">
        <v>0</v>
      </c>
      <c r="AV98" s="35"/>
      <c r="AW98" s="35">
        <v>0</v>
      </c>
      <c r="AX98" s="35"/>
      <c r="AY98" s="35">
        <f t="shared" si="16"/>
        <v>0</v>
      </c>
      <c r="AZ98" s="35"/>
      <c r="BA98" s="35" t="s">
        <v>124</v>
      </c>
      <c r="BB98" s="55"/>
      <c r="BC98" s="35" t="s">
        <v>125</v>
      </c>
      <c r="BD98" s="35"/>
      <c r="BE98" s="35"/>
      <c r="BF98" s="35"/>
      <c r="BG98" s="35"/>
      <c r="BH98" s="35"/>
      <c r="BI98" s="35"/>
      <c r="BJ98" s="35"/>
      <c r="BK98" s="35"/>
      <c r="BL98" s="35"/>
      <c r="BM98" s="35">
        <f t="shared" si="22"/>
        <v>0</v>
      </c>
      <c r="BN98" s="54" t="s">
        <v>347</v>
      </c>
    </row>
    <row r="99" spans="1:66" ht="12.75" hidden="1" customHeight="1" x14ac:dyDescent="0.2">
      <c r="A99" s="35" t="s">
        <v>126</v>
      </c>
      <c r="C99" s="35" t="s">
        <v>27</v>
      </c>
      <c r="D99" s="35"/>
      <c r="E99" s="35">
        <f t="shared" si="13"/>
        <v>0</v>
      </c>
      <c r="F99" s="35"/>
      <c r="G99" s="35"/>
      <c r="H99" s="35"/>
      <c r="I99" s="35"/>
      <c r="J99" s="35"/>
      <c r="K99" s="35">
        <f t="shared" si="14"/>
        <v>0</v>
      </c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>
        <f t="shared" si="15"/>
        <v>0</v>
      </c>
      <c r="X99" s="35"/>
      <c r="Y99" s="35" t="s">
        <v>126</v>
      </c>
      <c r="Z99" s="55"/>
      <c r="AA99" s="35" t="s">
        <v>27</v>
      </c>
      <c r="AB99" s="35"/>
      <c r="AC99" s="35"/>
      <c r="AD99" s="35"/>
      <c r="AE99" s="35"/>
      <c r="AF99" s="35"/>
      <c r="AG99" s="35"/>
      <c r="AH99" s="35"/>
      <c r="AI99" s="45">
        <f t="shared" si="9"/>
        <v>0</v>
      </c>
      <c r="AJ99" s="45"/>
      <c r="AK99" s="35"/>
      <c r="AL99" s="35"/>
      <c r="AM99" s="35"/>
      <c r="AN99" s="35"/>
      <c r="AO99" s="35"/>
      <c r="AP99" s="35"/>
      <c r="AQ99" s="35"/>
      <c r="AR99" s="35"/>
      <c r="AS99" s="45">
        <f t="shared" si="12"/>
        <v>0</v>
      </c>
      <c r="AT99" s="45"/>
      <c r="AU99" s="35">
        <v>0</v>
      </c>
      <c r="AV99" s="35"/>
      <c r="AW99" s="35">
        <v>0</v>
      </c>
      <c r="AX99" s="35"/>
      <c r="AY99" s="35">
        <f t="shared" si="16"/>
        <v>0</v>
      </c>
      <c r="AZ99" s="35"/>
      <c r="BA99" s="35" t="s">
        <v>126</v>
      </c>
      <c r="BB99" s="55"/>
      <c r="BC99" s="35" t="s">
        <v>27</v>
      </c>
      <c r="BD99" s="35"/>
      <c r="BE99" s="35"/>
      <c r="BF99" s="35"/>
      <c r="BG99" s="35"/>
      <c r="BH99" s="35"/>
      <c r="BI99" s="35"/>
      <c r="BJ99" s="35"/>
      <c r="BK99" s="35"/>
      <c r="BL99" s="35"/>
      <c r="BM99" s="35">
        <f t="shared" si="22"/>
        <v>0</v>
      </c>
      <c r="BN99" s="54" t="s">
        <v>347</v>
      </c>
    </row>
    <row r="100" spans="1:66" ht="12.75" hidden="1" customHeight="1" x14ac:dyDescent="0.2">
      <c r="A100" s="35" t="s">
        <v>127</v>
      </c>
      <c r="C100" s="35" t="s">
        <v>43</v>
      </c>
      <c r="D100" s="35"/>
      <c r="E100" s="35">
        <f t="shared" si="13"/>
        <v>0</v>
      </c>
      <c r="F100" s="35"/>
      <c r="G100" s="35"/>
      <c r="H100" s="35"/>
      <c r="I100" s="35"/>
      <c r="J100" s="35"/>
      <c r="K100" s="35">
        <f t="shared" si="14"/>
        <v>0</v>
      </c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>
        <f t="shared" si="15"/>
        <v>0</v>
      </c>
      <c r="X100" s="35"/>
      <c r="Y100" s="35" t="s">
        <v>127</v>
      </c>
      <c r="Z100" s="55"/>
      <c r="AA100" s="35" t="s">
        <v>43</v>
      </c>
      <c r="AB100" s="35"/>
      <c r="AC100" s="35"/>
      <c r="AD100" s="35"/>
      <c r="AE100" s="35"/>
      <c r="AF100" s="35"/>
      <c r="AG100" s="35"/>
      <c r="AH100" s="35"/>
      <c r="AI100" s="45">
        <f t="shared" ref="AI100:AI165" si="23">+AC100-AE100-AG100</f>
        <v>0</v>
      </c>
      <c r="AJ100" s="45"/>
      <c r="AK100" s="35"/>
      <c r="AL100" s="35"/>
      <c r="AM100" s="35"/>
      <c r="AN100" s="35"/>
      <c r="AO100" s="35"/>
      <c r="AP100" s="35"/>
      <c r="AQ100" s="35"/>
      <c r="AR100" s="35"/>
      <c r="AS100" s="45">
        <f t="shared" si="12"/>
        <v>0</v>
      </c>
      <c r="AT100" s="45"/>
      <c r="AU100" s="35">
        <v>0</v>
      </c>
      <c r="AV100" s="35"/>
      <c r="AW100" s="35">
        <v>0</v>
      </c>
      <c r="AX100" s="35"/>
      <c r="AY100" s="35">
        <f t="shared" si="16"/>
        <v>0</v>
      </c>
      <c r="AZ100" s="35"/>
      <c r="BA100" s="35" t="s">
        <v>127</v>
      </c>
      <c r="BB100" s="55"/>
      <c r="BC100" s="35" t="s">
        <v>43</v>
      </c>
      <c r="BD100" s="35"/>
      <c r="BE100" s="35"/>
      <c r="BF100" s="35"/>
      <c r="BG100" s="35"/>
      <c r="BH100" s="35"/>
      <c r="BI100" s="35"/>
      <c r="BJ100" s="35"/>
      <c r="BK100" s="35"/>
      <c r="BL100" s="35"/>
      <c r="BM100" s="35">
        <f t="shared" ref="BM100:BM132" si="24">SUM(BE100:BK100)</f>
        <v>0</v>
      </c>
      <c r="BN100" s="54" t="s">
        <v>347</v>
      </c>
    </row>
    <row r="101" spans="1:66" ht="12.75" hidden="1" customHeight="1" x14ac:dyDescent="0.2">
      <c r="A101" s="35" t="s">
        <v>128</v>
      </c>
      <c r="C101" s="35" t="s">
        <v>119</v>
      </c>
      <c r="D101" s="35"/>
      <c r="E101" s="35">
        <f t="shared" si="13"/>
        <v>0</v>
      </c>
      <c r="F101" s="35"/>
      <c r="G101" s="35"/>
      <c r="H101" s="35"/>
      <c r="I101" s="35"/>
      <c r="J101" s="35"/>
      <c r="K101" s="35">
        <f t="shared" si="14"/>
        <v>0</v>
      </c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>
        <f t="shared" si="15"/>
        <v>0</v>
      </c>
      <c r="X101" s="35"/>
      <c r="Y101" s="35" t="s">
        <v>128</v>
      </c>
      <c r="Z101" s="55"/>
      <c r="AA101" s="35" t="s">
        <v>119</v>
      </c>
      <c r="AB101" s="35"/>
      <c r="AC101" s="35"/>
      <c r="AD101" s="35"/>
      <c r="AE101" s="35"/>
      <c r="AF101" s="35"/>
      <c r="AG101" s="35"/>
      <c r="AH101" s="35"/>
      <c r="AI101" s="45">
        <f t="shared" si="23"/>
        <v>0</v>
      </c>
      <c r="AJ101" s="45"/>
      <c r="AK101" s="35"/>
      <c r="AL101" s="35"/>
      <c r="AM101" s="35"/>
      <c r="AN101" s="35"/>
      <c r="AO101" s="35"/>
      <c r="AP101" s="35"/>
      <c r="AQ101" s="35"/>
      <c r="AR101" s="35"/>
      <c r="AS101" s="45">
        <f t="shared" si="12"/>
        <v>0</v>
      </c>
      <c r="AT101" s="45"/>
      <c r="AU101" s="35">
        <v>0</v>
      </c>
      <c r="AV101" s="35"/>
      <c r="AW101" s="35">
        <v>0</v>
      </c>
      <c r="AX101" s="35"/>
      <c r="AY101" s="35">
        <f t="shared" si="16"/>
        <v>0</v>
      </c>
      <c r="AZ101" s="35"/>
      <c r="BA101" s="35" t="s">
        <v>128</v>
      </c>
      <c r="BB101" s="55"/>
      <c r="BC101" s="35" t="s">
        <v>119</v>
      </c>
      <c r="BD101" s="35"/>
      <c r="BE101" s="35"/>
      <c r="BF101" s="35"/>
      <c r="BG101" s="35"/>
      <c r="BH101" s="35"/>
      <c r="BI101" s="35"/>
      <c r="BJ101" s="35"/>
      <c r="BK101" s="35"/>
      <c r="BL101" s="35"/>
      <c r="BM101" s="35">
        <f t="shared" si="24"/>
        <v>0</v>
      </c>
      <c r="BN101" s="54" t="s">
        <v>347</v>
      </c>
    </row>
    <row r="102" spans="1:66" ht="12.75" customHeight="1" x14ac:dyDescent="0.2">
      <c r="A102" s="35" t="s">
        <v>129</v>
      </c>
      <c r="B102" s="55"/>
      <c r="C102" s="35" t="s">
        <v>80</v>
      </c>
      <c r="D102" s="35"/>
      <c r="E102" s="35">
        <f t="shared" si="13"/>
        <v>4853440</v>
      </c>
      <c r="F102" s="35"/>
      <c r="G102" s="35">
        <v>4113359</v>
      </c>
      <c r="H102" s="35"/>
      <c r="I102" s="35">
        <v>8966799</v>
      </c>
      <c r="J102" s="35"/>
      <c r="K102" s="35">
        <f t="shared" si="14"/>
        <v>2161722</v>
      </c>
      <c r="L102" s="35"/>
      <c r="M102" s="35">
        <v>47329</v>
      </c>
      <c r="N102" s="35"/>
      <c r="O102" s="35">
        <v>2209051</v>
      </c>
      <c r="P102" s="35"/>
      <c r="Q102" s="35">
        <v>2189059</v>
      </c>
      <c r="R102" s="35"/>
      <c r="S102" s="35">
        <v>0</v>
      </c>
      <c r="T102" s="35"/>
      <c r="U102" s="35">
        <v>4568689</v>
      </c>
      <c r="V102" s="35"/>
      <c r="W102" s="35">
        <f t="shared" si="15"/>
        <v>6757748</v>
      </c>
      <c r="X102" s="35"/>
      <c r="Y102" s="35" t="s">
        <v>129</v>
      </c>
      <c r="Z102" s="55"/>
      <c r="AA102" s="35" t="s">
        <v>80</v>
      </c>
      <c r="AB102" s="35"/>
      <c r="AC102" s="35">
        <v>6057125</v>
      </c>
      <c r="AD102" s="35"/>
      <c r="AE102" s="35">
        <f>6212638-358852</f>
        <v>5853786</v>
      </c>
      <c r="AF102" s="35"/>
      <c r="AG102" s="35">
        <v>358852</v>
      </c>
      <c r="AH102" s="35"/>
      <c r="AI102" s="45">
        <f t="shared" si="23"/>
        <v>-155513</v>
      </c>
      <c r="AJ102" s="45"/>
      <c r="AK102" s="35">
        <v>-231895</v>
      </c>
      <c r="AL102" s="35"/>
      <c r="AM102" s="35">
        <v>0</v>
      </c>
      <c r="AN102" s="35"/>
      <c r="AO102" s="35">
        <v>0</v>
      </c>
      <c r="AP102" s="35"/>
      <c r="AQ102" s="35">
        <v>0</v>
      </c>
      <c r="AR102" s="35"/>
      <c r="AS102" s="45">
        <f t="shared" si="12"/>
        <v>-387408</v>
      </c>
      <c r="AT102" s="45"/>
      <c r="AU102" s="35">
        <v>0</v>
      </c>
      <c r="AV102" s="35"/>
      <c r="AW102" s="35">
        <v>0</v>
      </c>
      <c r="AX102" s="35"/>
      <c r="AY102" s="35">
        <f t="shared" si="16"/>
        <v>2691718</v>
      </c>
      <c r="AZ102" s="35"/>
      <c r="BA102" s="35" t="s">
        <v>129</v>
      </c>
      <c r="BB102" s="55"/>
      <c r="BC102" s="35" t="s">
        <v>80</v>
      </c>
      <c r="BD102" s="35"/>
      <c r="BE102" s="35">
        <v>0</v>
      </c>
      <c r="BF102" s="35"/>
      <c r="BG102" s="35">
        <v>0</v>
      </c>
      <c r="BH102" s="35"/>
      <c r="BI102" s="35">
        <v>0</v>
      </c>
      <c r="BJ102" s="35"/>
      <c r="BK102" s="35">
        <f>47329+46374</f>
        <v>93703</v>
      </c>
      <c r="BL102" s="35"/>
      <c r="BM102" s="35">
        <f t="shared" si="24"/>
        <v>93703</v>
      </c>
      <c r="BN102" s="54" t="s">
        <v>347</v>
      </c>
    </row>
    <row r="103" spans="1:66" ht="3" hidden="1" customHeight="1" x14ac:dyDescent="0.2">
      <c r="A103" s="35" t="s">
        <v>130</v>
      </c>
      <c r="C103" s="35" t="s">
        <v>66</v>
      </c>
      <c r="D103" s="35"/>
      <c r="E103" s="35">
        <f t="shared" si="13"/>
        <v>0</v>
      </c>
      <c r="F103" s="35"/>
      <c r="G103" s="35"/>
      <c r="H103" s="35"/>
      <c r="I103" s="35"/>
      <c r="J103" s="35"/>
      <c r="K103" s="35">
        <f t="shared" si="14"/>
        <v>0</v>
      </c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>
        <f t="shared" si="15"/>
        <v>0</v>
      </c>
      <c r="X103" s="35"/>
      <c r="Y103" s="35" t="s">
        <v>130</v>
      </c>
      <c r="Z103" s="55"/>
      <c r="AA103" s="35" t="s">
        <v>66</v>
      </c>
      <c r="AB103" s="35"/>
      <c r="AC103" s="35"/>
      <c r="AD103" s="35"/>
      <c r="AE103" s="35"/>
      <c r="AF103" s="35"/>
      <c r="AG103" s="35"/>
      <c r="AH103" s="35"/>
      <c r="AI103" s="45">
        <f t="shared" si="23"/>
        <v>0</v>
      </c>
      <c r="AJ103" s="45"/>
      <c r="AK103" s="35"/>
      <c r="AL103" s="35"/>
      <c r="AM103" s="35"/>
      <c r="AN103" s="35"/>
      <c r="AO103" s="35"/>
      <c r="AP103" s="35"/>
      <c r="AQ103" s="35"/>
      <c r="AR103" s="35"/>
      <c r="AS103" s="45">
        <f t="shared" si="12"/>
        <v>0</v>
      </c>
      <c r="AT103" s="45"/>
      <c r="AU103" s="35">
        <v>0</v>
      </c>
      <c r="AV103" s="35"/>
      <c r="AW103" s="35">
        <v>0</v>
      </c>
      <c r="AX103" s="35"/>
      <c r="AY103" s="35">
        <f t="shared" si="16"/>
        <v>0</v>
      </c>
      <c r="AZ103" s="35"/>
      <c r="BA103" s="35" t="s">
        <v>130</v>
      </c>
      <c r="BB103" s="55"/>
      <c r="BC103" s="35" t="s">
        <v>66</v>
      </c>
      <c r="BD103" s="35"/>
      <c r="BE103" s="35"/>
      <c r="BF103" s="35"/>
      <c r="BG103" s="35"/>
      <c r="BH103" s="35"/>
      <c r="BI103" s="35"/>
      <c r="BJ103" s="35"/>
      <c r="BK103" s="35"/>
      <c r="BL103" s="35"/>
      <c r="BM103" s="35">
        <f t="shared" si="24"/>
        <v>0</v>
      </c>
      <c r="BN103" s="54" t="s">
        <v>347</v>
      </c>
    </row>
    <row r="104" spans="1:66" ht="12.75" customHeight="1" x14ac:dyDescent="0.2">
      <c r="A104" s="35" t="s">
        <v>131</v>
      </c>
      <c r="C104" s="35" t="s">
        <v>13</v>
      </c>
      <c r="D104" s="35"/>
      <c r="E104" s="35">
        <f t="shared" si="13"/>
        <v>17336159</v>
      </c>
      <c r="F104" s="35"/>
      <c r="G104" s="35">
        <v>9252890</v>
      </c>
      <c r="H104" s="35"/>
      <c r="I104" s="35">
        <v>26589049</v>
      </c>
      <c r="J104" s="35"/>
      <c r="K104" s="35">
        <f t="shared" si="14"/>
        <v>2040722</v>
      </c>
      <c r="L104" s="35"/>
      <c r="M104" s="35">
        <v>2709513</v>
      </c>
      <c r="N104" s="35"/>
      <c r="O104" s="35">
        <v>4750235</v>
      </c>
      <c r="P104" s="35"/>
      <c r="Q104" s="35">
        <v>6209225</v>
      </c>
      <c r="R104" s="35"/>
      <c r="S104" s="35">
        <v>0</v>
      </c>
      <c r="T104" s="35"/>
      <c r="U104" s="35">
        <v>15629589</v>
      </c>
      <c r="V104" s="35"/>
      <c r="W104" s="35">
        <f t="shared" si="15"/>
        <v>21838814</v>
      </c>
      <c r="X104" s="35"/>
      <c r="Y104" s="35" t="s">
        <v>131</v>
      </c>
      <c r="Z104" s="55"/>
      <c r="AA104" s="35" t="s">
        <v>13</v>
      </c>
      <c r="AB104" s="35"/>
      <c r="AC104" s="35">
        <v>18611228</v>
      </c>
      <c r="AD104" s="35"/>
      <c r="AE104" s="35">
        <f>18579091-463004</f>
        <v>18116087</v>
      </c>
      <c r="AF104" s="35"/>
      <c r="AG104" s="35">
        <v>463004</v>
      </c>
      <c r="AH104" s="35"/>
      <c r="AI104" s="45">
        <f t="shared" si="23"/>
        <v>32137</v>
      </c>
      <c r="AJ104" s="45"/>
      <c r="AK104" s="35">
        <v>-131528</v>
      </c>
      <c r="AL104" s="35"/>
      <c r="AM104" s="35">
        <v>0</v>
      </c>
      <c r="AN104" s="35"/>
      <c r="AO104" s="35">
        <v>0</v>
      </c>
      <c r="AP104" s="35"/>
      <c r="AQ104" s="35">
        <v>0</v>
      </c>
      <c r="AR104" s="35"/>
      <c r="AS104" s="45">
        <f t="shared" ref="AS104:AS169" si="25">+AI104+AK104+AM104-AO104+AQ104</f>
        <v>-99391</v>
      </c>
      <c r="AT104" s="45"/>
      <c r="AU104" s="35">
        <v>0</v>
      </c>
      <c r="AV104" s="35"/>
      <c r="AW104" s="35">
        <v>0</v>
      </c>
      <c r="AX104" s="35"/>
      <c r="AY104" s="35">
        <f t="shared" si="16"/>
        <v>15295437</v>
      </c>
      <c r="AZ104" s="35"/>
      <c r="BA104" s="35" t="s">
        <v>131</v>
      </c>
      <c r="BB104" s="55"/>
      <c r="BC104" s="35" t="s">
        <v>13</v>
      </c>
      <c r="BD104" s="35"/>
      <c r="BE104" s="35">
        <f>2282162+140000</f>
        <v>2422162</v>
      </c>
      <c r="BF104" s="35"/>
      <c r="BG104" s="35">
        <v>0</v>
      </c>
      <c r="BH104" s="35"/>
      <c r="BI104" s="35">
        <v>0</v>
      </c>
      <c r="BJ104" s="35"/>
      <c r="BK104" s="35">
        <f>427351+325968</f>
        <v>753319</v>
      </c>
      <c r="BL104" s="35"/>
      <c r="BM104" s="35">
        <f t="shared" si="24"/>
        <v>3175481</v>
      </c>
      <c r="BN104" s="54" t="s">
        <v>347</v>
      </c>
    </row>
    <row r="105" spans="1:66" ht="12.75" customHeight="1" x14ac:dyDescent="0.2">
      <c r="A105" s="35" t="s">
        <v>38</v>
      </c>
      <c r="C105" s="35" t="s">
        <v>132</v>
      </c>
      <c r="D105" s="35"/>
      <c r="E105" s="35">
        <f t="shared" ref="E105:E170" si="26">I105-G105</f>
        <v>144344</v>
      </c>
      <c r="F105" s="35"/>
      <c r="G105" s="35">
        <v>81833</v>
      </c>
      <c r="H105" s="35"/>
      <c r="I105" s="35">
        <v>226177</v>
      </c>
      <c r="J105" s="35"/>
      <c r="K105" s="35">
        <f t="shared" ref="K105:K170" si="27">O105-M105</f>
        <v>8018</v>
      </c>
      <c r="L105" s="35"/>
      <c r="M105" s="35">
        <v>0</v>
      </c>
      <c r="N105" s="35"/>
      <c r="O105" s="35">
        <v>8018</v>
      </c>
      <c r="P105" s="35"/>
      <c r="Q105" s="35">
        <v>81833</v>
      </c>
      <c r="R105" s="35"/>
      <c r="S105" s="35">
        <v>0</v>
      </c>
      <c r="T105" s="35"/>
      <c r="U105" s="35">
        <v>136326</v>
      </c>
      <c r="V105" s="35"/>
      <c r="W105" s="35">
        <f t="shared" ref="W105:W170" si="28">SUM(Q105:U105)</f>
        <v>218159</v>
      </c>
      <c r="X105" s="35"/>
      <c r="Y105" s="35" t="s">
        <v>38</v>
      </c>
      <c r="Z105" s="55"/>
      <c r="AA105" s="35" t="s">
        <v>132</v>
      </c>
      <c r="AB105" s="35"/>
      <c r="AC105" s="35">
        <v>128287</v>
      </c>
      <c r="AD105" s="35"/>
      <c r="AE105" s="35">
        <f>135935-2976</f>
        <v>132959</v>
      </c>
      <c r="AF105" s="35"/>
      <c r="AG105" s="35">
        <v>2976</v>
      </c>
      <c r="AH105" s="35"/>
      <c r="AI105" s="45">
        <f t="shared" si="23"/>
        <v>-7648</v>
      </c>
      <c r="AJ105" s="45"/>
      <c r="AK105" s="35">
        <v>0</v>
      </c>
      <c r="AL105" s="35"/>
      <c r="AM105" s="35">
        <v>0</v>
      </c>
      <c r="AN105" s="35"/>
      <c r="AO105" s="35">
        <v>0</v>
      </c>
      <c r="AP105" s="35"/>
      <c r="AQ105" s="35">
        <v>0</v>
      </c>
      <c r="AR105" s="35"/>
      <c r="AS105" s="45">
        <f t="shared" si="25"/>
        <v>-7648</v>
      </c>
      <c r="AT105" s="45"/>
      <c r="AU105" s="35">
        <v>0</v>
      </c>
      <c r="AV105" s="35"/>
      <c r="AW105" s="35">
        <v>0</v>
      </c>
      <c r="AX105" s="35"/>
      <c r="AY105" s="35">
        <f t="shared" ref="AY105:AY170" si="29">+E105-K105</f>
        <v>136326</v>
      </c>
      <c r="AZ105" s="35"/>
      <c r="BA105" s="35" t="s">
        <v>38</v>
      </c>
      <c r="BB105" s="55"/>
      <c r="BC105" s="35" t="s">
        <v>132</v>
      </c>
      <c r="BD105" s="35"/>
      <c r="BE105" s="35">
        <v>0</v>
      </c>
      <c r="BF105" s="35"/>
      <c r="BG105" s="35">
        <v>0</v>
      </c>
      <c r="BH105" s="35"/>
      <c r="BI105" s="35">
        <v>0</v>
      </c>
      <c r="BJ105" s="35"/>
      <c r="BK105" s="35">
        <v>0</v>
      </c>
      <c r="BL105" s="35"/>
      <c r="BM105" s="35">
        <f t="shared" si="24"/>
        <v>0</v>
      </c>
      <c r="BN105" s="54" t="s">
        <v>347</v>
      </c>
    </row>
    <row r="106" spans="1:66" ht="12.75" hidden="1" customHeight="1" x14ac:dyDescent="0.2">
      <c r="A106" s="35" t="s">
        <v>133</v>
      </c>
      <c r="C106" s="35" t="s">
        <v>27</v>
      </c>
      <c r="D106" s="35"/>
      <c r="E106" s="35">
        <f t="shared" si="26"/>
        <v>0</v>
      </c>
      <c r="F106" s="35"/>
      <c r="G106" s="35"/>
      <c r="H106" s="35"/>
      <c r="I106" s="35"/>
      <c r="J106" s="35"/>
      <c r="K106" s="35">
        <f t="shared" si="27"/>
        <v>0</v>
      </c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>
        <f t="shared" si="28"/>
        <v>0</v>
      </c>
      <c r="X106" s="35"/>
      <c r="Y106" s="35" t="s">
        <v>133</v>
      </c>
      <c r="Z106" s="55"/>
      <c r="AA106" s="35" t="s">
        <v>27</v>
      </c>
      <c r="AB106" s="35"/>
      <c r="AC106" s="35"/>
      <c r="AD106" s="35"/>
      <c r="AE106" s="35"/>
      <c r="AF106" s="35"/>
      <c r="AG106" s="35"/>
      <c r="AH106" s="35"/>
      <c r="AI106" s="45">
        <f t="shared" si="23"/>
        <v>0</v>
      </c>
      <c r="AJ106" s="45"/>
      <c r="AK106" s="35"/>
      <c r="AL106" s="35"/>
      <c r="AM106" s="35"/>
      <c r="AN106" s="35"/>
      <c r="AO106" s="35"/>
      <c r="AP106" s="35"/>
      <c r="AQ106" s="35"/>
      <c r="AR106" s="35"/>
      <c r="AS106" s="45">
        <f t="shared" si="25"/>
        <v>0</v>
      </c>
      <c r="AT106" s="45"/>
      <c r="AU106" s="35">
        <v>0</v>
      </c>
      <c r="AV106" s="35"/>
      <c r="AW106" s="35">
        <v>0</v>
      </c>
      <c r="AX106" s="35"/>
      <c r="AY106" s="35">
        <f t="shared" si="29"/>
        <v>0</v>
      </c>
      <c r="AZ106" s="35"/>
      <c r="BA106" s="35" t="s">
        <v>133</v>
      </c>
      <c r="BB106" s="55"/>
      <c r="BC106" s="35" t="s">
        <v>27</v>
      </c>
      <c r="BD106" s="35"/>
      <c r="BE106" s="35"/>
      <c r="BF106" s="35"/>
      <c r="BG106" s="35"/>
      <c r="BH106" s="35"/>
      <c r="BI106" s="35"/>
      <c r="BJ106" s="35"/>
      <c r="BK106" s="35"/>
      <c r="BL106" s="35"/>
      <c r="BM106" s="35">
        <f t="shared" si="24"/>
        <v>0</v>
      </c>
      <c r="BN106" s="54" t="s">
        <v>347</v>
      </c>
    </row>
    <row r="107" spans="1:66" ht="12.75" hidden="1" customHeight="1" x14ac:dyDescent="0.2">
      <c r="A107" s="35" t="s">
        <v>134</v>
      </c>
      <c r="C107" s="35" t="s">
        <v>135</v>
      </c>
      <c r="D107" s="35"/>
      <c r="E107" s="35">
        <f t="shared" si="26"/>
        <v>0</v>
      </c>
      <c r="F107" s="35"/>
      <c r="G107" s="35"/>
      <c r="H107" s="35"/>
      <c r="I107" s="35"/>
      <c r="J107" s="35"/>
      <c r="K107" s="35">
        <f t="shared" si="27"/>
        <v>0</v>
      </c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>
        <f t="shared" si="28"/>
        <v>0</v>
      </c>
      <c r="X107" s="35"/>
      <c r="Y107" s="35" t="s">
        <v>134</v>
      </c>
      <c r="Z107" s="55"/>
      <c r="AA107" s="35" t="s">
        <v>135</v>
      </c>
      <c r="AB107" s="35"/>
      <c r="AC107" s="35"/>
      <c r="AD107" s="35"/>
      <c r="AE107" s="35"/>
      <c r="AF107" s="35"/>
      <c r="AG107" s="35"/>
      <c r="AH107" s="35"/>
      <c r="AI107" s="45">
        <f t="shared" si="23"/>
        <v>0</v>
      </c>
      <c r="AJ107" s="45"/>
      <c r="AK107" s="35"/>
      <c r="AL107" s="35"/>
      <c r="AM107" s="35"/>
      <c r="AN107" s="35"/>
      <c r="AO107" s="35"/>
      <c r="AP107" s="35"/>
      <c r="AQ107" s="35"/>
      <c r="AR107" s="35"/>
      <c r="AS107" s="45">
        <f t="shared" si="25"/>
        <v>0</v>
      </c>
      <c r="AT107" s="45"/>
      <c r="AU107" s="35">
        <v>0</v>
      </c>
      <c r="AV107" s="35"/>
      <c r="AW107" s="35">
        <v>0</v>
      </c>
      <c r="AX107" s="35"/>
      <c r="AY107" s="35">
        <f t="shared" si="29"/>
        <v>0</v>
      </c>
      <c r="AZ107" s="35"/>
      <c r="BA107" s="35" t="s">
        <v>134</v>
      </c>
      <c r="BB107" s="55"/>
      <c r="BC107" s="35" t="s">
        <v>135</v>
      </c>
      <c r="BD107" s="35"/>
      <c r="BE107" s="35"/>
      <c r="BF107" s="35"/>
      <c r="BG107" s="35"/>
      <c r="BH107" s="35"/>
      <c r="BI107" s="35"/>
      <c r="BJ107" s="35"/>
      <c r="BK107" s="35"/>
      <c r="BL107" s="35"/>
      <c r="BM107" s="35">
        <f t="shared" si="24"/>
        <v>0</v>
      </c>
      <c r="BN107" s="54" t="s">
        <v>347</v>
      </c>
    </row>
    <row r="108" spans="1:66" ht="12.75" hidden="1" customHeight="1" x14ac:dyDescent="0.2">
      <c r="A108" s="35" t="s">
        <v>134</v>
      </c>
      <c r="B108" s="55"/>
      <c r="C108" s="35" t="s">
        <v>135</v>
      </c>
      <c r="D108" s="35"/>
      <c r="E108" s="35">
        <f t="shared" si="26"/>
        <v>0</v>
      </c>
      <c r="F108" s="35"/>
      <c r="G108" s="35"/>
      <c r="H108" s="35"/>
      <c r="I108" s="35"/>
      <c r="J108" s="35"/>
      <c r="K108" s="35">
        <f t="shared" si="27"/>
        <v>0</v>
      </c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>
        <f t="shared" si="28"/>
        <v>0</v>
      </c>
      <c r="X108" s="35"/>
      <c r="Y108" s="35" t="s">
        <v>134</v>
      </c>
      <c r="Z108" s="55"/>
      <c r="AA108" s="35" t="s">
        <v>135</v>
      </c>
      <c r="AB108" s="35"/>
      <c r="AC108" s="35"/>
      <c r="AD108" s="35"/>
      <c r="AE108" s="35"/>
      <c r="AF108" s="35"/>
      <c r="AG108" s="35"/>
      <c r="AH108" s="35"/>
      <c r="AI108" s="45">
        <f t="shared" si="23"/>
        <v>0</v>
      </c>
      <c r="AJ108" s="45"/>
      <c r="AK108" s="35"/>
      <c r="AL108" s="35"/>
      <c r="AM108" s="35"/>
      <c r="AN108" s="35"/>
      <c r="AO108" s="35"/>
      <c r="AP108" s="35"/>
      <c r="AQ108" s="35"/>
      <c r="AR108" s="35"/>
      <c r="AS108" s="45">
        <f t="shared" si="25"/>
        <v>0</v>
      </c>
      <c r="AT108" s="45"/>
      <c r="AU108" s="35"/>
      <c r="AV108" s="35"/>
      <c r="AW108" s="35"/>
      <c r="AX108" s="35"/>
      <c r="AY108" s="35">
        <f t="shared" si="29"/>
        <v>0</v>
      </c>
      <c r="AZ108" s="35"/>
      <c r="BA108" s="35" t="s">
        <v>134</v>
      </c>
      <c r="BB108" s="55"/>
      <c r="BC108" s="35" t="s">
        <v>135</v>
      </c>
      <c r="BD108" s="35"/>
      <c r="BE108" s="35"/>
      <c r="BF108" s="35"/>
      <c r="BG108" s="35"/>
      <c r="BH108" s="35"/>
      <c r="BI108" s="35"/>
      <c r="BJ108" s="35"/>
      <c r="BK108" s="35"/>
      <c r="BL108" s="35"/>
      <c r="BM108" s="35">
        <f t="shared" si="24"/>
        <v>0</v>
      </c>
      <c r="BN108" s="54"/>
    </row>
    <row r="109" spans="1:66" ht="12.75" customHeight="1" x14ac:dyDescent="0.2">
      <c r="A109" s="35" t="s">
        <v>136</v>
      </c>
      <c r="C109" s="35" t="s">
        <v>136</v>
      </c>
      <c r="D109" s="35"/>
      <c r="E109" s="35">
        <f t="shared" si="26"/>
        <v>13710341</v>
      </c>
      <c r="F109" s="35"/>
      <c r="G109" s="35">
        <v>9036495</v>
      </c>
      <c r="H109" s="35"/>
      <c r="I109" s="35">
        <v>22746836</v>
      </c>
      <c r="J109" s="35"/>
      <c r="K109" s="35">
        <f t="shared" si="27"/>
        <v>3690693</v>
      </c>
      <c r="L109" s="35"/>
      <c r="M109" s="35">
        <v>3803404</v>
      </c>
      <c r="N109" s="35"/>
      <c r="O109" s="35">
        <v>7494097</v>
      </c>
      <c r="P109" s="35"/>
      <c r="Q109" s="35">
        <v>4350147</v>
      </c>
      <c r="R109" s="35"/>
      <c r="S109" s="35">
        <v>0</v>
      </c>
      <c r="T109" s="35"/>
      <c r="U109" s="35">
        <v>10902592</v>
      </c>
      <c r="V109" s="35"/>
      <c r="W109" s="35">
        <f t="shared" si="28"/>
        <v>15252739</v>
      </c>
      <c r="X109" s="35"/>
      <c r="Y109" s="35" t="s">
        <v>136</v>
      </c>
      <c r="Z109" s="55"/>
      <c r="AA109" s="35" t="s">
        <v>136</v>
      </c>
      <c r="AB109" s="35"/>
      <c r="AC109" s="35">
        <v>16940124</v>
      </c>
      <c r="AD109" s="35"/>
      <c r="AE109" s="35">
        <f>18598190-265885</f>
        <v>18332305</v>
      </c>
      <c r="AF109" s="35"/>
      <c r="AG109" s="35">
        <v>265885</v>
      </c>
      <c r="AH109" s="35"/>
      <c r="AI109" s="45">
        <f t="shared" si="23"/>
        <v>-1658066</v>
      </c>
      <c r="AJ109" s="45"/>
      <c r="AK109" s="35">
        <v>-196498</v>
      </c>
      <c r="AL109" s="35"/>
      <c r="AM109" s="35">
        <v>0</v>
      </c>
      <c r="AN109" s="35"/>
      <c r="AO109" s="35">
        <v>0</v>
      </c>
      <c r="AP109" s="35"/>
      <c r="AQ109" s="35">
        <v>0</v>
      </c>
      <c r="AR109" s="35"/>
      <c r="AS109" s="45">
        <f t="shared" si="25"/>
        <v>-1854564</v>
      </c>
      <c r="AT109" s="45"/>
      <c r="AU109" s="35">
        <v>0</v>
      </c>
      <c r="AV109" s="35"/>
      <c r="AW109" s="35">
        <v>0</v>
      </c>
      <c r="AX109" s="35"/>
      <c r="AY109" s="35">
        <f t="shared" si="29"/>
        <v>10019648</v>
      </c>
      <c r="AZ109" s="35"/>
      <c r="BA109" s="35" t="s">
        <v>136</v>
      </c>
      <c r="BB109" s="55"/>
      <c r="BC109" s="35" t="s">
        <v>136</v>
      </c>
      <c r="BD109" s="35"/>
      <c r="BE109" s="35">
        <v>0</v>
      </c>
      <c r="BF109" s="35"/>
      <c r="BG109" s="35">
        <f>3608000+320000</f>
        <v>3928000</v>
      </c>
      <c r="BH109" s="35"/>
      <c r="BI109" s="35">
        <v>0</v>
      </c>
      <c r="BJ109" s="35"/>
      <c r="BK109" s="35">
        <f>195404+64997</f>
        <v>260401</v>
      </c>
      <c r="BL109" s="35"/>
      <c r="BM109" s="35">
        <f t="shared" si="24"/>
        <v>4188401</v>
      </c>
      <c r="BN109" s="54" t="s">
        <v>347</v>
      </c>
    </row>
    <row r="110" spans="1:66" ht="12.75" hidden="1" customHeight="1" x14ac:dyDescent="0.2">
      <c r="A110" s="35" t="s">
        <v>137</v>
      </c>
      <c r="C110" s="35" t="s">
        <v>22</v>
      </c>
      <c r="D110" s="35"/>
      <c r="E110" s="35">
        <f t="shared" si="26"/>
        <v>0</v>
      </c>
      <c r="F110" s="35"/>
      <c r="G110" s="35"/>
      <c r="H110" s="35"/>
      <c r="I110" s="35"/>
      <c r="J110" s="35"/>
      <c r="K110" s="35">
        <f t="shared" si="27"/>
        <v>0</v>
      </c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>
        <f t="shared" si="28"/>
        <v>0</v>
      </c>
      <c r="X110" s="35"/>
      <c r="Y110" s="35" t="s">
        <v>137</v>
      </c>
      <c r="Z110" s="55"/>
      <c r="AA110" s="35" t="s">
        <v>22</v>
      </c>
      <c r="AB110" s="35"/>
      <c r="AC110" s="35"/>
      <c r="AD110" s="35"/>
      <c r="AE110" s="35"/>
      <c r="AF110" s="35"/>
      <c r="AG110" s="35"/>
      <c r="AH110" s="35"/>
      <c r="AI110" s="45">
        <f t="shared" si="23"/>
        <v>0</v>
      </c>
      <c r="AJ110" s="45"/>
      <c r="AK110" s="35"/>
      <c r="AL110" s="35"/>
      <c r="AM110" s="35"/>
      <c r="AN110" s="35"/>
      <c r="AO110" s="35"/>
      <c r="AP110" s="35"/>
      <c r="AQ110" s="35"/>
      <c r="AR110" s="35"/>
      <c r="AS110" s="45">
        <f t="shared" si="25"/>
        <v>0</v>
      </c>
      <c r="AT110" s="45"/>
      <c r="AU110" s="35">
        <v>0</v>
      </c>
      <c r="AV110" s="35"/>
      <c r="AW110" s="35">
        <v>0</v>
      </c>
      <c r="AX110" s="35"/>
      <c r="AY110" s="35">
        <f t="shared" si="29"/>
        <v>0</v>
      </c>
      <c r="AZ110" s="35"/>
      <c r="BA110" s="35" t="s">
        <v>137</v>
      </c>
      <c r="BB110" s="55"/>
      <c r="BC110" s="35" t="s">
        <v>22</v>
      </c>
      <c r="BD110" s="35"/>
      <c r="BE110" s="35"/>
      <c r="BF110" s="35"/>
      <c r="BG110" s="35"/>
      <c r="BH110" s="35"/>
      <c r="BI110" s="35"/>
      <c r="BJ110" s="35"/>
      <c r="BK110" s="35"/>
      <c r="BL110" s="35"/>
      <c r="BM110" s="35">
        <f t="shared" si="24"/>
        <v>0</v>
      </c>
      <c r="BN110" s="54" t="s">
        <v>347</v>
      </c>
    </row>
    <row r="111" spans="1:66" ht="12.75" hidden="1" customHeight="1" x14ac:dyDescent="0.2">
      <c r="A111" s="35" t="s">
        <v>138</v>
      </c>
      <c r="C111" s="35" t="s">
        <v>139</v>
      </c>
      <c r="D111" s="35"/>
      <c r="E111" s="35">
        <f t="shared" si="26"/>
        <v>0</v>
      </c>
      <c r="F111" s="35"/>
      <c r="G111" s="35"/>
      <c r="H111" s="35"/>
      <c r="I111" s="35"/>
      <c r="J111" s="35"/>
      <c r="K111" s="35">
        <f t="shared" si="27"/>
        <v>0</v>
      </c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>
        <f t="shared" si="28"/>
        <v>0</v>
      </c>
      <c r="X111" s="35"/>
      <c r="Y111" s="35" t="s">
        <v>138</v>
      </c>
      <c r="Z111" s="55"/>
      <c r="AA111" s="35" t="s">
        <v>139</v>
      </c>
      <c r="AB111" s="35"/>
      <c r="AC111" s="35"/>
      <c r="AD111" s="35"/>
      <c r="AE111" s="35"/>
      <c r="AF111" s="35"/>
      <c r="AG111" s="35"/>
      <c r="AH111" s="35"/>
      <c r="AI111" s="45">
        <f t="shared" si="23"/>
        <v>0</v>
      </c>
      <c r="AJ111" s="45"/>
      <c r="AK111" s="35"/>
      <c r="AL111" s="35"/>
      <c r="AM111" s="35"/>
      <c r="AN111" s="35"/>
      <c r="AO111" s="35"/>
      <c r="AP111" s="35"/>
      <c r="AQ111" s="35"/>
      <c r="AR111" s="35"/>
      <c r="AS111" s="45">
        <f t="shared" si="25"/>
        <v>0</v>
      </c>
      <c r="AT111" s="45"/>
      <c r="AU111" s="35">
        <v>0</v>
      </c>
      <c r="AV111" s="35"/>
      <c r="AW111" s="35">
        <v>0</v>
      </c>
      <c r="AX111" s="35"/>
      <c r="AY111" s="35">
        <f t="shared" si="29"/>
        <v>0</v>
      </c>
      <c r="AZ111" s="35"/>
      <c r="BA111" s="35" t="s">
        <v>138</v>
      </c>
      <c r="BB111" s="55"/>
      <c r="BC111" s="35" t="s">
        <v>139</v>
      </c>
      <c r="BD111" s="35"/>
      <c r="BE111" s="35"/>
      <c r="BF111" s="35"/>
      <c r="BG111" s="35"/>
      <c r="BH111" s="35"/>
      <c r="BI111" s="35"/>
      <c r="BJ111" s="35"/>
      <c r="BK111" s="35"/>
      <c r="BL111" s="35"/>
      <c r="BM111" s="35">
        <f t="shared" si="24"/>
        <v>0</v>
      </c>
      <c r="BN111" s="54" t="s">
        <v>347</v>
      </c>
    </row>
    <row r="112" spans="1:66" ht="12.75" hidden="1" customHeight="1" x14ac:dyDescent="0.2">
      <c r="A112" s="35" t="s">
        <v>140</v>
      </c>
      <c r="C112" s="35" t="s">
        <v>66</v>
      </c>
      <c r="D112" s="35"/>
      <c r="E112" s="35">
        <f t="shared" si="26"/>
        <v>0</v>
      </c>
      <c r="F112" s="35"/>
      <c r="G112" s="35"/>
      <c r="H112" s="35"/>
      <c r="I112" s="35"/>
      <c r="J112" s="35"/>
      <c r="K112" s="35">
        <f t="shared" si="27"/>
        <v>0</v>
      </c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>
        <f t="shared" si="28"/>
        <v>0</v>
      </c>
      <c r="X112" s="35"/>
      <c r="Y112" s="35" t="s">
        <v>140</v>
      </c>
      <c r="Z112" s="55"/>
      <c r="AA112" s="35" t="s">
        <v>66</v>
      </c>
      <c r="AB112" s="35"/>
      <c r="AC112" s="35"/>
      <c r="AD112" s="35"/>
      <c r="AE112" s="35"/>
      <c r="AF112" s="35"/>
      <c r="AG112" s="35"/>
      <c r="AH112" s="35"/>
      <c r="AI112" s="45">
        <f t="shared" si="23"/>
        <v>0</v>
      </c>
      <c r="AJ112" s="45"/>
      <c r="AK112" s="35"/>
      <c r="AL112" s="35"/>
      <c r="AM112" s="35"/>
      <c r="AN112" s="35"/>
      <c r="AO112" s="35"/>
      <c r="AP112" s="35"/>
      <c r="AQ112" s="35"/>
      <c r="AR112" s="35"/>
      <c r="AS112" s="45">
        <f t="shared" si="25"/>
        <v>0</v>
      </c>
      <c r="AT112" s="45"/>
      <c r="AU112" s="35">
        <v>0</v>
      </c>
      <c r="AV112" s="35"/>
      <c r="AW112" s="35">
        <v>0</v>
      </c>
      <c r="AX112" s="35"/>
      <c r="AY112" s="35">
        <f t="shared" si="29"/>
        <v>0</v>
      </c>
      <c r="AZ112" s="35"/>
      <c r="BA112" s="35" t="s">
        <v>140</v>
      </c>
      <c r="BB112" s="55"/>
      <c r="BC112" s="35" t="s">
        <v>66</v>
      </c>
      <c r="BD112" s="35"/>
      <c r="BE112" s="35"/>
      <c r="BF112" s="35"/>
      <c r="BG112" s="35"/>
      <c r="BH112" s="35"/>
      <c r="BI112" s="35"/>
      <c r="BJ112" s="35"/>
      <c r="BK112" s="35"/>
      <c r="BL112" s="35"/>
      <c r="BM112" s="35">
        <f t="shared" si="24"/>
        <v>0</v>
      </c>
      <c r="BN112" s="54" t="s">
        <v>347</v>
      </c>
    </row>
    <row r="113" spans="1:67" ht="12.75" hidden="1" customHeight="1" x14ac:dyDescent="0.2">
      <c r="A113" s="35" t="s">
        <v>141</v>
      </c>
      <c r="C113" s="35" t="s">
        <v>27</v>
      </c>
      <c r="D113" s="35"/>
      <c r="E113" s="35">
        <f t="shared" si="26"/>
        <v>0</v>
      </c>
      <c r="F113" s="35"/>
      <c r="G113" s="35"/>
      <c r="H113" s="35"/>
      <c r="I113" s="35"/>
      <c r="J113" s="35"/>
      <c r="K113" s="35">
        <f t="shared" si="27"/>
        <v>0</v>
      </c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>
        <f t="shared" si="28"/>
        <v>0</v>
      </c>
      <c r="X113" s="35"/>
      <c r="Y113" s="35" t="s">
        <v>141</v>
      </c>
      <c r="Z113" s="55"/>
      <c r="AA113" s="35" t="s">
        <v>27</v>
      </c>
      <c r="AB113" s="35"/>
      <c r="AC113" s="35"/>
      <c r="AD113" s="35"/>
      <c r="AE113" s="35"/>
      <c r="AF113" s="35"/>
      <c r="AG113" s="35"/>
      <c r="AH113" s="35"/>
      <c r="AI113" s="45">
        <f t="shared" si="23"/>
        <v>0</v>
      </c>
      <c r="AJ113" s="45"/>
      <c r="AK113" s="35"/>
      <c r="AL113" s="35"/>
      <c r="AM113" s="35"/>
      <c r="AN113" s="35"/>
      <c r="AO113" s="35"/>
      <c r="AP113" s="35"/>
      <c r="AQ113" s="35"/>
      <c r="AR113" s="35"/>
      <c r="AS113" s="45">
        <f t="shared" si="25"/>
        <v>0</v>
      </c>
      <c r="AT113" s="45"/>
      <c r="AU113" s="35">
        <v>0</v>
      </c>
      <c r="AV113" s="35"/>
      <c r="AW113" s="35">
        <v>0</v>
      </c>
      <c r="AX113" s="35"/>
      <c r="AY113" s="35">
        <f t="shared" si="29"/>
        <v>0</v>
      </c>
      <c r="AZ113" s="35"/>
      <c r="BA113" s="35" t="s">
        <v>141</v>
      </c>
      <c r="BB113" s="55"/>
      <c r="BC113" s="35" t="s">
        <v>27</v>
      </c>
      <c r="BD113" s="35"/>
      <c r="BE113" s="35"/>
      <c r="BF113" s="35"/>
      <c r="BG113" s="35"/>
      <c r="BH113" s="35"/>
      <c r="BI113" s="35"/>
      <c r="BJ113" s="35"/>
      <c r="BK113" s="35"/>
      <c r="BL113" s="35"/>
      <c r="BM113" s="35">
        <f t="shared" si="24"/>
        <v>0</v>
      </c>
      <c r="BN113" s="54" t="s">
        <v>347</v>
      </c>
      <c r="BO113" s="55" t="s">
        <v>372</v>
      </c>
    </row>
    <row r="114" spans="1:67" ht="12.75" hidden="1" customHeight="1" x14ac:dyDescent="0.2">
      <c r="A114" s="35" t="s">
        <v>142</v>
      </c>
      <c r="C114" s="35" t="s">
        <v>102</v>
      </c>
      <c r="D114" s="35"/>
      <c r="E114" s="35">
        <f t="shared" si="26"/>
        <v>0</v>
      </c>
      <c r="F114" s="35"/>
      <c r="G114" s="35"/>
      <c r="H114" s="35"/>
      <c r="I114" s="35"/>
      <c r="J114" s="35"/>
      <c r="K114" s="35">
        <f t="shared" si="27"/>
        <v>0</v>
      </c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>
        <f t="shared" si="28"/>
        <v>0</v>
      </c>
      <c r="X114" s="35"/>
      <c r="Y114" s="35" t="s">
        <v>142</v>
      </c>
      <c r="Z114" s="55"/>
      <c r="AA114" s="35" t="s">
        <v>102</v>
      </c>
      <c r="AB114" s="35"/>
      <c r="AC114" s="35"/>
      <c r="AD114" s="35"/>
      <c r="AE114" s="35"/>
      <c r="AF114" s="35"/>
      <c r="AG114" s="35"/>
      <c r="AH114" s="35"/>
      <c r="AI114" s="45">
        <f t="shared" si="23"/>
        <v>0</v>
      </c>
      <c r="AJ114" s="45"/>
      <c r="AK114" s="35"/>
      <c r="AL114" s="35"/>
      <c r="AM114" s="35"/>
      <c r="AN114" s="35"/>
      <c r="AO114" s="35"/>
      <c r="AP114" s="35"/>
      <c r="AQ114" s="35"/>
      <c r="AR114" s="35"/>
      <c r="AS114" s="45">
        <f t="shared" si="25"/>
        <v>0</v>
      </c>
      <c r="AT114" s="45"/>
      <c r="AU114" s="35">
        <v>0</v>
      </c>
      <c r="AV114" s="35"/>
      <c r="AW114" s="35">
        <v>0</v>
      </c>
      <c r="AX114" s="35"/>
      <c r="AY114" s="35">
        <f t="shared" si="29"/>
        <v>0</v>
      </c>
      <c r="AZ114" s="35"/>
      <c r="BA114" s="35" t="s">
        <v>142</v>
      </c>
      <c r="BB114" s="55"/>
      <c r="BC114" s="35" t="s">
        <v>102</v>
      </c>
      <c r="BD114" s="35"/>
      <c r="BE114" s="35"/>
      <c r="BF114" s="35"/>
      <c r="BG114" s="35"/>
      <c r="BH114" s="35"/>
      <c r="BI114" s="35"/>
      <c r="BJ114" s="35"/>
      <c r="BK114" s="35"/>
      <c r="BL114" s="35"/>
      <c r="BM114" s="35">
        <f t="shared" si="24"/>
        <v>0</v>
      </c>
      <c r="BN114" s="54" t="s">
        <v>347</v>
      </c>
      <c r="BO114" s="55" t="s">
        <v>372</v>
      </c>
    </row>
    <row r="115" spans="1:67" ht="12.75" customHeight="1" x14ac:dyDescent="0.2">
      <c r="A115" s="35" t="s">
        <v>143</v>
      </c>
      <c r="C115" s="35" t="s">
        <v>111</v>
      </c>
      <c r="D115" s="35"/>
      <c r="E115" s="35">
        <f t="shared" si="26"/>
        <v>22510122</v>
      </c>
      <c r="F115" s="35"/>
      <c r="G115" s="35">
        <v>19114633</v>
      </c>
      <c r="H115" s="35"/>
      <c r="I115" s="35">
        <v>41624755</v>
      </c>
      <c r="J115" s="35"/>
      <c r="K115" s="35">
        <f t="shared" si="27"/>
        <v>4092613</v>
      </c>
      <c r="L115" s="35"/>
      <c r="M115" s="35">
        <v>14991406</v>
      </c>
      <c r="N115" s="35"/>
      <c r="O115" s="35">
        <v>19084019</v>
      </c>
      <c r="P115" s="35"/>
      <c r="Q115" s="35">
        <v>196182</v>
      </c>
      <c r="R115" s="35"/>
      <c r="S115" s="35">
        <f>492500+3888353</f>
        <v>4380853</v>
      </c>
      <c r="T115" s="35"/>
      <c r="U115" s="35">
        <v>17963701</v>
      </c>
      <c r="V115" s="35"/>
      <c r="W115" s="35">
        <f t="shared" si="28"/>
        <v>22540736</v>
      </c>
      <c r="X115" s="35"/>
      <c r="Y115" s="35" t="s">
        <v>143</v>
      </c>
      <c r="Z115" s="55"/>
      <c r="AA115" s="35" t="s">
        <v>111</v>
      </c>
      <c r="AB115" s="35"/>
      <c r="AC115" s="35">
        <v>25698605</v>
      </c>
      <c r="AD115" s="35"/>
      <c r="AE115" s="35">
        <f>24482856-1226986</f>
        <v>23255870</v>
      </c>
      <c r="AF115" s="35"/>
      <c r="AG115" s="35">
        <v>1226986</v>
      </c>
      <c r="AH115" s="35"/>
      <c r="AI115" s="45">
        <f t="shared" si="23"/>
        <v>1215749</v>
      </c>
      <c r="AJ115" s="45"/>
      <c r="AK115" s="35">
        <v>-497445</v>
      </c>
      <c r="AL115" s="35"/>
      <c r="AM115" s="35">
        <v>41254</v>
      </c>
      <c r="AN115" s="35"/>
      <c r="AO115" s="35">
        <v>0</v>
      </c>
      <c r="AP115" s="35"/>
      <c r="AQ115" s="35">
        <v>0</v>
      </c>
      <c r="AR115" s="35"/>
      <c r="AS115" s="45">
        <f t="shared" si="25"/>
        <v>759558</v>
      </c>
      <c r="AT115" s="45"/>
      <c r="AU115" s="35">
        <v>0</v>
      </c>
      <c r="AV115" s="35"/>
      <c r="AW115" s="35">
        <v>0</v>
      </c>
      <c r="AX115" s="35"/>
      <c r="AY115" s="35">
        <f t="shared" si="29"/>
        <v>18417509</v>
      </c>
      <c r="AZ115" s="35"/>
      <c r="BA115" s="35" t="s">
        <v>143</v>
      </c>
      <c r="BB115" s="55"/>
      <c r="BC115" s="35" t="s">
        <v>111</v>
      </c>
      <c r="BD115" s="35"/>
      <c r="BE115" s="35">
        <v>0</v>
      </c>
      <c r="BF115" s="35"/>
      <c r="BG115" s="35">
        <f>14047705+1340000</f>
        <v>15387705</v>
      </c>
      <c r="BH115" s="35"/>
      <c r="BI115" s="35">
        <f>339290+2412970</f>
        <v>2752260</v>
      </c>
      <c r="BJ115" s="35"/>
      <c r="BK115" s="35">
        <f>475466+128945+43283</f>
        <v>647694</v>
      </c>
      <c r="BL115" s="35"/>
      <c r="BM115" s="35">
        <f t="shared" si="24"/>
        <v>18787659</v>
      </c>
      <c r="BN115" s="54" t="s">
        <v>347</v>
      </c>
      <c r="BO115" s="55" t="s">
        <v>315</v>
      </c>
    </row>
    <row r="116" spans="1:67" ht="12.75" hidden="1" customHeight="1" x14ac:dyDescent="0.2">
      <c r="A116" s="35" t="s">
        <v>144</v>
      </c>
      <c r="C116" s="35" t="s">
        <v>88</v>
      </c>
      <c r="D116" s="35"/>
      <c r="E116" s="35">
        <f t="shared" si="26"/>
        <v>0</v>
      </c>
      <c r="F116" s="35"/>
      <c r="G116" s="35"/>
      <c r="H116" s="35"/>
      <c r="I116" s="35"/>
      <c r="J116" s="35"/>
      <c r="K116" s="35">
        <f t="shared" si="27"/>
        <v>0</v>
      </c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>
        <f t="shared" si="28"/>
        <v>0</v>
      </c>
      <c r="X116" s="35"/>
      <c r="Y116" s="35" t="s">
        <v>144</v>
      </c>
      <c r="Z116" s="55"/>
      <c r="AA116" s="35" t="s">
        <v>88</v>
      </c>
      <c r="AB116" s="35"/>
      <c r="AC116" s="35"/>
      <c r="AD116" s="35"/>
      <c r="AE116" s="35"/>
      <c r="AF116" s="35"/>
      <c r="AG116" s="35"/>
      <c r="AH116" s="35"/>
      <c r="AI116" s="45">
        <f t="shared" si="23"/>
        <v>0</v>
      </c>
      <c r="AJ116" s="45"/>
      <c r="AK116" s="35"/>
      <c r="AL116" s="35"/>
      <c r="AM116" s="35"/>
      <c r="AN116" s="35"/>
      <c r="AO116" s="35"/>
      <c r="AP116" s="35"/>
      <c r="AQ116" s="35"/>
      <c r="AR116" s="35"/>
      <c r="AS116" s="45">
        <f t="shared" si="25"/>
        <v>0</v>
      </c>
      <c r="AT116" s="45"/>
      <c r="AU116" s="35">
        <v>0</v>
      </c>
      <c r="AV116" s="35"/>
      <c r="AW116" s="35">
        <v>0</v>
      </c>
      <c r="AX116" s="35"/>
      <c r="AY116" s="35">
        <f t="shared" si="29"/>
        <v>0</v>
      </c>
      <c r="AZ116" s="35"/>
      <c r="BA116" s="35" t="s">
        <v>144</v>
      </c>
      <c r="BB116" s="55"/>
      <c r="BC116" s="35" t="s">
        <v>88</v>
      </c>
      <c r="BD116" s="35"/>
      <c r="BE116" s="35"/>
      <c r="BF116" s="35"/>
      <c r="BG116" s="35"/>
      <c r="BH116" s="35"/>
      <c r="BI116" s="35"/>
      <c r="BJ116" s="35"/>
      <c r="BK116" s="35"/>
      <c r="BL116" s="35"/>
      <c r="BM116" s="35">
        <f t="shared" si="24"/>
        <v>0</v>
      </c>
      <c r="BN116" s="54" t="s">
        <v>347</v>
      </c>
    </row>
    <row r="117" spans="1:67" ht="12.75" hidden="1" customHeight="1" x14ac:dyDescent="0.2">
      <c r="A117" s="35" t="s">
        <v>36</v>
      </c>
      <c r="C117" s="35" t="s">
        <v>145</v>
      </c>
      <c r="D117" s="35"/>
      <c r="E117" s="35">
        <f t="shared" si="26"/>
        <v>0</v>
      </c>
      <c r="F117" s="35"/>
      <c r="G117" s="35"/>
      <c r="H117" s="35"/>
      <c r="I117" s="35"/>
      <c r="J117" s="35"/>
      <c r="K117" s="35">
        <f t="shared" si="27"/>
        <v>0</v>
      </c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>
        <f t="shared" si="28"/>
        <v>0</v>
      </c>
      <c r="X117" s="35"/>
      <c r="Y117" s="35" t="s">
        <v>36</v>
      </c>
      <c r="Z117" s="55"/>
      <c r="AA117" s="35" t="s">
        <v>145</v>
      </c>
      <c r="AB117" s="35"/>
      <c r="AC117" s="35"/>
      <c r="AD117" s="35"/>
      <c r="AE117" s="35"/>
      <c r="AF117" s="35"/>
      <c r="AG117" s="35"/>
      <c r="AH117" s="35"/>
      <c r="AI117" s="45">
        <f t="shared" si="23"/>
        <v>0</v>
      </c>
      <c r="AJ117" s="45"/>
      <c r="AK117" s="35"/>
      <c r="AL117" s="35"/>
      <c r="AM117" s="35"/>
      <c r="AN117" s="35"/>
      <c r="AO117" s="35"/>
      <c r="AP117" s="35"/>
      <c r="AQ117" s="35"/>
      <c r="AR117" s="35"/>
      <c r="AS117" s="45">
        <f t="shared" si="25"/>
        <v>0</v>
      </c>
      <c r="AT117" s="45"/>
      <c r="AU117" s="35">
        <v>0</v>
      </c>
      <c r="AV117" s="35"/>
      <c r="AW117" s="35">
        <v>0</v>
      </c>
      <c r="AX117" s="35"/>
      <c r="AY117" s="35">
        <f t="shared" si="29"/>
        <v>0</v>
      </c>
      <c r="AZ117" s="35"/>
      <c r="BA117" s="35" t="s">
        <v>36</v>
      </c>
      <c r="BB117" s="55"/>
      <c r="BC117" s="35" t="s">
        <v>145</v>
      </c>
      <c r="BD117" s="35"/>
      <c r="BE117" s="35"/>
      <c r="BF117" s="35"/>
      <c r="BG117" s="35"/>
      <c r="BH117" s="35"/>
      <c r="BI117" s="35"/>
      <c r="BJ117" s="35"/>
      <c r="BK117" s="35"/>
      <c r="BL117" s="35"/>
      <c r="BM117" s="35">
        <f t="shared" si="24"/>
        <v>0</v>
      </c>
      <c r="BN117" s="54" t="s">
        <v>347</v>
      </c>
    </row>
    <row r="118" spans="1:67" ht="12.75" hidden="1" customHeight="1" x14ac:dyDescent="0.2">
      <c r="A118" s="35" t="s">
        <v>146</v>
      </c>
      <c r="C118" s="35" t="s">
        <v>147</v>
      </c>
      <c r="D118" s="35"/>
      <c r="E118" s="35">
        <f t="shared" si="26"/>
        <v>0</v>
      </c>
      <c r="F118" s="35"/>
      <c r="G118" s="35"/>
      <c r="H118" s="35"/>
      <c r="I118" s="35"/>
      <c r="J118" s="35"/>
      <c r="K118" s="35">
        <f t="shared" si="27"/>
        <v>0</v>
      </c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>
        <f t="shared" si="28"/>
        <v>0</v>
      </c>
      <c r="X118" s="35"/>
      <c r="Y118" s="35" t="s">
        <v>146</v>
      </c>
      <c r="Z118" s="55"/>
      <c r="AA118" s="35" t="s">
        <v>147</v>
      </c>
      <c r="AB118" s="35"/>
      <c r="AC118" s="35"/>
      <c r="AD118" s="35"/>
      <c r="AE118" s="35"/>
      <c r="AF118" s="35"/>
      <c r="AG118" s="35"/>
      <c r="AH118" s="35"/>
      <c r="AI118" s="45">
        <f t="shared" si="23"/>
        <v>0</v>
      </c>
      <c r="AJ118" s="45"/>
      <c r="AK118" s="35"/>
      <c r="AL118" s="35"/>
      <c r="AM118" s="35"/>
      <c r="AN118" s="35"/>
      <c r="AO118" s="35"/>
      <c r="AP118" s="35"/>
      <c r="AQ118" s="35"/>
      <c r="AR118" s="35"/>
      <c r="AS118" s="45">
        <f t="shared" si="25"/>
        <v>0</v>
      </c>
      <c r="AT118" s="45"/>
      <c r="AU118" s="35">
        <v>0</v>
      </c>
      <c r="AV118" s="35"/>
      <c r="AW118" s="35">
        <v>0</v>
      </c>
      <c r="AX118" s="35"/>
      <c r="AY118" s="35">
        <f t="shared" si="29"/>
        <v>0</v>
      </c>
      <c r="AZ118" s="35"/>
      <c r="BA118" s="35" t="s">
        <v>146</v>
      </c>
      <c r="BB118" s="55"/>
      <c r="BC118" s="35" t="s">
        <v>147</v>
      </c>
      <c r="BD118" s="35"/>
      <c r="BE118" s="35"/>
      <c r="BF118" s="35"/>
      <c r="BG118" s="35"/>
      <c r="BH118" s="35"/>
      <c r="BI118" s="35"/>
      <c r="BJ118" s="35"/>
      <c r="BK118" s="35"/>
      <c r="BL118" s="35"/>
      <c r="BM118" s="35">
        <f t="shared" si="24"/>
        <v>0</v>
      </c>
      <c r="BN118" s="54" t="s">
        <v>347</v>
      </c>
    </row>
    <row r="119" spans="1:67" ht="12.75" hidden="1" customHeight="1" x14ac:dyDescent="0.2">
      <c r="A119" s="35" t="s">
        <v>17</v>
      </c>
      <c r="C119" s="35" t="s">
        <v>17</v>
      </c>
      <c r="D119" s="35"/>
      <c r="E119" s="35">
        <f t="shared" si="26"/>
        <v>0</v>
      </c>
      <c r="F119" s="35"/>
      <c r="G119" s="35"/>
      <c r="H119" s="35"/>
      <c r="I119" s="35"/>
      <c r="J119" s="35"/>
      <c r="K119" s="35">
        <f t="shared" si="27"/>
        <v>0</v>
      </c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>
        <f t="shared" si="28"/>
        <v>0</v>
      </c>
      <c r="X119" s="35"/>
      <c r="Y119" s="35" t="s">
        <v>17</v>
      </c>
      <c r="Z119" s="55"/>
      <c r="AA119" s="35" t="s">
        <v>17</v>
      </c>
      <c r="AB119" s="35"/>
      <c r="AC119" s="35"/>
      <c r="AD119" s="35"/>
      <c r="AE119" s="35"/>
      <c r="AF119" s="35"/>
      <c r="AG119" s="35"/>
      <c r="AH119" s="35"/>
      <c r="AI119" s="45">
        <f t="shared" si="23"/>
        <v>0</v>
      </c>
      <c r="AJ119" s="45"/>
      <c r="AK119" s="35"/>
      <c r="AL119" s="35"/>
      <c r="AM119" s="35"/>
      <c r="AN119" s="35"/>
      <c r="AO119" s="35"/>
      <c r="AP119" s="35"/>
      <c r="AQ119" s="35"/>
      <c r="AR119" s="35"/>
      <c r="AS119" s="45">
        <f t="shared" si="25"/>
        <v>0</v>
      </c>
      <c r="AT119" s="45"/>
      <c r="AU119" s="35">
        <v>0</v>
      </c>
      <c r="AV119" s="35"/>
      <c r="AW119" s="35">
        <v>0</v>
      </c>
      <c r="AX119" s="35"/>
      <c r="AY119" s="35">
        <f t="shared" si="29"/>
        <v>0</v>
      </c>
      <c r="AZ119" s="35"/>
      <c r="BA119" s="35" t="s">
        <v>17</v>
      </c>
      <c r="BB119" s="55"/>
      <c r="BC119" s="35" t="s">
        <v>17</v>
      </c>
      <c r="BD119" s="35"/>
      <c r="BE119" s="35"/>
      <c r="BF119" s="35"/>
      <c r="BG119" s="35"/>
      <c r="BH119" s="35"/>
      <c r="BI119" s="35"/>
      <c r="BJ119" s="35"/>
      <c r="BK119" s="35"/>
      <c r="BL119" s="35"/>
      <c r="BM119" s="35">
        <f t="shared" si="24"/>
        <v>0</v>
      </c>
      <c r="BN119" s="54" t="s">
        <v>347</v>
      </c>
    </row>
    <row r="120" spans="1:67" ht="12.75" hidden="1" customHeight="1" x14ac:dyDescent="0.2">
      <c r="A120" s="35" t="s">
        <v>148</v>
      </c>
      <c r="C120" s="35" t="s">
        <v>15</v>
      </c>
      <c r="D120" s="35"/>
      <c r="E120" s="35">
        <f t="shared" si="26"/>
        <v>0</v>
      </c>
      <c r="F120" s="35"/>
      <c r="G120" s="35"/>
      <c r="H120" s="35"/>
      <c r="I120" s="35"/>
      <c r="J120" s="35"/>
      <c r="K120" s="35">
        <f t="shared" si="27"/>
        <v>0</v>
      </c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>
        <f t="shared" si="28"/>
        <v>0</v>
      </c>
      <c r="X120" s="35"/>
      <c r="Y120" s="35" t="s">
        <v>148</v>
      </c>
      <c r="Z120" s="55"/>
      <c r="AA120" s="35" t="s">
        <v>15</v>
      </c>
      <c r="AB120" s="35"/>
      <c r="AC120" s="35"/>
      <c r="AD120" s="35"/>
      <c r="AE120" s="35"/>
      <c r="AF120" s="35"/>
      <c r="AG120" s="35"/>
      <c r="AH120" s="35"/>
      <c r="AI120" s="45">
        <f t="shared" si="23"/>
        <v>0</v>
      </c>
      <c r="AJ120" s="45"/>
      <c r="AK120" s="35"/>
      <c r="AL120" s="35"/>
      <c r="AM120" s="35"/>
      <c r="AN120" s="35"/>
      <c r="AO120" s="35"/>
      <c r="AP120" s="35"/>
      <c r="AQ120" s="35"/>
      <c r="AR120" s="35"/>
      <c r="AS120" s="45">
        <f t="shared" si="25"/>
        <v>0</v>
      </c>
      <c r="AT120" s="45"/>
      <c r="AU120" s="35">
        <v>0</v>
      </c>
      <c r="AV120" s="35"/>
      <c r="AW120" s="35">
        <v>0</v>
      </c>
      <c r="AX120" s="35"/>
      <c r="AY120" s="35">
        <f t="shared" si="29"/>
        <v>0</v>
      </c>
      <c r="AZ120" s="35"/>
      <c r="BA120" s="35" t="s">
        <v>148</v>
      </c>
      <c r="BB120" s="55"/>
      <c r="BC120" s="35" t="s">
        <v>15</v>
      </c>
      <c r="BD120" s="35"/>
      <c r="BE120" s="35"/>
      <c r="BF120" s="35"/>
      <c r="BG120" s="35"/>
      <c r="BH120" s="35"/>
      <c r="BI120" s="35"/>
      <c r="BJ120" s="35"/>
      <c r="BK120" s="35"/>
      <c r="BL120" s="35"/>
      <c r="BM120" s="35">
        <f t="shared" si="24"/>
        <v>0</v>
      </c>
      <c r="BN120" s="54" t="s">
        <v>347</v>
      </c>
    </row>
    <row r="121" spans="1:67" ht="12.75" hidden="1" customHeight="1" x14ac:dyDescent="0.2">
      <c r="A121" s="35" t="s">
        <v>149</v>
      </c>
      <c r="C121" s="35" t="s">
        <v>45</v>
      </c>
      <c r="D121" s="35"/>
      <c r="E121" s="35">
        <f t="shared" si="26"/>
        <v>0</v>
      </c>
      <c r="F121" s="35"/>
      <c r="G121" s="35"/>
      <c r="H121" s="35"/>
      <c r="I121" s="35"/>
      <c r="J121" s="35"/>
      <c r="K121" s="35">
        <f t="shared" si="27"/>
        <v>0</v>
      </c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>
        <f t="shared" si="28"/>
        <v>0</v>
      </c>
      <c r="X121" s="35"/>
      <c r="Y121" s="35" t="s">
        <v>149</v>
      </c>
      <c r="Z121" s="55"/>
      <c r="AA121" s="35" t="s">
        <v>45</v>
      </c>
      <c r="AB121" s="35"/>
      <c r="AC121" s="35"/>
      <c r="AD121" s="35"/>
      <c r="AE121" s="35"/>
      <c r="AF121" s="35"/>
      <c r="AG121" s="35"/>
      <c r="AH121" s="35"/>
      <c r="AI121" s="45">
        <f t="shared" si="23"/>
        <v>0</v>
      </c>
      <c r="AJ121" s="45"/>
      <c r="AK121" s="35"/>
      <c r="AL121" s="35"/>
      <c r="AM121" s="35"/>
      <c r="AN121" s="35"/>
      <c r="AO121" s="35"/>
      <c r="AP121" s="35"/>
      <c r="AQ121" s="35"/>
      <c r="AR121" s="35"/>
      <c r="AS121" s="45">
        <f t="shared" si="25"/>
        <v>0</v>
      </c>
      <c r="AT121" s="45"/>
      <c r="AU121" s="35">
        <v>0</v>
      </c>
      <c r="AV121" s="35"/>
      <c r="AW121" s="35">
        <v>0</v>
      </c>
      <c r="AX121" s="35"/>
      <c r="AY121" s="35">
        <f t="shared" si="29"/>
        <v>0</v>
      </c>
      <c r="AZ121" s="35"/>
      <c r="BA121" s="35" t="s">
        <v>149</v>
      </c>
      <c r="BB121" s="55"/>
      <c r="BC121" s="35" t="s">
        <v>45</v>
      </c>
      <c r="BD121" s="35"/>
      <c r="BE121" s="35"/>
      <c r="BF121" s="35"/>
      <c r="BG121" s="35"/>
      <c r="BH121" s="35"/>
      <c r="BI121" s="35"/>
      <c r="BJ121" s="35"/>
      <c r="BK121" s="35"/>
      <c r="BL121" s="35"/>
      <c r="BM121" s="35">
        <f t="shared" si="24"/>
        <v>0</v>
      </c>
      <c r="BN121" s="54" t="s">
        <v>347</v>
      </c>
    </row>
    <row r="122" spans="1:67" ht="12.75" hidden="1" customHeight="1" x14ac:dyDescent="0.2">
      <c r="A122" s="35" t="s">
        <v>150</v>
      </c>
      <c r="C122" s="35" t="s">
        <v>27</v>
      </c>
      <c r="D122" s="35"/>
      <c r="E122" s="35">
        <f t="shared" si="26"/>
        <v>0</v>
      </c>
      <c r="F122" s="35"/>
      <c r="G122" s="35"/>
      <c r="H122" s="35"/>
      <c r="I122" s="35"/>
      <c r="J122" s="35"/>
      <c r="K122" s="35">
        <f t="shared" si="27"/>
        <v>0</v>
      </c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>
        <f t="shared" si="28"/>
        <v>0</v>
      </c>
      <c r="X122" s="35"/>
      <c r="Y122" s="35" t="s">
        <v>150</v>
      </c>
      <c r="Z122" s="55"/>
      <c r="AA122" s="35" t="s">
        <v>27</v>
      </c>
      <c r="AB122" s="35"/>
      <c r="AC122" s="35"/>
      <c r="AD122" s="35"/>
      <c r="AE122" s="35"/>
      <c r="AF122" s="35"/>
      <c r="AG122" s="35"/>
      <c r="AH122" s="35"/>
      <c r="AI122" s="45">
        <f t="shared" si="23"/>
        <v>0</v>
      </c>
      <c r="AJ122" s="45"/>
      <c r="AK122" s="35"/>
      <c r="AL122" s="35"/>
      <c r="AM122" s="35"/>
      <c r="AN122" s="35"/>
      <c r="AO122" s="35"/>
      <c r="AP122" s="35"/>
      <c r="AQ122" s="35"/>
      <c r="AR122" s="35"/>
      <c r="AS122" s="45">
        <f t="shared" si="25"/>
        <v>0</v>
      </c>
      <c r="AT122" s="45"/>
      <c r="AU122" s="35">
        <v>0</v>
      </c>
      <c r="AV122" s="35"/>
      <c r="AW122" s="35">
        <v>0</v>
      </c>
      <c r="AX122" s="35"/>
      <c r="AY122" s="35">
        <f t="shared" si="29"/>
        <v>0</v>
      </c>
      <c r="AZ122" s="35"/>
      <c r="BA122" s="35" t="s">
        <v>150</v>
      </c>
      <c r="BB122" s="55"/>
      <c r="BC122" s="35" t="s">
        <v>27</v>
      </c>
      <c r="BD122" s="35"/>
      <c r="BE122" s="35"/>
      <c r="BF122" s="35"/>
      <c r="BG122" s="35"/>
      <c r="BH122" s="35"/>
      <c r="BI122" s="35"/>
      <c r="BJ122" s="35"/>
      <c r="BK122" s="35"/>
      <c r="BL122" s="35"/>
      <c r="BM122" s="35">
        <f t="shared" si="24"/>
        <v>0</v>
      </c>
      <c r="BN122" s="54" t="s">
        <v>347</v>
      </c>
    </row>
    <row r="123" spans="1:67" ht="13.5" hidden="1" customHeight="1" x14ac:dyDescent="0.2">
      <c r="A123" s="35" t="s">
        <v>151</v>
      </c>
      <c r="C123" s="35" t="s">
        <v>13</v>
      </c>
      <c r="D123" s="35"/>
      <c r="E123" s="35">
        <f t="shared" si="26"/>
        <v>0</v>
      </c>
      <c r="F123" s="35"/>
      <c r="G123" s="35"/>
      <c r="H123" s="35"/>
      <c r="I123" s="35"/>
      <c r="J123" s="35"/>
      <c r="K123" s="35">
        <f t="shared" si="27"/>
        <v>0</v>
      </c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>
        <f t="shared" si="28"/>
        <v>0</v>
      </c>
      <c r="X123" s="35"/>
      <c r="Y123" s="35" t="s">
        <v>151</v>
      </c>
      <c r="Z123" s="55"/>
      <c r="AA123" s="35" t="s">
        <v>13</v>
      </c>
      <c r="AB123" s="35"/>
      <c r="AC123" s="35"/>
      <c r="AD123" s="35"/>
      <c r="AE123" s="35"/>
      <c r="AF123" s="35"/>
      <c r="AG123" s="35"/>
      <c r="AH123" s="35"/>
      <c r="AI123" s="45">
        <f t="shared" si="23"/>
        <v>0</v>
      </c>
      <c r="AJ123" s="45"/>
      <c r="AK123" s="35"/>
      <c r="AL123" s="35"/>
      <c r="AM123" s="35"/>
      <c r="AN123" s="35"/>
      <c r="AO123" s="35"/>
      <c r="AP123" s="35"/>
      <c r="AQ123" s="35"/>
      <c r="AR123" s="35"/>
      <c r="AS123" s="45">
        <f t="shared" si="25"/>
        <v>0</v>
      </c>
      <c r="AT123" s="45"/>
      <c r="AU123" s="35">
        <v>0</v>
      </c>
      <c r="AV123" s="35"/>
      <c r="AW123" s="35">
        <v>0</v>
      </c>
      <c r="AX123" s="35"/>
      <c r="AY123" s="35">
        <f t="shared" si="29"/>
        <v>0</v>
      </c>
      <c r="AZ123" s="35"/>
      <c r="BA123" s="35" t="s">
        <v>151</v>
      </c>
      <c r="BB123" s="55"/>
      <c r="BC123" s="35" t="s">
        <v>13</v>
      </c>
      <c r="BD123" s="35"/>
      <c r="BE123" s="35"/>
      <c r="BF123" s="35"/>
      <c r="BG123" s="35"/>
      <c r="BH123" s="35"/>
      <c r="BI123" s="35"/>
      <c r="BJ123" s="35"/>
      <c r="BK123" s="35"/>
      <c r="BL123" s="35"/>
      <c r="BM123" s="35">
        <f t="shared" si="24"/>
        <v>0</v>
      </c>
      <c r="BN123" s="54" t="s">
        <v>347</v>
      </c>
    </row>
    <row r="124" spans="1:67" ht="12.75" hidden="1" customHeight="1" x14ac:dyDescent="0.2">
      <c r="A124" s="35" t="s">
        <v>152</v>
      </c>
      <c r="C124" s="35" t="s">
        <v>153</v>
      </c>
      <c r="D124" s="35"/>
      <c r="E124" s="35">
        <f t="shared" si="26"/>
        <v>0</v>
      </c>
      <c r="F124" s="35"/>
      <c r="G124" s="35"/>
      <c r="H124" s="35"/>
      <c r="I124" s="35"/>
      <c r="J124" s="35"/>
      <c r="K124" s="35">
        <f t="shared" si="27"/>
        <v>0</v>
      </c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>
        <f t="shared" si="28"/>
        <v>0</v>
      </c>
      <c r="X124" s="35"/>
      <c r="Y124" s="35" t="s">
        <v>152</v>
      </c>
      <c r="Z124" s="55"/>
      <c r="AA124" s="35" t="s">
        <v>153</v>
      </c>
      <c r="AB124" s="35"/>
      <c r="AC124" s="35"/>
      <c r="AD124" s="35"/>
      <c r="AE124" s="35"/>
      <c r="AF124" s="35"/>
      <c r="AG124" s="35"/>
      <c r="AH124" s="35"/>
      <c r="AI124" s="45">
        <f t="shared" si="23"/>
        <v>0</v>
      </c>
      <c r="AJ124" s="45"/>
      <c r="AK124" s="35"/>
      <c r="AL124" s="35"/>
      <c r="AM124" s="35"/>
      <c r="AN124" s="35"/>
      <c r="AO124" s="35"/>
      <c r="AP124" s="35"/>
      <c r="AQ124" s="35"/>
      <c r="AR124" s="35"/>
      <c r="AS124" s="45">
        <f t="shared" si="25"/>
        <v>0</v>
      </c>
      <c r="AT124" s="45"/>
      <c r="AU124" s="35">
        <v>0</v>
      </c>
      <c r="AV124" s="35"/>
      <c r="AW124" s="35">
        <v>0</v>
      </c>
      <c r="AX124" s="35"/>
      <c r="AY124" s="35">
        <f t="shared" si="29"/>
        <v>0</v>
      </c>
      <c r="AZ124" s="35"/>
      <c r="BA124" s="35" t="s">
        <v>152</v>
      </c>
      <c r="BB124" s="55"/>
      <c r="BC124" s="35" t="s">
        <v>153</v>
      </c>
      <c r="BD124" s="35"/>
      <c r="BE124" s="35"/>
      <c r="BF124" s="35"/>
      <c r="BG124" s="35"/>
      <c r="BH124" s="35"/>
      <c r="BI124" s="35"/>
      <c r="BJ124" s="35"/>
      <c r="BK124" s="35"/>
      <c r="BL124" s="35"/>
      <c r="BM124" s="35">
        <f t="shared" si="24"/>
        <v>0</v>
      </c>
      <c r="BN124" s="54" t="s">
        <v>347</v>
      </c>
    </row>
    <row r="125" spans="1:67" ht="12.75" hidden="1" customHeight="1" x14ac:dyDescent="0.2">
      <c r="A125" s="35" t="s">
        <v>154</v>
      </c>
      <c r="C125" s="35" t="s">
        <v>27</v>
      </c>
      <c r="D125" s="35"/>
      <c r="E125" s="35">
        <f t="shared" si="26"/>
        <v>0</v>
      </c>
      <c r="F125" s="35"/>
      <c r="G125" s="35"/>
      <c r="H125" s="35"/>
      <c r="I125" s="35"/>
      <c r="J125" s="35"/>
      <c r="K125" s="35">
        <f t="shared" si="27"/>
        <v>0</v>
      </c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>
        <f t="shared" si="28"/>
        <v>0</v>
      </c>
      <c r="X125" s="35"/>
      <c r="Y125" s="35" t="s">
        <v>154</v>
      </c>
      <c r="Z125" s="55"/>
      <c r="AA125" s="35" t="s">
        <v>27</v>
      </c>
      <c r="AB125" s="35"/>
      <c r="AC125" s="35"/>
      <c r="AD125" s="35"/>
      <c r="AE125" s="35"/>
      <c r="AF125" s="35"/>
      <c r="AG125" s="35"/>
      <c r="AH125" s="35"/>
      <c r="AI125" s="45">
        <f t="shared" si="23"/>
        <v>0</v>
      </c>
      <c r="AJ125" s="45"/>
      <c r="AK125" s="35"/>
      <c r="AL125" s="35"/>
      <c r="AM125" s="35"/>
      <c r="AN125" s="35"/>
      <c r="AO125" s="35"/>
      <c r="AP125" s="35"/>
      <c r="AQ125" s="35"/>
      <c r="AR125" s="35"/>
      <c r="AS125" s="45">
        <f t="shared" si="25"/>
        <v>0</v>
      </c>
      <c r="AT125" s="45"/>
      <c r="AU125" s="35">
        <v>0</v>
      </c>
      <c r="AV125" s="35"/>
      <c r="AW125" s="35">
        <v>0</v>
      </c>
      <c r="AX125" s="35"/>
      <c r="AY125" s="35">
        <f t="shared" si="29"/>
        <v>0</v>
      </c>
      <c r="AZ125" s="35"/>
      <c r="BA125" s="35" t="s">
        <v>154</v>
      </c>
      <c r="BB125" s="55"/>
      <c r="BC125" s="35" t="s">
        <v>27</v>
      </c>
      <c r="BD125" s="35"/>
      <c r="BE125" s="35"/>
      <c r="BF125" s="35"/>
      <c r="BG125" s="35"/>
      <c r="BH125" s="35"/>
      <c r="BI125" s="35"/>
      <c r="BJ125" s="35"/>
      <c r="BK125" s="35"/>
      <c r="BL125" s="35"/>
      <c r="BM125" s="35">
        <f t="shared" si="24"/>
        <v>0</v>
      </c>
      <c r="BN125" s="54" t="s">
        <v>347</v>
      </c>
    </row>
    <row r="126" spans="1:67" ht="12.75" hidden="1" customHeight="1" x14ac:dyDescent="0.2">
      <c r="A126" s="35" t="s">
        <v>155</v>
      </c>
      <c r="C126" s="35" t="s">
        <v>40</v>
      </c>
      <c r="D126" s="35"/>
      <c r="E126" s="35">
        <f t="shared" si="26"/>
        <v>0</v>
      </c>
      <c r="F126" s="35"/>
      <c r="G126" s="35"/>
      <c r="H126" s="35"/>
      <c r="I126" s="35"/>
      <c r="J126" s="35"/>
      <c r="K126" s="35">
        <f t="shared" si="27"/>
        <v>0</v>
      </c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>
        <f t="shared" si="28"/>
        <v>0</v>
      </c>
      <c r="X126" s="35"/>
      <c r="Y126" s="35" t="s">
        <v>155</v>
      </c>
      <c r="Z126" s="55"/>
      <c r="AA126" s="35" t="s">
        <v>40</v>
      </c>
      <c r="AB126" s="35"/>
      <c r="AC126" s="35"/>
      <c r="AD126" s="35"/>
      <c r="AE126" s="35"/>
      <c r="AF126" s="35"/>
      <c r="AG126" s="35"/>
      <c r="AH126" s="35"/>
      <c r="AI126" s="45">
        <f t="shared" si="23"/>
        <v>0</v>
      </c>
      <c r="AJ126" s="45"/>
      <c r="AK126" s="35"/>
      <c r="AL126" s="35"/>
      <c r="AM126" s="35"/>
      <c r="AN126" s="35"/>
      <c r="AO126" s="35"/>
      <c r="AP126" s="35"/>
      <c r="AQ126" s="35"/>
      <c r="AR126" s="35"/>
      <c r="AS126" s="45">
        <f t="shared" si="25"/>
        <v>0</v>
      </c>
      <c r="AT126" s="45"/>
      <c r="AU126" s="35">
        <v>0</v>
      </c>
      <c r="AV126" s="35"/>
      <c r="AW126" s="35">
        <v>0</v>
      </c>
      <c r="AX126" s="35"/>
      <c r="AY126" s="35">
        <f t="shared" si="29"/>
        <v>0</v>
      </c>
      <c r="AZ126" s="35"/>
      <c r="BA126" s="35" t="s">
        <v>155</v>
      </c>
      <c r="BB126" s="55"/>
      <c r="BC126" s="35" t="s">
        <v>40</v>
      </c>
      <c r="BD126" s="35"/>
      <c r="BE126" s="35"/>
      <c r="BF126" s="35"/>
      <c r="BG126" s="35"/>
      <c r="BH126" s="35"/>
      <c r="BI126" s="35"/>
      <c r="BJ126" s="35"/>
      <c r="BK126" s="35"/>
      <c r="BL126" s="35"/>
      <c r="BM126" s="35">
        <f t="shared" si="24"/>
        <v>0</v>
      </c>
      <c r="BN126" s="54" t="s">
        <v>347</v>
      </c>
    </row>
    <row r="127" spans="1:67" ht="12.75" hidden="1" customHeight="1" x14ac:dyDescent="0.2">
      <c r="A127" s="35" t="s">
        <v>156</v>
      </c>
      <c r="C127" s="35" t="s">
        <v>156</v>
      </c>
      <c r="D127" s="35"/>
      <c r="E127" s="35">
        <f t="shared" si="26"/>
        <v>0</v>
      </c>
      <c r="F127" s="35"/>
      <c r="G127" s="35"/>
      <c r="H127" s="35"/>
      <c r="I127" s="35"/>
      <c r="J127" s="35"/>
      <c r="K127" s="35">
        <f t="shared" si="27"/>
        <v>0</v>
      </c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>
        <f t="shared" si="28"/>
        <v>0</v>
      </c>
      <c r="X127" s="35"/>
      <c r="Y127" s="35" t="s">
        <v>156</v>
      </c>
      <c r="Z127" s="55"/>
      <c r="AA127" s="35" t="s">
        <v>156</v>
      </c>
      <c r="AB127" s="35"/>
      <c r="AC127" s="35"/>
      <c r="AD127" s="35"/>
      <c r="AE127" s="35"/>
      <c r="AF127" s="35"/>
      <c r="AG127" s="35"/>
      <c r="AH127" s="35"/>
      <c r="AI127" s="45">
        <f t="shared" si="23"/>
        <v>0</v>
      </c>
      <c r="AJ127" s="45"/>
      <c r="AK127" s="35"/>
      <c r="AL127" s="35"/>
      <c r="AM127" s="35"/>
      <c r="AN127" s="35"/>
      <c r="AO127" s="35"/>
      <c r="AP127" s="35"/>
      <c r="AQ127" s="35"/>
      <c r="AR127" s="35"/>
      <c r="AS127" s="45">
        <f t="shared" si="25"/>
        <v>0</v>
      </c>
      <c r="AT127" s="45"/>
      <c r="AU127" s="35">
        <v>0</v>
      </c>
      <c r="AV127" s="35"/>
      <c r="AW127" s="35">
        <v>0</v>
      </c>
      <c r="AX127" s="35"/>
      <c r="AY127" s="35">
        <f t="shared" si="29"/>
        <v>0</v>
      </c>
      <c r="AZ127" s="35"/>
      <c r="BA127" s="35" t="s">
        <v>156</v>
      </c>
      <c r="BB127" s="55"/>
      <c r="BC127" s="35" t="s">
        <v>156</v>
      </c>
      <c r="BD127" s="35"/>
      <c r="BE127" s="35"/>
      <c r="BF127" s="35"/>
      <c r="BG127" s="35"/>
      <c r="BH127" s="35"/>
      <c r="BI127" s="35"/>
      <c r="BJ127" s="35"/>
      <c r="BK127" s="35"/>
      <c r="BL127" s="35"/>
      <c r="BM127" s="35">
        <f t="shared" si="24"/>
        <v>0</v>
      </c>
      <c r="BN127" s="54" t="s">
        <v>347</v>
      </c>
    </row>
    <row r="128" spans="1:67" ht="12.75" hidden="1" customHeight="1" x14ac:dyDescent="0.2">
      <c r="A128" s="35" t="s">
        <v>157</v>
      </c>
      <c r="C128" s="35" t="s">
        <v>33</v>
      </c>
      <c r="D128" s="35"/>
      <c r="E128" s="35">
        <f t="shared" si="26"/>
        <v>0</v>
      </c>
      <c r="F128" s="35"/>
      <c r="G128" s="35"/>
      <c r="H128" s="35"/>
      <c r="I128" s="35"/>
      <c r="J128" s="35"/>
      <c r="K128" s="35">
        <f t="shared" si="27"/>
        <v>0</v>
      </c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>
        <f t="shared" si="28"/>
        <v>0</v>
      </c>
      <c r="X128" s="35"/>
      <c r="Y128" s="35" t="s">
        <v>157</v>
      </c>
      <c r="Z128" s="55"/>
      <c r="AA128" s="35" t="s">
        <v>33</v>
      </c>
      <c r="AB128" s="35"/>
      <c r="AC128" s="35"/>
      <c r="AD128" s="35"/>
      <c r="AE128" s="35"/>
      <c r="AF128" s="35"/>
      <c r="AG128" s="35"/>
      <c r="AH128" s="35"/>
      <c r="AI128" s="45">
        <f t="shared" si="23"/>
        <v>0</v>
      </c>
      <c r="AJ128" s="45"/>
      <c r="AK128" s="35"/>
      <c r="AL128" s="35"/>
      <c r="AM128" s="35"/>
      <c r="AN128" s="35"/>
      <c r="AO128" s="35"/>
      <c r="AP128" s="35"/>
      <c r="AQ128" s="35"/>
      <c r="AR128" s="35"/>
      <c r="AS128" s="45">
        <f t="shared" si="25"/>
        <v>0</v>
      </c>
      <c r="AT128" s="45"/>
      <c r="AU128" s="35">
        <v>0</v>
      </c>
      <c r="AV128" s="35"/>
      <c r="AW128" s="35">
        <v>0</v>
      </c>
      <c r="AX128" s="35"/>
      <c r="AY128" s="35">
        <f t="shared" si="29"/>
        <v>0</v>
      </c>
      <c r="AZ128" s="35"/>
      <c r="BA128" s="35" t="s">
        <v>157</v>
      </c>
      <c r="BB128" s="55"/>
      <c r="BC128" s="35" t="s">
        <v>33</v>
      </c>
      <c r="BD128" s="35"/>
      <c r="BE128" s="35"/>
      <c r="BF128" s="35"/>
      <c r="BG128" s="35"/>
      <c r="BH128" s="35"/>
      <c r="BI128" s="35"/>
      <c r="BJ128" s="35"/>
      <c r="BK128" s="35"/>
      <c r="BL128" s="35"/>
      <c r="BM128" s="35">
        <f t="shared" si="24"/>
        <v>0</v>
      </c>
      <c r="BN128" s="54" t="s">
        <v>347</v>
      </c>
    </row>
    <row r="129" spans="1:66" ht="12.75" hidden="1" customHeight="1" x14ac:dyDescent="0.2">
      <c r="A129" s="35" t="s">
        <v>158</v>
      </c>
      <c r="C129" s="35" t="s">
        <v>159</v>
      </c>
      <c r="D129" s="35"/>
      <c r="E129" s="35">
        <f t="shared" si="26"/>
        <v>0</v>
      </c>
      <c r="F129" s="35"/>
      <c r="G129" s="35"/>
      <c r="H129" s="35"/>
      <c r="I129" s="35"/>
      <c r="J129" s="35"/>
      <c r="K129" s="35">
        <f t="shared" si="27"/>
        <v>0</v>
      </c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>
        <f t="shared" si="28"/>
        <v>0</v>
      </c>
      <c r="X129" s="35"/>
      <c r="Y129" s="35" t="s">
        <v>158</v>
      </c>
      <c r="Z129" s="55"/>
      <c r="AA129" s="35" t="s">
        <v>159</v>
      </c>
      <c r="AB129" s="35"/>
      <c r="AC129" s="35"/>
      <c r="AD129" s="35"/>
      <c r="AE129" s="35"/>
      <c r="AF129" s="35"/>
      <c r="AG129" s="35"/>
      <c r="AH129" s="35"/>
      <c r="AI129" s="45">
        <f t="shared" si="23"/>
        <v>0</v>
      </c>
      <c r="AJ129" s="45"/>
      <c r="AK129" s="35"/>
      <c r="AL129" s="35"/>
      <c r="AM129" s="35"/>
      <c r="AN129" s="35"/>
      <c r="AO129" s="35"/>
      <c r="AP129" s="35"/>
      <c r="AQ129" s="35"/>
      <c r="AR129" s="35"/>
      <c r="AS129" s="45">
        <f t="shared" si="25"/>
        <v>0</v>
      </c>
      <c r="AT129" s="45"/>
      <c r="AU129" s="35">
        <v>0</v>
      </c>
      <c r="AV129" s="35"/>
      <c r="AW129" s="35">
        <v>0</v>
      </c>
      <c r="AX129" s="35"/>
      <c r="AY129" s="35">
        <f t="shared" si="29"/>
        <v>0</v>
      </c>
      <c r="AZ129" s="35"/>
      <c r="BA129" s="35" t="s">
        <v>158</v>
      </c>
      <c r="BB129" s="55"/>
      <c r="BC129" s="35" t="s">
        <v>159</v>
      </c>
      <c r="BD129" s="35"/>
      <c r="BE129" s="35"/>
      <c r="BF129" s="35"/>
      <c r="BG129" s="35"/>
      <c r="BH129" s="35"/>
      <c r="BI129" s="35"/>
      <c r="BJ129" s="35"/>
      <c r="BK129" s="35"/>
      <c r="BL129" s="35"/>
      <c r="BM129" s="35">
        <f t="shared" si="24"/>
        <v>0</v>
      </c>
      <c r="BN129" s="54" t="s">
        <v>347</v>
      </c>
    </row>
    <row r="130" spans="1:66" ht="12.75" hidden="1" customHeight="1" x14ac:dyDescent="0.2">
      <c r="A130" s="35" t="s">
        <v>160</v>
      </c>
      <c r="C130" s="35" t="s">
        <v>111</v>
      </c>
      <c r="D130" s="35"/>
      <c r="E130" s="35">
        <f t="shared" si="26"/>
        <v>0</v>
      </c>
      <c r="F130" s="35"/>
      <c r="G130" s="35"/>
      <c r="H130" s="35"/>
      <c r="I130" s="35"/>
      <c r="J130" s="35"/>
      <c r="K130" s="35">
        <f t="shared" si="27"/>
        <v>0</v>
      </c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>
        <f t="shared" si="28"/>
        <v>0</v>
      </c>
      <c r="X130" s="35"/>
      <c r="Y130" s="35" t="s">
        <v>160</v>
      </c>
      <c r="Z130" s="55"/>
      <c r="AA130" s="35" t="s">
        <v>111</v>
      </c>
      <c r="AB130" s="35"/>
      <c r="AC130" s="35"/>
      <c r="AD130" s="35"/>
      <c r="AE130" s="35"/>
      <c r="AF130" s="35"/>
      <c r="AG130" s="35"/>
      <c r="AH130" s="35"/>
      <c r="AI130" s="45">
        <f t="shared" si="23"/>
        <v>0</v>
      </c>
      <c r="AJ130" s="45"/>
      <c r="AK130" s="35"/>
      <c r="AL130" s="35"/>
      <c r="AM130" s="35"/>
      <c r="AN130" s="35"/>
      <c r="AO130" s="35"/>
      <c r="AP130" s="35"/>
      <c r="AQ130" s="35"/>
      <c r="AR130" s="35"/>
      <c r="AS130" s="45">
        <f t="shared" si="25"/>
        <v>0</v>
      </c>
      <c r="AT130" s="45"/>
      <c r="AU130" s="35">
        <v>0</v>
      </c>
      <c r="AV130" s="35"/>
      <c r="AW130" s="35">
        <v>0</v>
      </c>
      <c r="AX130" s="35"/>
      <c r="AY130" s="35">
        <f t="shared" si="29"/>
        <v>0</v>
      </c>
      <c r="AZ130" s="35"/>
      <c r="BA130" s="35" t="s">
        <v>160</v>
      </c>
      <c r="BB130" s="55"/>
      <c r="BC130" s="35" t="s">
        <v>111</v>
      </c>
      <c r="BD130" s="35"/>
      <c r="BE130" s="35"/>
      <c r="BF130" s="35"/>
      <c r="BG130" s="35"/>
      <c r="BH130" s="35"/>
      <c r="BI130" s="35"/>
      <c r="BJ130" s="35"/>
      <c r="BK130" s="35"/>
      <c r="BL130" s="35"/>
      <c r="BM130" s="35">
        <f t="shared" si="24"/>
        <v>0</v>
      </c>
      <c r="BN130" s="54" t="s">
        <v>347</v>
      </c>
    </row>
    <row r="131" spans="1:66" ht="12.75" hidden="1" customHeight="1" x14ac:dyDescent="0.2">
      <c r="A131" s="35" t="s">
        <v>161</v>
      </c>
      <c r="C131" s="35" t="s">
        <v>15</v>
      </c>
      <c r="D131" s="35"/>
      <c r="E131" s="35">
        <f t="shared" si="26"/>
        <v>0</v>
      </c>
      <c r="F131" s="35"/>
      <c r="G131" s="35"/>
      <c r="H131" s="35"/>
      <c r="I131" s="35"/>
      <c r="J131" s="35"/>
      <c r="K131" s="35">
        <f t="shared" si="27"/>
        <v>0</v>
      </c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>
        <f t="shared" si="28"/>
        <v>0</v>
      </c>
      <c r="X131" s="35"/>
      <c r="Y131" s="35" t="s">
        <v>161</v>
      </c>
      <c r="Z131" s="55"/>
      <c r="AA131" s="35" t="s">
        <v>15</v>
      </c>
      <c r="AB131" s="35"/>
      <c r="AC131" s="35"/>
      <c r="AD131" s="35"/>
      <c r="AE131" s="35"/>
      <c r="AF131" s="35"/>
      <c r="AG131" s="35"/>
      <c r="AH131" s="35"/>
      <c r="AI131" s="45">
        <f t="shared" si="23"/>
        <v>0</v>
      </c>
      <c r="AJ131" s="45"/>
      <c r="AK131" s="35"/>
      <c r="AL131" s="35"/>
      <c r="AM131" s="35"/>
      <c r="AN131" s="35"/>
      <c r="AO131" s="35"/>
      <c r="AP131" s="35"/>
      <c r="AQ131" s="35"/>
      <c r="AR131" s="35"/>
      <c r="AS131" s="45">
        <f t="shared" si="25"/>
        <v>0</v>
      </c>
      <c r="AT131" s="45"/>
      <c r="AU131" s="35">
        <v>0</v>
      </c>
      <c r="AV131" s="35"/>
      <c r="AW131" s="35">
        <v>0</v>
      </c>
      <c r="AX131" s="35"/>
      <c r="AY131" s="35">
        <f t="shared" si="29"/>
        <v>0</v>
      </c>
      <c r="AZ131" s="35"/>
      <c r="BA131" s="35" t="s">
        <v>161</v>
      </c>
      <c r="BB131" s="55"/>
      <c r="BC131" s="35" t="s">
        <v>15</v>
      </c>
      <c r="BD131" s="35"/>
      <c r="BE131" s="35"/>
      <c r="BF131" s="35"/>
      <c r="BG131" s="35"/>
      <c r="BH131" s="35"/>
      <c r="BI131" s="35"/>
      <c r="BJ131" s="35"/>
      <c r="BK131" s="35"/>
      <c r="BL131" s="35"/>
      <c r="BM131" s="35">
        <f t="shared" si="24"/>
        <v>0</v>
      </c>
      <c r="BN131" s="54" t="s">
        <v>347</v>
      </c>
    </row>
    <row r="132" spans="1:66" ht="12.75" hidden="1" customHeight="1" x14ac:dyDescent="0.2">
      <c r="A132" s="35" t="s">
        <v>162</v>
      </c>
      <c r="C132" s="35" t="s">
        <v>163</v>
      </c>
      <c r="D132" s="35"/>
      <c r="E132" s="35">
        <f t="shared" si="26"/>
        <v>0</v>
      </c>
      <c r="F132" s="35"/>
      <c r="G132" s="35"/>
      <c r="H132" s="35"/>
      <c r="I132" s="35"/>
      <c r="J132" s="35"/>
      <c r="K132" s="35">
        <f t="shared" si="27"/>
        <v>0</v>
      </c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>
        <f t="shared" si="28"/>
        <v>0</v>
      </c>
      <c r="X132" s="35"/>
      <c r="Y132" s="35" t="s">
        <v>162</v>
      </c>
      <c r="Z132" s="55"/>
      <c r="AA132" s="35" t="s">
        <v>163</v>
      </c>
      <c r="AB132" s="35"/>
      <c r="AC132" s="35"/>
      <c r="AD132" s="35"/>
      <c r="AE132" s="35"/>
      <c r="AF132" s="35"/>
      <c r="AG132" s="35"/>
      <c r="AH132" s="35"/>
      <c r="AI132" s="45">
        <f t="shared" si="23"/>
        <v>0</v>
      </c>
      <c r="AJ132" s="45"/>
      <c r="AK132" s="35"/>
      <c r="AL132" s="35"/>
      <c r="AM132" s="35"/>
      <c r="AN132" s="35"/>
      <c r="AO132" s="35"/>
      <c r="AP132" s="35"/>
      <c r="AQ132" s="35"/>
      <c r="AR132" s="35"/>
      <c r="AS132" s="45">
        <f t="shared" si="25"/>
        <v>0</v>
      </c>
      <c r="AT132" s="45"/>
      <c r="AU132" s="35">
        <v>0</v>
      </c>
      <c r="AV132" s="35"/>
      <c r="AW132" s="35">
        <v>0</v>
      </c>
      <c r="AX132" s="35"/>
      <c r="AY132" s="35">
        <f t="shared" si="29"/>
        <v>0</v>
      </c>
      <c r="AZ132" s="35"/>
      <c r="BA132" s="35" t="s">
        <v>162</v>
      </c>
      <c r="BB132" s="55"/>
      <c r="BC132" s="35" t="s">
        <v>163</v>
      </c>
      <c r="BD132" s="35"/>
      <c r="BE132" s="35"/>
      <c r="BF132" s="35"/>
      <c r="BG132" s="35"/>
      <c r="BH132" s="35"/>
      <c r="BI132" s="35"/>
      <c r="BJ132" s="35"/>
      <c r="BK132" s="35"/>
      <c r="BL132" s="35"/>
      <c r="BM132" s="35">
        <f t="shared" si="24"/>
        <v>0</v>
      </c>
      <c r="BN132" s="54" t="s">
        <v>347</v>
      </c>
    </row>
    <row r="133" spans="1:66" ht="12.75" hidden="1" customHeight="1" x14ac:dyDescent="0.2">
      <c r="A133" s="35" t="s">
        <v>164</v>
      </c>
      <c r="C133" s="35" t="s">
        <v>27</v>
      </c>
      <c r="D133" s="35"/>
      <c r="E133" s="35">
        <f t="shared" si="26"/>
        <v>0</v>
      </c>
      <c r="F133" s="35"/>
      <c r="G133" s="35"/>
      <c r="H133" s="35"/>
      <c r="I133" s="35"/>
      <c r="J133" s="35"/>
      <c r="K133" s="35">
        <f t="shared" si="27"/>
        <v>0</v>
      </c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>
        <f t="shared" si="28"/>
        <v>0</v>
      </c>
      <c r="X133" s="35"/>
      <c r="Y133" s="35" t="s">
        <v>164</v>
      </c>
      <c r="Z133" s="55"/>
      <c r="AA133" s="35" t="s">
        <v>27</v>
      </c>
      <c r="AB133" s="35"/>
      <c r="AC133" s="35"/>
      <c r="AD133" s="35"/>
      <c r="AE133" s="35"/>
      <c r="AF133" s="35"/>
      <c r="AG133" s="35"/>
      <c r="AH133" s="35"/>
      <c r="AI133" s="45">
        <f t="shared" si="23"/>
        <v>0</v>
      </c>
      <c r="AJ133" s="45"/>
      <c r="AK133" s="35"/>
      <c r="AL133" s="35"/>
      <c r="AM133" s="35"/>
      <c r="AN133" s="35"/>
      <c r="AO133" s="35"/>
      <c r="AP133" s="35"/>
      <c r="AQ133" s="35"/>
      <c r="AR133" s="35"/>
      <c r="AS133" s="45">
        <f t="shared" si="25"/>
        <v>0</v>
      </c>
      <c r="AT133" s="45"/>
      <c r="AU133" s="35">
        <v>0</v>
      </c>
      <c r="AV133" s="35"/>
      <c r="AW133" s="35">
        <v>0</v>
      </c>
      <c r="AX133" s="35"/>
      <c r="AY133" s="35">
        <f t="shared" si="29"/>
        <v>0</v>
      </c>
      <c r="AZ133" s="35"/>
      <c r="BA133" s="35" t="s">
        <v>164</v>
      </c>
      <c r="BB133" s="55"/>
      <c r="BC133" s="35" t="s">
        <v>27</v>
      </c>
      <c r="BD133" s="35"/>
      <c r="BE133" s="35"/>
      <c r="BF133" s="35"/>
      <c r="BG133" s="35"/>
      <c r="BH133" s="35"/>
      <c r="BI133" s="35"/>
      <c r="BJ133" s="35"/>
      <c r="BK133" s="35"/>
      <c r="BL133" s="35"/>
      <c r="BM133" s="35">
        <f t="shared" ref="BM133:BM144" si="30">SUM(BE133:BK133)</f>
        <v>0</v>
      </c>
      <c r="BN133" s="54" t="s">
        <v>347</v>
      </c>
    </row>
    <row r="134" spans="1:66" ht="12.75" hidden="1" customHeight="1" x14ac:dyDescent="0.2">
      <c r="A134" s="35" t="s">
        <v>53</v>
      </c>
      <c r="C134" s="35" t="s">
        <v>53</v>
      </c>
      <c r="D134" s="35"/>
      <c r="E134" s="35">
        <f t="shared" si="26"/>
        <v>0</v>
      </c>
      <c r="F134" s="35"/>
      <c r="G134" s="35"/>
      <c r="H134" s="35"/>
      <c r="I134" s="35"/>
      <c r="J134" s="35"/>
      <c r="K134" s="35">
        <f t="shared" si="27"/>
        <v>0</v>
      </c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>
        <f t="shared" si="28"/>
        <v>0</v>
      </c>
      <c r="X134" s="35"/>
      <c r="Y134" s="35" t="s">
        <v>53</v>
      </c>
      <c r="Z134" s="55"/>
      <c r="AA134" s="35" t="s">
        <v>53</v>
      </c>
      <c r="AB134" s="35"/>
      <c r="AC134" s="35"/>
      <c r="AD134" s="35"/>
      <c r="AE134" s="35"/>
      <c r="AF134" s="35"/>
      <c r="AG134" s="35"/>
      <c r="AH134" s="35"/>
      <c r="AI134" s="45">
        <f t="shared" si="23"/>
        <v>0</v>
      </c>
      <c r="AJ134" s="45"/>
      <c r="AK134" s="35"/>
      <c r="AL134" s="35"/>
      <c r="AM134" s="35"/>
      <c r="AN134" s="35"/>
      <c r="AO134" s="35"/>
      <c r="AP134" s="35"/>
      <c r="AQ134" s="35"/>
      <c r="AR134" s="35"/>
      <c r="AS134" s="45">
        <f t="shared" si="25"/>
        <v>0</v>
      </c>
      <c r="AT134" s="45"/>
      <c r="AU134" s="35">
        <v>0</v>
      </c>
      <c r="AV134" s="35"/>
      <c r="AW134" s="35">
        <v>0</v>
      </c>
      <c r="AX134" s="35"/>
      <c r="AY134" s="35">
        <f t="shared" si="29"/>
        <v>0</v>
      </c>
      <c r="AZ134" s="35"/>
      <c r="BA134" s="35" t="s">
        <v>53</v>
      </c>
      <c r="BB134" s="55"/>
      <c r="BC134" s="35" t="s">
        <v>53</v>
      </c>
      <c r="BD134" s="35"/>
      <c r="BE134" s="35"/>
      <c r="BF134" s="35"/>
      <c r="BG134" s="35"/>
      <c r="BH134" s="35"/>
      <c r="BI134" s="35"/>
      <c r="BJ134" s="35"/>
      <c r="BK134" s="35"/>
      <c r="BL134" s="35"/>
      <c r="BM134" s="35">
        <f t="shared" si="30"/>
        <v>0</v>
      </c>
      <c r="BN134" s="54" t="s">
        <v>347</v>
      </c>
    </row>
    <row r="135" spans="1:66" ht="12.75" hidden="1" customHeight="1" x14ac:dyDescent="0.2">
      <c r="A135" s="35" t="s">
        <v>165</v>
      </c>
      <c r="C135" s="35" t="s">
        <v>92</v>
      </c>
      <c r="D135" s="35"/>
      <c r="E135" s="35">
        <f t="shared" si="26"/>
        <v>0</v>
      </c>
      <c r="F135" s="35"/>
      <c r="G135" s="35"/>
      <c r="H135" s="35"/>
      <c r="I135" s="35"/>
      <c r="J135" s="35"/>
      <c r="K135" s="35">
        <f t="shared" si="27"/>
        <v>0</v>
      </c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>
        <f t="shared" si="28"/>
        <v>0</v>
      </c>
      <c r="X135" s="35"/>
      <c r="Y135" s="35" t="s">
        <v>165</v>
      </c>
      <c r="Z135" s="55"/>
      <c r="AA135" s="35" t="s">
        <v>92</v>
      </c>
      <c r="AB135" s="35"/>
      <c r="AC135" s="35"/>
      <c r="AD135" s="35"/>
      <c r="AE135" s="35"/>
      <c r="AF135" s="35"/>
      <c r="AG135" s="35"/>
      <c r="AH135" s="35"/>
      <c r="AI135" s="45">
        <f t="shared" si="23"/>
        <v>0</v>
      </c>
      <c r="AJ135" s="45"/>
      <c r="AK135" s="35"/>
      <c r="AL135" s="35"/>
      <c r="AM135" s="35"/>
      <c r="AN135" s="35"/>
      <c r="AO135" s="35"/>
      <c r="AP135" s="35"/>
      <c r="AQ135" s="35"/>
      <c r="AR135" s="35"/>
      <c r="AS135" s="45">
        <f t="shared" si="25"/>
        <v>0</v>
      </c>
      <c r="AT135" s="45"/>
      <c r="AU135" s="35">
        <v>0</v>
      </c>
      <c r="AV135" s="35"/>
      <c r="AW135" s="35">
        <v>0</v>
      </c>
      <c r="AX135" s="35"/>
      <c r="AY135" s="35">
        <f t="shared" si="29"/>
        <v>0</v>
      </c>
      <c r="AZ135" s="35"/>
      <c r="BA135" s="35" t="s">
        <v>165</v>
      </c>
      <c r="BB135" s="55"/>
      <c r="BC135" s="35" t="s">
        <v>92</v>
      </c>
      <c r="BD135" s="35"/>
      <c r="BE135" s="35"/>
      <c r="BF135" s="35"/>
      <c r="BG135" s="35"/>
      <c r="BH135" s="35"/>
      <c r="BI135" s="35"/>
      <c r="BJ135" s="35"/>
      <c r="BK135" s="35"/>
      <c r="BL135" s="35"/>
      <c r="BM135" s="35">
        <f t="shared" si="30"/>
        <v>0</v>
      </c>
      <c r="BN135" s="54" t="s">
        <v>347</v>
      </c>
    </row>
    <row r="136" spans="1:66" ht="12.75" hidden="1" customHeight="1" x14ac:dyDescent="0.2">
      <c r="A136" s="35" t="s">
        <v>166</v>
      </c>
      <c r="C136" s="35" t="s">
        <v>92</v>
      </c>
      <c r="D136" s="35"/>
      <c r="E136" s="35">
        <f t="shared" si="26"/>
        <v>0</v>
      </c>
      <c r="F136" s="35"/>
      <c r="G136" s="35"/>
      <c r="H136" s="35"/>
      <c r="I136" s="35"/>
      <c r="J136" s="35"/>
      <c r="K136" s="35">
        <f t="shared" si="27"/>
        <v>0</v>
      </c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>
        <f t="shared" si="28"/>
        <v>0</v>
      </c>
      <c r="X136" s="35"/>
      <c r="Y136" s="35" t="s">
        <v>166</v>
      </c>
      <c r="Z136" s="55"/>
      <c r="AA136" s="35" t="s">
        <v>92</v>
      </c>
      <c r="AB136" s="35"/>
      <c r="AC136" s="35"/>
      <c r="AD136" s="35"/>
      <c r="AE136" s="35"/>
      <c r="AF136" s="35"/>
      <c r="AG136" s="35"/>
      <c r="AH136" s="35"/>
      <c r="AI136" s="45">
        <f t="shared" si="23"/>
        <v>0</v>
      </c>
      <c r="AJ136" s="45"/>
      <c r="AK136" s="35"/>
      <c r="AL136" s="35"/>
      <c r="AM136" s="35"/>
      <c r="AN136" s="35"/>
      <c r="AO136" s="35"/>
      <c r="AP136" s="35"/>
      <c r="AQ136" s="35"/>
      <c r="AR136" s="35"/>
      <c r="AS136" s="45">
        <f t="shared" si="25"/>
        <v>0</v>
      </c>
      <c r="AT136" s="45"/>
      <c r="AU136" s="35">
        <v>0</v>
      </c>
      <c r="AV136" s="35"/>
      <c r="AW136" s="35">
        <v>0</v>
      </c>
      <c r="AX136" s="35"/>
      <c r="AY136" s="35">
        <f t="shared" si="29"/>
        <v>0</v>
      </c>
      <c r="AZ136" s="35"/>
      <c r="BA136" s="35" t="s">
        <v>166</v>
      </c>
      <c r="BB136" s="55"/>
      <c r="BC136" s="35" t="s">
        <v>92</v>
      </c>
      <c r="BD136" s="35"/>
      <c r="BE136" s="35"/>
      <c r="BF136" s="35"/>
      <c r="BG136" s="35"/>
      <c r="BH136" s="35"/>
      <c r="BI136" s="35"/>
      <c r="BJ136" s="35"/>
      <c r="BK136" s="35"/>
      <c r="BL136" s="35"/>
      <c r="BM136" s="35">
        <f t="shared" si="30"/>
        <v>0</v>
      </c>
      <c r="BN136" s="54" t="s">
        <v>347</v>
      </c>
    </row>
    <row r="137" spans="1:66" ht="12.75" hidden="1" customHeight="1" x14ac:dyDescent="0.2">
      <c r="A137" s="35" t="s">
        <v>167</v>
      </c>
      <c r="C137" s="35" t="s">
        <v>66</v>
      </c>
      <c r="D137" s="35"/>
      <c r="E137" s="35">
        <f t="shared" si="26"/>
        <v>0</v>
      </c>
      <c r="F137" s="35"/>
      <c r="G137" s="35"/>
      <c r="H137" s="35"/>
      <c r="I137" s="35"/>
      <c r="J137" s="35"/>
      <c r="K137" s="35">
        <f t="shared" si="27"/>
        <v>0</v>
      </c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>
        <f t="shared" si="28"/>
        <v>0</v>
      </c>
      <c r="X137" s="35"/>
      <c r="Y137" s="35" t="s">
        <v>167</v>
      </c>
      <c r="Z137" s="55"/>
      <c r="AA137" s="35" t="s">
        <v>66</v>
      </c>
      <c r="AB137" s="35"/>
      <c r="AC137" s="35"/>
      <c r="AD137" s="35"/>
      <c r="AE137" s="35"/>
      <c r="AF137" s="35"/>
      <c r="AG137" s="35"/>
      <c r="AH137" s="35"/>
      <c r="AI137" s="45">
        <f t="shared" si="23"/>
        <v>0</v>
      </c>
      <c r="AJ137" s="45"/>
      <c r="AK137" s="35"/>
      <c r="AL137" s="35"/>
      <c r="AM137" s="35"/>
      <c r="AN137" s="35"/>
      <c r="AO137" s="35"/>
      <c r="AP137" s="35"/>
      <c r="AQ137" s="35"/>
      <c r="AR137" s="35"/>
      <c r="AS137" s="45">
        <f t="shared" si="25"/>
        <v>0</v>
      </c>
      <c r="AT137" s="45"/>
      <c r="AU137" s="35">
        <v>0</v>
      </c>
      <c r="AV137" s="35"/>
      <c r="AW137" s="35">
        <v>0</v>
      </c>
      <c r="AX137" s="35"/>
      <c r="AY137" s="35">
        <f t="shared" si="29"/>
        <v>0</v>
      </c>
      <c r="AZ137" s="35"/>
      <c r="BA137" s="35" t="s">
        <v>167</v>
      </c>
      <c r="BB137" s="55"/>
      <c r="BC137" s="35" t="s">
        <v>66</v>
      </c>
      <c r="BD137" s="35"/>
      <c r="BE137" s="35"/>
      <c r="BF137" s="35"/>
      <c r="BG137" s="35"/>
      <c r="BH137" s="35"/>
      <c r="BI137" s="35"/>
      <c r="BJ137" s="35"/>
      <c r="BK137" s="35"/>
      <c r="BL137" s="35"/>
      <c r="BM137" s="35">
        <f t="shared" si="30"/>
        <v>0</v>
      </c>
      <c r="BN137" s="54" t="s">
        <v>347</v>
      </c>
    </row>
    <row r="138" spans="1:66" ht="12.75" hidden="1" customHeight="1" x14ac:dyDescent="0.2">
      <c r="A138" s="44" t="s">
        <v>168</v>
      </c>
      <c r="C138" s="44" t="s">
        <v>27</v>
      </c>
      <c r="D138" s="44"/>
      <c r="E138" s="35">
        <f t="shared" si="26"/>
        <v>0</v>
      </c>
      <c r="F138" s="35"/>
      <c r="G138" s="35"/>
      <c r="H138" s="35"/>
      <c r="I138" s="35"/>
      <c r="J138" s="35"/>
      <c r="K138" s="35">
        <f t="shared" si="27"/>
        <v>0</v>
      </c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>
        <f t="shared" si="28"/>
        <v>0</v>
      </c>
      <c r="X138" s="35"/>
      <c r="Y138" s="44" t="s">
        <v>168</v>
      </c>
      <c r="Z138" s="55"/>
      <c r="AA138" s="44" t="s">
        <v>27</v>
      </c>
      <c r="AB138" s="44"/>
      <c r="AC138" s="35"/>
      <c r="AD138" s="35"/>
      <c r="AE138" s="35"/>
      <c r="AF138" s="35"/>
      <c r="AG138" s="35"/>
      <c r="AH138" s="35"/>
      <c r="AI138" s="45">
        <f t="shared" si="23"/>
        <v>0</v>
      </c>
      <c r="AJ138" s="45"/>
      <c r="AK138" s="35"/>
      <c r="AL138" s="35"/>
      <c r="AM138" s="35"/>
      <c r="AN138" s="35"/>
      <c r="AO138" s="35"/>
      <c r="AP138" s="35"/>
      <c r="AQ138" s="35"/>
      <c r="AR138" s="35"/>
      <c r="AS138" s="45">
        <f t="shared" si="25"/>
        <v>0</v>
      </c>
      <c r="AT138" s="45"/>
      <c r="AU138" s="35">
        <v>0</v>
      </c>
      <c r="AV138" s="35"/>
      <c r="AW138" s="35">
        <v>0</v>
      </c>
      <c r="AX138" s="35"/>
      <c r="AY138" s="35">
        <f t="shared" si="29"/>
        <v>0</v>
      </c>
      <c r="AZ138" s="35"/>
      <c r="BA138" s="44" t="s">
        <v>168</v>
      </c>
      <c r="BB138" s="55"/>
      <c r="BC138" s="44" t="s">
        <v>27</v>
      </c>
      <c r="BD138" s="44"/>
      <c r="BE138" s="35"/>
      <c r="BF138" s="35"/>
      <c r="BG138" s="35"/>
      <c r="BH138" s="35"/>
      <c r="BI138" s="35"/>
      <c r="BJ138" s="35"/>
      <c r="BK138" s="35"/>
      <c r="BL138" s="35"/>
      <c r="BM138" s="35">
        <f t="shared" si="30"/>
        <v>0</v>
      </c>
      <c r="BN138" s="54" t="s">
        <v>347</v>
      </c>
    </row>
    <row r="139" spans="1:66" ht="12.75" hidden="1" customHeight="1" x14ac:dyDescent="0.2">
      <c r="A139" s="35" t="s">
        <v>169</v>
      </c>
      <c r="C139" s="35" t="s">
        <v>103</v>
      </c>
      <c r="D139" s="35"/>
      <c r="E139" s="35">
        <f t="shared" si="26"/>
        <v>0</v>
      </c>
      <c r="F139" s="35"/>
      <c r="G139" s="35"/>
      <c r="H139" s="35"/>
      <c r="I139" s="35"/>
      <c r="J139" s="35"/>
      <c r="K139" s="35">
        <f t="shared" si="27"/>
        <v>0</v>
      </c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>
        <f t="shared" si="28"/>
        <v>0</v>
      </c>
      <c r="X139" s="35"/>
      <c r="Y139" s="35" t="s">
        <v>169</v>
      </c>
      <c r="Z139" s="55"/>
      <c r="AA139" s="35" t="s">
        <v>103</v>
      </c>
      <c r="AB139" s="35"/>
      <c r="AC139" s="35"/>
      <c r="AD139" s="35"/>
      <c r="AE139" s="35"/>
      <c r="AF139" s="35"/>
      <c r="AG139" s="35"/>
      <c r="AH139" s="35"/>
      <c r="AI139" s="45">
        <f t="shared" si="23"/>
        <v>0</v>
      </c>
      <c r="AJ139" s="45"/>
      <c r="AK139" s="35"/>
      <c r="AL139" s="35"/>
      <c r="AM139" s="35"/>
      <c r="AN139" s="35"/>
      <c r="AO139" s="35"/>
      <c r="AP139" s="35"/>
      <c r="AQ139" s="35"/>
      <c r="AR139" s="35"/>
      <c r="AS139" s="45">
        <f t="shared" si="25"/>
        <v>0</v>
      </c>
      <c r="AT139" s="45"/>
      <c r="AU139" s="35">
        <v>0</v>
      </c>
      <c r="AV139" s="35"/>
      <c r="AW139" s="35">
        <v>0</v>
      </c>
      <c r="AX139" s="35"/>
      <c r="AY139" s="35">
        <f t="shared" si="29"/>
        <v>0</v>
      </c>
      <c r="AZ139" s="35"/>
      <c r="BA139" s="35" t="s">
        <v>169</v>
      </c>
      <c r="BB139" s="55"/>
      <c r="BC139" s="35" t="s">
        <v>103</v>
      </c>
      <c r="BD139" s="35"/>
      <c r="BE139" s="35"/>
      <c r="BF139" s="35"/>
      <c r="BG139" s="35"/>
      <c r="BH139" s="35"/>
      <c r="BI139" s="35"/>
      <c r="BJ139" s="35"/>
      <c r="BK139" s="35"/>
      <c r="BL139" s="35"/>
      <c r="BM139" s="35">
        <f t="shared" si="30"/>
        <v>0</v>
      </c>
      <c r="BN139" s="54" t="s">
        <v>347</v>
      </c>
    </row>
    <row r="140" spans="1:66" ht="12.75" hidden="1" customHeight="1" x14ac:dyDescent="0.2">
      <c r="A140" s="35" t="s">
        <v>170</v>
      </c>
      <c r="C140" s="35" t="s">
        <v>171</v>
      </c>
      <c r="D140" s="35"/>
      <c r="E140" s="35">
        <f t="shared" si="26"/>
        <v>0</v>
      </c>
      <c r="F140" s="35"/>
      <c r="G140" s="35"/>
      <c r="H140" s="35"/>
      <c r="I140" s="35"/>
      <c r="J140" s="35"/>
      <c r="K140" s="35">
        <f t="shared" si="27"/>
        <v>0</v>
      </c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>
        <f t="shared" si="28"/>
        <v>0</v>
      </c>
      <c r="X140" s="35"/>
      <c r="Y140" s="35" t="s">
        <v>170</v>
      </c>
      <c r="Z140" s="55"/>
      <c r="AA140" s="35" t="s">
        <v>171</v>
      </c>
      <c r="AB140" s="35"/>
      <c r="AC140" s="35"/>
      <c r="AD140" s="35"/>
      <c r="AE140" s="35"/>
      <c r="AF140" s="35"/>
      <c r="AG140" s="35"/>
      <c r="AH140" s="35"/>
      <c r="AI140" s="45">
        <f t="shared" si="23"/>
        <v>0</v>
      </c>
      <c r="AJ140" s="45"/>
      <c r="AK140" s="35"/>
      <c r="AL140" s="35"/>
      <c r="AM140" s="35"/>
      <c r="AN140" s="35"/>
      <c r="AO140" s="35"/>
      <c r="AP140" s="35"/>
      <c r="AQ140" s="35"/>
      <c r="AR140" s="35"/>
      <c r="AS140" s="45">
        <f t="shared" si="25"/>
        <v>0</v>
      </c>
      <c r="AT140" s="45"/>
      <c r="AU140" s="35">
        <v>0</v>
      </c>
      <c r="AV140" s="35"/>
      <c r="AW140" s="35">
        <v>0</v>
      </c>
      <c r="AX140" s="35"/>
      <c r="AY140" s="35">
        <f t="shared" si="29"/>
        <v>0</v>
      </c>
      <c r="AZ140" s="35"/>
      <c r="BA140" s="35" t="s">
        <v>170</v>
      </c>
      <c r="BB140" s="55"/>
      <c r="BC140" s="35" t="s">
        <v>171</v>
      </c>
      <c r="BD140" s="35"/>
      <c r="BE140" s="35"/>
      <c r="BF140" s="35"/>
      <c r="BG140" s="35"/>
      <c r="BH140" s="35"/>
      <c r="BI140" s="35"/>
      <c r="BJ140" s="35"/>
      <c r="BK140" s="35"/>
      <c r="BL140" s="35"/>
      <c r="BM140" s="35">
        <f t="shared" si="30"/>
        <v>0</v>
      </c>
      <c r="BN140" s="54" t="s">
        <v>347</v>
      </c>
    </row>
    <row r="141" spans="1:66" ht="12.75" hidden="1" customHeight="1" x14ac:dyDescent="0.2">
      <c r="A141" s="35" t="s">
        <v>172</v>
      </c>
      <c r="C141" s="35" t="s">
        <v>103</v>
      </c>
      <c r="D141" s="35"/>
      <c r="E141" s="35">
        <f t="shared" si="26"/>
        <v>0</v>
      </c>
      <c r="F141" s="35"/>
      <c r="G141" s="35"/>
      <c r="H141" s="35"/>
      <c r="I141" s="35"/>
      <c r="J141" s="35"/>
      <c r="K141" s="35">
        <f t="shared" si="27"/>
        <v>0</v>
      </c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>
        <f t="shared" si="28"/>
        <v>0</v>
      </c>
      <c r="X141" s="35"/>
      <c r="Y141" s="35" t="s">
        <v>172</v>
      </c>
      <c r="Z141" s="55"/>
      <c r="AA141" s="35" t="s">
        <v>103</v>
      </c>
      <c r="AB141" s="35"/>
      <c r="AC141" s="35"/>
      <c r="AD141" s="35"/>
      <c r="AE141" s="35"/>
      <c r="AF141" s="35"/>
      <c r="AG141" s="35"/>
      <c r="AH141" s="35"/>
      <c r="AI141" s="45">
        <f t="shared" si="23"/>
        <v>0</v>
      </c>
      <c r="AJ141" s="45"/>
      <c r="AK141" s="35"/>
      <c r="AL141" s="35"/>
      <c r="AM141" s="35"/>
      <c r="AN141" s="35"/>
      <c r="AO141" s="35"/>
      <c r="AP141" s="35"/>
      <c r="AQ141" s="35"/>
      <c r="AR141" s="35"/>
      <c r="AS141" s="45">
        <f t="shared" si="25"/>
        <v>0</v>
      </c>
      <c r="AT141" s="45"/>
      <c r="AU141" s="35">
        <v>0</v>
      </c>
      <c r="AV141" s="35"/>
      <c r="AW141" s="35">
        <v>0</v>
      </c>
      <c r="AX141" s="35"/>
      <c r="AY141" s="35">
        <f t="shared" si="29"/>
        <v>0</v>
      </c>
      <c r="AZ141" s="35"/>
      <c r="BA141" s="35" t="s">
        <v>172</v>
      </c>
      <c r="BB141" s="55"/>
      <c r="BC141" s="35" t="s">
        <v>103</v>
      </c>
      <c r="BD141" s="35"/>
      <c r="BE141" s="35"/>
      <c r="BF141" s="35"/>
      <c r="BG141" s="35"/>
      <c r="BH141" s="35"/>
      <c r="BI141" s="35"/>
      <c r="BJ141" s="35"/>
      <c r="BK141" s="35"/>
      <c r="BL141" s="35"/>
      <c r="BM141" s="35">
        <f t="shared" si="30"/>
        <v>0</v>
      </c>
      <c r="BN141" s="54" t="s">
        <v>347</v>
      </c>
    </row>
    <row r="142" spans="1:66" ht="12.75" hidden="1" customHeight="1" x14ac:dyDescent="0.2">
      <c r="A142" s="35" t="s">
        <v>66</v>
      </c>
      <c r="C142" s="35" t="s">
        <v>45</v>
      </c>
      <c r="D142" s="35"/>
      <c r="E142" s="35">
        <f t="shared" si="26"/>
        <v>0</v>
      </c>
      <c r="F142" s="35"/>
      <c r="G142" s="35"/>
      <c r="H142" s="35"/>
      <c r="I142" s="35"/>
      <c r="J142" s="35"/>
      <c r="K142" s="35">
        <f t="shared" si="27"/>
        <v>0</v>
      </c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>
        <f t="shared" si="28"/>
        <v>0</v>
      </c>
      <c r="X142" s="35"/>
      <c r="Y142" s="35" t="s">
        <v>66</v>
      </c>
      <c r="Z142" s="55"/>
      <c r="AA142" s="35" t="s">
        <v>45</v>
      </c>
      <c r="AB142" s="35"/>
      <c r="AC142" s="35"/>
      <c r="AD142" s="35"/>
      <c r="AE142" s="35"/>
      <c r="AF142" s="35"/>
      <c r="AG142" s="35"/>
      <c r="AH142" s="35"/>
      <c r="AI142" s="45">
        <f t="shared" si="23"/>
        <v>0</v>
      </c>
      <c r="AJ142" s="45"/>
      <c r="AK142" s="35"/>
      <c r="AL142" s="35"/>
      <c r="AM142" s="35"/>
      <c r="AN142" s="35"/>
      <c r="AO142" s="35"/>
      <c r="AP142" s="35"/>
      <c r="AQ142" s="35"/>
      <c r="AR142" s="35"/>
      <c r="AS142" s="45">
        <f t="shared" si="25"/>
        <v>0</v>
      </c>
      <c r="AT142" s="45"/>
      <c r="AU142" s="35">
        <v>0</v>
      </c>
      <c r="AV142" s="35"/>
      <c r="AW142" s="35">
        <v>0</v>
      </c>
      <c r="AX142" s="35"/>
      <c r="AY142" s="35">
        <f t="shared" si="29"/>
        <v>0</v>
      </c>
      <c r="AZ142" s="35"/>
      <c r="BA142" s="35" t="s">
        <v>66</v>
      </c>
      <c r="BB142" s="55"/>
      <c r="BC142" s="35" t="s">
        <v>45</v>
      </c>
      <c r="BD142" s="35"/>
      <c r="BE142" s="35"/>
      <c r="BF142" s="35"/>
      <c r="BG142" s="35"/>
      <c r="BH142" s="35"/>
      <c r="BI142" s="35"/>
      <c r="BJ142" s="35"/>
      <c r="BK142" s="35"/>
      <c r="BL142" s="35"/>
      <c r="BM142" s="35">
        <f t="shared" si="30"/>
        <v>0</v>
      </c>
      <c r="BN142" s="54" t="s">
        <v>347</v>
      </c>
    </row>
    <row r="143" spans="1:66" ht="12.75" hidden="1" customHeight="1" x14ac:dyDescent="0.2">
      <c r="A143" s="35" t="s">
        <v>173</v>
      </c>
      <c r="C143" s="35" t="s">
        <v>66</v>
      </c>
      <c r="D143" s="35"/>
      <c r="E143" s="35">
        <f t="shared" si="26"/>
        <v>0</v>
      </c>
      <c r="F143" s="35"/>
      <c r="G143" s="35"/>
      <c r="H143" s="35"/>
      <c r="I143" s="35"/>
      <c r="J143" s="35"/>
      <c r="K143" s="35">
        <f t="shared" si="27"/>
        <v>0</v>
      </c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>
        <f t="shared" si="28"/>
        <v>0</v>
      </c>
      <c r="X143" s="35"/>
      <c r="Y143" s="35" t="s">
        <v>173</v>
      </c>
      <c r="Z143" s="55"/>
      <c r="AA143" s="35" t="s">
        <v>66</v>
      </c>
      <c r="AB143" s="35"/>
      <c r="AC143" s="35"/>
      <c r="AD143" s="35"/>
      <c r="AE143" s="35"/>
      <c r="AF143" s="35"/>
      <c r="AG143" s="35"/>
      <c r="AH143" s="35"/>
      <c r="AI143" s="45">
        <f t="shared" si="23"/>
        <v>0</v>
      </c>
      <c r="AJ143" s="45"/>
      <c r="AK143" s="35"/>
      <c r="AL143" s="35"/>
      <c r="AM143" s="35"/>
      <c r="AN143" s="35"/>
      <c r="AO143" s="35"/>
      <c r="AP143" s="35"/>
      <c r="AQ143" s="35"/>
      <c r="AR143" s="35"/>
      <c r="AS143" s="45">
        <f t="shared" si="25"/>
        <v>0</v>
      </c>
      <c r="AT143" s="45"/>
      <c r="AU143" s="35">
        <v>0</v>
      </c>
      <c r="AV143" s="35"/>
      <c r="AW143" s="35">
        <v>0</v>
      </c>
      <c r="AX143" s="35"/>
      <c r="AY143" s="35">
        <f t="shared" si="29"/>
        <v>0</v>
      </c>
      <c r="AZ143" s="35"/>
      <c r="BA143" s="35" t="s">
        <v>173</v>
      </c>
      <c r="BB143" s="55"/>
      <c r="BC143" s="35" t="s">
        <v>66</v>
      </c>
      <c r="BD143" s="35"/>
      <c r="BE143" s="35"/>
      <c r="BF143" s="35"/>
      <c r="BG143" s="35"/>
      <c r="BH143" s="35"/>
      <c r="BI143" s="35"/>
      <c r="BJ143" s="35"/>
      <c r="BK143" s="35"/>
      <c r="BL143" s="35"/>
      <c r="BM143" s="35">
        <f t="shared" si="30"/>
        <v>0</v>
      </c>
      <c r="BN143" s="54" t="s">
        <v>347</v>
      </c>
    </row>
    <row r="144" spans="1:66" ht="12.75" hidden="1" customHeight="1" x14ac:dyDescent="0.2">
      <c r="A144" s="35" t="s">
        <v>174</v>
      </c>
      <c r="C144" s="35" t="s">
        <v>45</v>
      </c>
      <c r="D144" s="35"/>
      <c r="E144" s="35">
        <f t="shared" si="26"/>
        <v>0</v>
      </c>
      <c r="F144" s="35"/>
      <c r="G144" s="35"/>
      <c r="H144" s="35"/>
      <c r="I144" s="35"/>
      <c r="J144" s="35"/>
      <c r="K144" s="35">
        <f t="shared" si="27"/>
        <v>0</v>
      </c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>
        <f t="shared" si="28"/>
        <v>0</v>
      </c>
      <c r="X144" s="35"/>
      <c r="Y144" s="35" t="s">
        <v>174</v>
      </c>
      <c r="Z144" s="55"/>
      <c r="AA144" s="35" t="s">
        <v>45</v>
      </c>
      <c r="AB144" s="35"/>
      <c r="AC144" s="35"/>
      <c r="AD144" s="35"/>
      <c r="AE144" s="35"/>
      <c r="AF144" s="35"/>
      <c r="AG144" s="35"/>
      <c r="AH144" s="35"/>
      <c r="AI144" s="45">
        <f t="shared" si="23"/>
        <v>0</v>
      </c>
      <c r="AJ144" s="45"/>
      <c r="AK144" s="35"/>
      <c r="AL144" s="35"/>
      <c r="AM144" s="35"/>
      <c r="AN144" s="35"/>
      <c r="AO144" s="35"/>
      <c r="AP144" s="35"/>
      <c r="AQ144" s="35"/>
      <c r="AR144" s="35"/>
      <c r="AS144" s="45">
        <f t="shared" si="25"/>
        <v>0</v>
      </c>
      <c r="AT144" s="45"/>
      <c r="AU144" s="35">
        <v>0</v>
      </c>
      <c r="AV144" s="35"/>
      <c r="AW144" s="35">
        <v>0</v>
      </c>
      <c r="AX144" s="35"/>
      <c r="AY144" s="35">
        <f t="shared" si="29"/>
        <v>0</v>
      </c>
      <c r="AZ144" s="35"/>
      <c r="BA144" s="35" t="s">
        <v>174</v>
      </c>
      <c r="BB144" s="55"/>
      <c r="BC144" s="35" t="s">
        <v>45</v>
      </c>
      <c r="BD144" s="35"/>
      <c r="BE144" s="35"/>
      <c r="BF144" s="35"/>
      <c r="BG144" s="35"/>
      <c r="BH144" s="35"/>
      <c r="BI144" s="35"/>
      <c r="BJ144" s="35"/>
      <c r="BK144" s="35"/>
      <c r="BL144" s="35"/>
      <c r="BM144" s="35">
        <f t="shared" si="30"/>
        <v>0</v>
      </c>
      <c r="BN144" s="54" t="s">
        <v>347</v>
      </c>
    </row>
    <row r="145" spans="1:66" ht="12.75" hidden="1" customHeight="1" x14ac:dyDescent="0.2">
      <c r="A145" s="35" t="s">
        <v>175</v>
      </c>
      <c r="C145" s="35" t="s">
        <v>176</v>
      </c>
      <c r="D145" s="35"/>
      <c r="E145" s="35">
        <f t="shared" si="26"/>
        <v>0</v>
      </c>
      <c r="F145" s="35"/>
      <c r="G145" s="35"/>
      <c r="H145" s="35"/>
      <c r="I145" s="35"/>
      <c r="J145" s="35"/>
      <c r="K145" s="35">
        <f t="shared" si="27"/>
        <v>0</v>
      </c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>
        <f t="shared" si="28"/>
        <v>0</v>
      </c>
      <c r="X145" s="35"/>
      <c r="Y145" s="35" t="s">
        <v>175</v>
      </c>
      <c r="Z145" s="55"/>
      <c r="AA145" s="35" t="s">
        <v>176</v>
      </c>
      <c r="AB145" s="35"/>
      <c r="AC145" s="35"/>
      <c r="AD145" s="35"/>
      <c r="AE145" s="35"/>
      <c r="AF145" s="35"/>
      <c r="AG145" s="35"/>
      <c r="AH145" s="35"/>
      <c r="AI145" s="45">
        <f t="shared" si="23"/>
        <v>0</v>
      </c>
      <c r="AJ145" s="45"/>
      <c r="AK145" s="35"/>
      <c r="AL145" s="35"/>
      <c r="AM145" s="35"/>
      <c r="AN145" s="35"/>
      <c r="AO145" s="35"/>
      <c r="AP145" s="35"/>
      <c r="AQ145" s="35"/>
      <c r="AR145" s="35"/>
      <c r="AS145" s="45">
        <f t="shared" si="25"/>
        <v>0</v>
      </c>
      <c r="AT145" s="45"/>
      <c r="AU145" s="35">
        <v>0</v>
      </c>
      <c r="AV145" s="35"/>
      <c r="AW145" s="35">
        <v>0</v>
      </c>
      <c r="AX145" s="35"/>
      <c r="AY145" s="35">
        <f t="shared" si="29"/>
        <v>0</v>
      </c>
      <c r="AZ145" s="35"/>
      <c r="BA145" s="35" t="s">
        <v>175</v>
      </c>
      <c r="BB145" s="55"/>
      <c r="BC145" s="35" t="s">
        <v>176</v>
      </c>
      <c r="BD145" s="35"/>
      <c r="BE145" s="35"/>
      <c r="BF145" s="35"/>
      <c r="BG145" s="35"/>
      <c r="BH145" s="35"/>
      <c r="BI145" s="35"/>
      <c r="BJ145" s="35"/>
      <c r="BK145" s="35"/>
      <c r="BL145" s="35"/>
      <c r="BM145" s="35">
        <v>0</v>
      </c>
      <c r="BN145" s="54" t="s">
        <v>347</v>
      </c>
    </row>
    <row r="146" spans="1:66" ht="12.75" hidden="1" customHeight="1" x14ac:dyDescent="0.2">
      <c r="A146" s="35" t="s">
        <v>177</v>
      </c>
      <c r="C146" s="35" t="s">
        <v>13</v>
      </c>
      <c r="D146" s="35"/>
      <c r="E146" s="35">
        <f t="shared" si="26"/>
        <v>0</v>
      </c>
      <c r="F146" s="35"/>
      <c r="G146" s="35"/>
      <c r="H146" s="35"/>
      <c r="I146" s="35"/>
      <c r="J146" s="35"/>
      <c r="K146" s="35">
        <f t="shared" si="27"/>
        <v>0</v>
      </c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>
        <f t="shared" si="28"/>
        <v>0</v>
      </c>
      <c r="X146" s="35"/>
      <c r="Y146" s="35" t="s">
        <v>177</v>
      </c>
      <c r="Z146" s="55"/>
      <c r="AA146" s="35" t="s">
        <v>13</v>
      </c>
      <c r="AB146" s="35"/>
      <c r="AC146" s="35"/>
      <c r="AD146" s="35"/>
      <c r="AE146" s="35"/>
      <c r="AF146" s="35"/>
      <c r="AG146" s="35"/>
      <c r="AH146" s="35"/>
      <c r="AI146" s="45">
        <f t="shared" si="23"/>
        <v>0</v>
      </c>
      <c r="AJ146" s="45"/>
      <c r="AK146" s="35"/>
      <c r="AL146" s="35"/>
      <c r="AM146" s="35"/>
      <c r="AN146" s="35"/>
      <c r="AO146" s="35"/>
      <c r="AP146" s="35"/>
      <c r="AQ146" s="35"/>
      <c r="AR146" s="35"/>
      <c r="AS146" s="45">
        <f t="shared" si="25"/>
        <v>0</v>
      </c>
      <c r="AT146" s="45"/>
      <c r="AU146" s="35">
        <v>0</v>
      </c>
      <c r="AV146" s="35"/>
      <c r="AW146" s="35">
        <v>0</v>
      </c>
      <c r="AX146" s="35"/>
      <c r="AY146" s="35">
        <f t="shared" si="29"/>
        <v>0</v>
      </c>
      <c r="AZ146" s="35"/>
      <c r="BA146" s="35" t="s">
        <v>177</v>
      </c>
      <c r="BB146" s="55"/>
      <c r="BC146" s="35" t="s">
        <v>13</v>
      </c>
      <c r="BD146" s="35"/>
      <c r="BE146" s="35"/>
      <c r="BF146" s="35"/>
      <c r="BG146" s="35"/>
      <c r="BH146" s="35"/>
      <c r="BI146" s="35"/>
      <c r="BJ146" s="35"/>
      <c r="BK146" s="35"/>
      <c r="BL146" s="35"/>
      <c r="BM146" s="35">
        <f t="shared" ref="BM146:BM192" si="31">SUM(BE146:BK146)</f>
        <v>0</v>
      </c>
      <c r="BN146" s="54" t="s">
        <v>347</v>
      </c>
    </row>
    <row r="147" spans="1:66" ht="13.5" customHeight="1" x14ac:dyDescent="0.2">
      <c r="A147" s="35" t="s">
        <v>178</v>
      </c>
      <c r="C147" s="35" t="s">
        <v>179</v>
      </c>
      <c r="D147" s="35"/>
      <c r="E147" s="35">
        <f t="shared" si="26"/>
        <v>10276623</v>
      </c>
      <c r="F147" s="35"/>
      <c r="G147" s="35">
        <v>12413418</v>
      </c>
      <c r="H147" s="35"/>
      <c r="I147" s="35">
        <v>22690041</v>
      </c>
      <c r="J147" s="35"/>
      <c r="K147" s="35">
        <f t="shared" si="27"/>
        <v>1057898</v>
      </c>
      <c r="L147" s="35"/>
      <c r="M147" s="35">
        <v>215099</v>
      </c>
      <c r="N147" s="35"/>
      <c r="O147" s="35">
        <v>1272997</v>
      </c>
      <c r="P147" s="35"/>
      <c r="Q147" s="35">
        <v>11216966</v>
      </c>
      <c r="R147" s="35"/>
      <c r="S147" s="35">
        <v>0</v>
      </c>
      <c r="T147" s="35"/>
      <c r="U147" s="35">
        <v>10200078</v>
      </c>
      <c r="V147" s="35"/>
      <c r="W147" s="35">
        <f t="shared" si="28"/>
        <v>21417044</v>
      </c>
      <c r="X147" s="35"/>
      <c r="Y147" s="35" t="s">
        <v>178</v>
      </c>
      <c r="Z147" s="55"/>
      <c r="AA147" s="35" t="s">
        <v>179</v>
      </c>
      <c r="AB147" s="35"/>
      <c r="AC147" s="35">
        <v>15353250</v>
      </c>
      <c r="AD147" s="35"/>
      <c r="AE147" s="35">
        <f>14602625-388494</f>
        <v>14214131</v>
      </c>
      <c r="AF147" s="35"/>
      <c r="AG147" s="35">
        <v>388494</v>
      </c>
      <c r="AH147" s="35"/>
      <c r="AI147" s="45">
        <f t="shared" si="23"/>
        <v>750625</v>
      </c>
      <c r="AJ147" s="45"/>
      <c r="AK147" s="35">
        <v>83349</v>
      </c>
      <c r="AL147" s="35"/>
      <c r="AM147" s="35">
        <v>0</v>
      </c>
      <c r="AN147" s="35"/>
      <c r="AO147" s="35">
        <v>401373</v>
      </c>
      <c r="AP147" s="35"/>
      <c r="AQ147" s="35">
        <v>0</v>
      </c>
      <c r="AR147" s="35"/>
      <c r="AS147" s="45">
        <f t="shared" si="25"/>
        <v>432601</v>
      </c>
      <c r="AT147" s="45"/>
      <c r="AU147" s="35">
        <v>0</v>
      </c>
      <c r="AV147" s="35"/>
      <c r="AW147" s="35">
        <v>0</v>
      </c>
      <c r="AX147" s="35"/>
      <c r="AY147" s="35">
        <f t="shared" si="29"/>
        <v>9218725</v>
      </c>
      <c r="AZ147" s="35"/>
      <c r="BA147" s="35" t="s">
        <v>178</v>
      </c>
      <c r="BB147" s="55"/>
      <c r="BC147" s="35" t="s">
        <v>179</v>
      </c>
      <c r="BD147" s="35"/>
      <c r="BE147" s="35">
        <v>0</v>
      </c>
      <c r="BF147" s="35"/>
      <c r="BG147" s="35">
        <v>0</v>
      </c>
      <c r="BH147" s="35"/>
      <c r="BI147" s="35">
        <v>0</v>
      </c>
      <c r="BJ147" s="35"/>
      <c r="BK147" s="35">
        <f>149215+65884+57760</f>
        <v>272859</v>
      </c>
      <c r="BL147" s="35"/>
      <c r="BM147" s="35">
        <f t="shared" si="31"/>
        <v>272859</v>
      </c>
      <c r="BN147" s="54" t="s">
        <v>347</v>
      </c>
    </row>
    <row r="148" spans="1:66" ht="12.75" hidden="1" customHeight="1" x14ac:dyDescent="0.2">
      <c r="A148" s="35" t="s">
        <v>180</v>
      </c>
      <c r="C148" s="35" t="s">
        <v>20</v>
      </c>
      <c r="D148" s="35"/>
      <c r="E148" s="35">
        <f t="shared" si="26"/>
        <v>0</v>
      </c>
      <c r="F148" s="35"/>
      <c r="G148" s="35"/>
      <c r="H148" s="35"/>
      <c r="I148" s="35"/>
      <c r="J148" s="35"/>
      <c r="K148" s="35">
        <f t="shared" si="27"/>
        <v>0</v>
      </c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>
        <f t="shared" si="28"/>
        <v>0</v>
      </c>
      <c r="X148" s="35"/>
      <c r="Y148" s="35" t="s">
        <v>180</v>
      </c>
      <c r="Z148" s="55"/>
      <c r="AA148" s="35" t="s">
        <v>20</v>
      </c>
      <c r="AB148" s="35"/>
      <c r="AC148" s="35"/>
      <c r="AD148" s="35"/>
      <c r="AE148" s="35"/>
      <c r="AF148" s="35"/>
      <c r="AG148" s="35"/>
      <c r="AH148" s="35"/>
      <c r="AI148" s="45">
        <f t="shared" si="23"/>
        <v>0</v>
      </c>
      <c r="AJ148" s="45"/>
      <c r="AK148" s="35"/>
      <c r="AL148" s="35"/>
      <c r="AM148" s="35"/>
      <c r="AN148" s="35"/>
      <c r="AO148" s="35"/>
      <c r="AP148" s="35"/>
      <c r="AQ148" s="35"/>
      <c r="AR148" s="35"/>
      <c r="AS148" s="45">
        <f t="shared" si="25"/>
        <v>0</v>
      </c>
      <c r="AT148" s="45"/>
      <c r="AU148" s="35">
        <v>0</v>
      </c>
      <c r="AV148" s="35"/>
      <c r="AW148" s="35">
        <v>0</v>
      </c>
      <c r="AX148" s="35"/>
      <c r="AY148" s="35">
        <f t="shared" si="29"/>
        <v>0</v>
      </c>
      <c r="AZ148" s="35"/>
      <c r="BA148" s="35" t="s">
        <v>180</v>
      </c>
      <c r="BB148" s="55"/>
      <c r="BC148" s="35" t="s">
        <v>20</v>
      </c>
      <c r="BD148" s="35"/>
      <c r="BE148" s="35"/>
      <c r="BF148" s="35"/>
      <c r="BG148" s="35"/>
      <c r="BH148" s="35"/>
      <c r="BI148" s="35"/>
      <c r="BJ148" s="35"/>
      <c r="BK148" s="35"/>
      <c r="BL148" s="35"/>
      <c r="BM148" s="35">
        <f t="shared" si="31"/>
        <v>0</v>
      </c>
      <c r="BN148" s="54" t="s">
        <v>347</v>
      </c>
    </row>
    <row r="149" spans="1:66" ht="12.75" hidden="1" customHeight="1" x14ac:dyDescent="0.2">
      <c r="A149" s="44" t="s">
        <v>508</v>
      </c>
      <c r="B149" s="47"/>
      <c r="C149" s="44" t="s">
        <v>43</v>
      </c>
      <c r="D149" s="35"/>
      <c r="E149" s="35">
        <f t="shared" si="26"/>
        <v>0</v>
      </c>
      <c r="F149" s="35"/>
      <c r="G149" s="35"/>
      <c r="H149" s="35"/>
      <c r="I149" s="35"/>
      <c r="J149" s="35"/>
      <c r="K149" s="35">
        <f t="shared" si="27"/>
        <v>0</v>
      </c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>
        <f t="shared" si="28"/>
        <v>0</v>
      </c>
      <c r="X149" s="35"/>
      <c r="Y149" s="44" t="s">
        <v>508</v>
      </c>
      <c r="AA149" s="44" t="s">
        <v>43</v>
      </c>
      <c r="AB149" s="35"/>
      <c r="AC149" s="35"/>
      <c r="AD149" s="35"/>
      <c r="AE149" s="35"/>
      <c r="AF149" s="35"/>
      <c r="AG149" s="35"/>
      <c r="AH149" s="35"/>
      <c r="AI149" s="45">
        <f t="shared" si="23"/>
        <v>0</v>
      </c>
      <c r="AJ149" s="45"/>
      <c r="AK149" s="35"/>
      <c r="AL149" s="35"/>
      <c r="AM149" s="35"/>
      <c r="AN149" s="35"/>
      <c r="AO149" s="35"/>
      <c r="AP149" s="35"/>
      <c r="AQ149" s="35"/>
      <c r="AR149" s="35"/>
      <c r="AS149" s="45">
        <f t="shared" si="25"/>
        <v>0</v>
      </c>
      <c r="AT149" s="45"/>
      <c r="AU149" s="35"/>
      <c r="AV149" s="35"/>
      <c r="AW149" s="35"/>
      <c r="AX149" s="35"/>
      <c r="AY149" s="35">
        <f t="shared" si="29"/>
        <v>0</v>
      </c>
      <c r="AZ149" s="35"/>
      <c r="BA149" s="44" t="s">
        <v>508</v>
      </c>
      <c r="BC149" s="44" t="s">
        <v>43</v>
      </c>
      <c r="BD149" s="35"/>
      <c r="BE149" s="35"/>
      <c r="BF149" s="35"/>
      <c r="BG149" s="35"/>
      <c r="BH149" s="35"/>
      <c r="BI149" s="35"/>
      <c r="BJ149" s="35"/>
      <c r="BK149" s="35"/>
      <c r="BL149" s="35"/>
      <c r="BM149" s="35">
        <f t="shared" si="31"/>
        <v>0</v>
      </c>
      <c r="BN149" s="54"/>
    </row>
    <row r="150" spans="1:66" ht="12.75" hidden="1" customHeight="1" x14ac:dyDescent="0.2">
      <c r="A150" s="35" t="s">
        <v>182</v>
      </c>
      <c r="C150" s="35" t="s">
        <v>183</v>
      </c>
      <c r="D150" s="35"/>
      <c r="E150" s="35">
        <f t="shared" si="26"/>
        <v>0</v>
      </c>
      <c r="F150" s="35"/>
      <c r="G150" s="35"/>
      <c r="H150" s="35"/>
      <c r="I150" s="35"/>
      <c r="J150" s="35"/>
      <c r="K150" s="35">
        <f t="shared" si="27"/>
        <v>0</v>
      </c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>
        <f t="shared" si="28"/>
        <v>0</v>
      </c>
      <c r="X150" s="35"/>
      <c r="Y150" s="35" t="s">
        <v>182</v>
      </c>
      <c r="Z150" s="55"/>
      <c r="AA150" s="35" t="s">
        <v>183</v>
      </c>
      <c r="AB150" s="35"/>
      <c r="AC150" s="35"/>
      <c r="AD150" s="35"/>
      <c r="AE150" s="35"/>
      <c r="AF150" s="35"/>
      <c r="AG150" s="35"/>
      <c r="AH150" s="35"/>
      <c r="AI150" s="45">
        <f t="shared" si="23"/>
        <v>0</v>
      </c>
      <c r="AJ150" s="45"/>
      <c r="AK150" s="35"/>
      <c r="AL150" s="35"/>
      <c r="AM150" s="35"/>
      <c r="AN150" s="35"/>
      <c r="AO150" s="35"/>
      <c r="AP150" s="35"/>
      <c r="AQ150" s="35"/>
      <c r="AR150" s="35"/>
      <c r="AS150" s="45">
        <f t="shared" si="25"/>
        <v>0</v>
      </c>
      <c r="AT150" s="45"/>
      <c r="AU150" s="35">
        <v>0</v>
      </c>
      <c r="AV150" s="35"/>
      <c r="AW150" s="35">
        <v>0</v>
      </c>
      <c r="AX150" s="35"/>
      <c r="AY150" s="35">
        <f t="shared" si="29"/>
        <v>0</v>
      </c>
      <c r="AZ150" s="35"/>
      <c r="BA150" s="35" t="s">
        <v>182</v>
      </c>
      <c r="BB150" s="55"/>
      <c r="BC150" s="35" t="s">
        <v>183</v>
      </c>
      <c r="BD150" s="35"/>
      <c r="BE150" s="35"/>
      <c r="BF150" s="35"/>
      <c r="BG150" s="35"/>
      <c r="BH150" s="35"/>
      <c r="BI150" s="35"/>
      <c r="BJ150" s="35"/>
      <c r="BK150" s="35"/>
      <c r="BL150" s="35"/>
      <c r="BM150" s="35">
        <f t="shared" si="31"/>
        <v>0</v>
      </c>
      <c r="BN150" s="54" t="s">
        <v>347</v>
      </c>
    </row>
    <row r="151" spans="1:66" ht="12.75" hidden="1" customHeight="1" x14ac:dyDescent="0.2">
      <c r="A151" s="35" t="s">
        <v>184</v>
      </c>
      <c r="C151" s="35" t="s">
        <v>89</v>
      </c>
      <c r="D151" s="35"/>
      <c r="E151" s="35">
        <f t="shared" si="26"/>
        <v>0</v>
      </c>
      <c r="F151" s="35"/>
      <c r="G151" s="35"/>
      <c r="H151" s="35"/>
      <c r="I151" s="35"/>
      <c r="J151" s="35"/>
      <c r="K151" s="35">
        <f t="shared" si="27"/>
        <v>0</v>
      </c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>
        <f t="shared" si="28"/>
        <v>0</v>
      </c>
      <c r="X151" s="35"/>
      <c r="Y151" s="35" t="s">
        <v>184</v>
      </c>
      <c r="Z151" s="55"/>
      <c r="AA151" s="35" t="s">
        <v>89</v>
      </c>
      <c r="AB151" s="35"/>
      <c r="AC151" s="35"/>
      <c r="AD151" s="35"/>
      <c r="AE151" s="35"/>
      <c r="AF151" s="35"/>
      <c r="AG151" s="35"/>
      <c r="AH151" s="35"/>
      <c r="AI151" s="45">
        <f t="shared" si="23"/>
        <v>0</v>
      </c>
      <c r="AJ151" s="45"/>
      <c r="AK151" s="35"/>
      <c r="AL151" s="35"/>
      <c r="AM151" s="35"/>
      <c r="AN151" s="35"/>
      <c r="AO151" s="35"/>
      <c r="AP151" s="35"/>
      <c r="AQ151" s="35"/>
      <c r="AR151" s="35"/>
      <c r="AS151" s="45">
        <f t="shared" si="25"/>
        <v>0</v>
      </c>
      <c r="AT151" s="45"/>
      <c r="AU151" s="35">
        <v>0</v>
      </c>
      <c r="AV151" s="35"/>
      <c r="AW151" s="35">
        <v>0</v>
      </c>
      <c r="AX151" s="35"/>
      <c r="AY151" s="35">
        <f t="shared" si="29"/>
        <v>0</v>
      </c>
      <c r="AZ151" s="35"/>
      <c r="BA151" s="35" t="s">
        <v>184</v>
      </c>
      <c r="BB151" s="55"/>
      <c r="BC151" s="35" t="s">
        <v>89</v>
      </c>
      <c r="BD151" s="35"/>
      <c r="BE151" s="35"/>
      <c r="BF151" s="35"/>
      <c r="BG151" s="35"/>
      <c r="BH151" s="35"/>
      <c r="BI151" s="35"/>
      <c r="BJ151" s="35"/>
      <c r="BK151" s="35"/>
      <c r="BL151" s="35"/>
      <c r="BM151" s="35">
        <f t="shared" si="31"/>
        <v>0</v>
      </c>
      <c r="BN151" s="54" t="s">
        <v>347</v>
      </c>
    </row>
    <row r="152" spans="1:66" ht="12.75" hidden="1" customHeight="1" x14ac:dyDescent="0.2">
      <c r="A152" s="35" t="s">
        <v>181</v>
      </c>
      <c r="C152" s="35" t="s">
        <v>125</v>
      </c>
      <c r="D152" s="35"/>
      <c r="E152" s="35">
        <f t="shared" si="26"/>
        <v>0</v>
      </c>
      <c r="F152" s="35"/>
      <c r="G152" s="35"/>
      <c r="H152" s="35"/>
      <c r="I152" s="35"/>
      <c r="J152" s="35"/>
      <c r="K152" s="35">
        <f t="shared" si="27"/>
        <v>0</v>
      </c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>
        <f t="shared" si="28"/>
        <v>0</v>
      </c>
      <c r="X152" s="35"/>
      <c r="Y152" s="35" t="s">
        <v>181</v>
      </c>
      <c r="Z152" s="55"/>
      <c r="AA152" s="35" t="s">
        <v>125</v>
      </c>
      <c r="AB152" s="35"/>
      <c r="AC152" s="35"/>
      <c r="AD152" s="35"/>
      <c r="AE152" s="35"/>
      <c r="AF152" s="35"/>
      <c r="AG152" s="35"/>
      <c r="AH152" s="35"/>
      <c r="AI152" s="45">
        <f t="shared" si="23"/>
        <v>0</v>
      </c>
      <c r="AJ152" s="45"/>
      <c r="AK152" s="35"/>
      <c r="AL152" s="35"/>
      <c r="AM152" s="35"/>
      <c r="AN152" s="35"/>
      <c r="AO152" s="35"/>
      <c r="AP152" s="35"/>
      <c r="AQ152" s="35"/>
      <c r="AR152" s="35"/>
      <c r="AS152" s="45">
        <f t="shared" si="25"/>
        <v>0</v>
      </c>
      <c r="AT152" s="45"/>
      <c r="AU152" s="35">
        <v>0</v>
      </c>
      <c r="AV152" s="35"/>
      <c r="AW152" s="35">
        <v>0</v>
      </c>
      <c r="AX152" s="35"/>
      <c r="AY152" s="35">
        <f t="shared" si="29"/>
        <v>0</v>
      </c>
      <c r="AZ152" s="35"/>
      <c r="BA152" s="35" t="s">
        <v>181</v>
      </c>
      <c r="BB152" s="55"/>
      <c r="BC152" s="35" t="s">
        <v>125</v>
      </c>
      <c r="BD152" s="35"/>
      <c r="BE152" s="35"/>
      <c r="BF152" s="35"/>
      <c r="BG152" s="35"/>
      <c r="BH152" s="35"/>
      <c r="BI152" s="35"/>
      <c r="BJ152" s="35"/>
      <c r="BK152" s="35"/>
      <c r="BL152" s="35"/>
      <c r="BM152" s="35">
        <f t="shared" si="31"/>
        <v>0</v>
      </c>
      <c r="BN152" s="54" t="s">
        <v>347</v>
      </c>
    </row>
    <row r="153" spans="1:66" ht="12.75" customHeight="1" x14ac:dyDescent="0.2">
      <c r="A153" s="35" t="s">
        <v>185</v>
      </c>
      <c r="C153" s="35" t="s">
        <v>80</v>
      </c>
      <c r="D153" s="35"/>
      <c r="E153" s="35">
        <f t="shared" si="26"/>
        <v>7465847</v>
      </c>
      <c r="F153" s="35"/>
      <c r="G153" s="35">
        <v>9269156</v>
      </c>
      <c r="H153" s="35"/>
      <c r="I153" s="35">
        <v>16735003</v>
      </c>
      <c r="J153" s="35"/>
      <c r="K153" s="35">
        <f t="shared" si="27"/>
        <v>2290329</v>
      </c>
      <c r="L153" s="35"/>
      <c r="M153" s="35">
        <v>3694165</v>
      </c>
      <c r="N153" s="35"/>
      <c r="O153" s="35">
        <v>5984494</v>
      </c>
      <c r="P153" s="35"/>
      <c r="Q153" s="35">
        <v>4132262</v>
      </c>
      <c r="R153" s="35"/>
      <c r="S153" s="35">
        <v>0</v>
      </c>
      <c r="T153" s="35"/>
      <c r="U153" s="35">
        <v>6618247</v>
      </c>
      <c r="V153" s="35"/>
      <c r="W153" s="35">
        <f t="shared" si="28"/>
        <v>10750509</v>
      </c>
      <c r="X153" s="35"/>
      <c r="Y153" s="35" t="s">
        <v>185</v>
      </c>
      <c r="Z153" s="55"/>
      <c r="AA153" s="35" t="s">
        <v>80</v>
      </c>
      <c r="AB153" s="35"/>
      <c r="AC153" s="35">
        <v>27837554</v>
      </c>
      <c r="AD153" s="35"/>
      <c r="AE153" s="35">
        <f>24506358-613993</f>
        <v>23892365</v>
      </c>
      <c r="AF153" s="35"/>
      <c r="AG153" s="35">
        <v>613993</v>
      </c>
      <c r="AH153" s="35"/>
      <c r="AI153" s="45">
        <f t="shared" si="23"/>
        <v>3331196</v>
      </c>
      <c r="AJ153" s="45"/>
      <c r="AK153" s="35">
        <v>-173763</v>
      </c>
      <c r="AL153" s="35"/>
      <c r="AM153" s="35">
        <v>0</v>
      </c>
      <c r="AN153" s="35"/>
      <c r="AO153" s="35">
        <v>0</v>
      </c>
      <c r="AP153" s="35"/>
      <c r="AQ153" s="35">
        <v>0</v>
      </c>
      <c r="AR153" s="35"/>
      <c r="AS153" s="45">
        <f t="shared" si="25"/>
        <v>3157433</v>
      </c>
      <c r="AT153" s="45"/>
      <c r="AU153" s="35">
        <v>0</v>
      </c>
      <c r="AV153" s="35"/>
      <c r="AW153" s="35">
        <v>0</v>
      </c>
      <c r="AX153" s="35"/>
      <c r="AY153" s="35">
        <f t="shared" si="29"/>
        <v>5175518</v>
      </c>
      <c r="AZ153" s="35"/>
      <c r="BA153" s="35" t="s">
        <v>185</v>
      </c>
      <c r="BB153" s="55"/>
      <c r="BC153" s="35" t="s">
        <v>80</v>
      </c>
      <c r="BD153" s="35"/>
      <c r="BE153" s="35">
        <v>0</v>
      </c>
      <c r="BF153" s="35"/>
      <c r="BG153" s="35">
        <v>0</v>
      </c>
      <c r="BH153" s="35"/>
      <c r="BI153" s="35">
        <v>0</v>
      </c>
      <c r="BJ153" s="35"/>
      <c r="BK153" s="35">
        <f>3462372+231793+20178</f>
        <v>3714343</v>
      </c>
      <c r="BL153" s="35"/>
      <c r="BM153" s="35">
        <f t="shared" si="31"/>
        <v>3714343</v>
      </c>
      <c r="BN153" s="54" t="s">
        <v>347</v>
      </c>
    </row>
    <row r="154" spans="1:66" ht="12.75" hidden="1" customHeight="1" x14ac:dyDescent="0.2">
      <c r="A154" s="35" t="s">
        <v>186</v>
      </c>
      <c r="C154" s="35" t="s">
        <v>15</v>
      </c>
      <c r="D154" s="35"/>
      <c r="E154" s="35">
        <f t="shared" si="26"/>
        <v>0</v>
      </c>
      <c r="F154" s="35"/>
      <c r="G154" s="35"/>
      <c r="H154" s="35"/>
      <c r="I154" s="35"/>
      <c r="J154" s="35"/>
      <c r="K154" s="35">
        <f t="shared" si="27"/>
        <v>0</v>
      </c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>
        <f t="shared" si="28"/>
        <v>0</v>
      </c>
      <c r="X154" s="35"/>
      <c r="Y154" s="35" t="s">
        <v>186</v>
      </c>
      <c r="Z154" s="55"/>
      <c r="AA154" s="35" t="s">
        <v>15</v>
      </c>
      <c r="AB154" s="35"/>
      <c r="AC154" s="35"/>
      <c r="AD154" s="35"/>
      <c r="AE154" s="35"/>
      <c r="AF154" s="35"/>
      <c r="AG154" s="35"/>
      <c r="AH154" s="35"/>
      <c r="AI154" s="45">
        <f t="shared" si="23"/>
        <v>0</v>
      </c>
      <c r="AJ154" s="45"/>
      <c r="AK154" s="35"/>
      <c r="AL154" s="35"/>
      <c r="AM154" s="35"/>
      <c r="AN154" s="35"/>
      <c r="AO154" s="35"/>
      <c r="AP154" s="35"/>
      <c r="AQ154" s="35"/>
      <c r="AR154" s="35"/>
      <c r="AS154" s="45">
        <f t="shared" si="25"/>
        <v>0</v>
      </c>
      <c r="AT154" s="45"/>
      <c r="AU154" s="35">
        <v>0</v>
      </c>
      <c r="AV154" s="35"/>
      <c r="AW154" s="35">
        <v>0</v>
      </c>
      <c r="AX154" s="35"/>
      <c r="AY154" s="35">
        <f t="shared" si="29"/>
        <v>0</v>
      </c>
      <c r="AZ154" s="35"/>
      <c r="BA154" s="35" t="s">
        <v>186</v>
      </c>
      <c r="BB154" s="55"/>
      <c r="BC154" s="35" t="s">
        <v>15</v>
      </c>
      <c r="BD154" s="35"/>
      <c r="BE154" s="35"/>
      <c r="BF154" s="35"/>
      <c r="BG154" s="35"/>
      <c r="BH154" s="35"/>
      <c r="BI154" s="35"/>
      <c r="BJ154" s="35"/>
      <c r="BK154" s="35"/>
      <c r="BL154" s="35"/>
      <c r="BM154" s="35">
        <f t="shared" si="31"/>
        <v>0</v>
      </c>
      <c r="BN154" s="54" t="s">
        <v>347</v>
      </c>
    </row>
    <row r="155" spans="1:66" ht="12.75" hidden="1" customHeight="1" x14ac:dyDescent="0.2">
      <c r="A155" s="35" t="s">
        <v>187</v>
      </c>
      <c r="C155" s="35" t="s">
        <v>27</v>
      </c>
      <c r="D155" s="35"/>
      <c r="E155" s="35">
        <f t="shared" si="26"/>
        <v>0</v>
      </c>
      <c r="F155" s="35"/>
      <c r="G155" s="35"/>
      <c r="H155" s="35"/>
      <c r="I155" s="35"/>
      <c r="J155" s="35"/>
      <c r="K155" s="35">
        <f t="shared" si="27"/>
        <v>0</v>
      </c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>
        <f t="shared" si="28"/>
        <v>0</v>
      </c>
      <c r="X155" s="35"/>
      <c r="Y155" s="35" t="s">
        <v>187</v>
      </c>
      <c r="Z155" s="55"/>
      <c r="AA155" s="35" t="s">
        <v>27</v>
      </c>
      <c r="AB155" s="35"/>
      <c r="AC155" s="35"/>
      <c r="AD155" s="35"/>
      <c r="AE155" s="35"/>
      <c r="AF155" s="35"/>
      <c r="AG155" s="35"/>
      <c r="AH155" s="35"/>
      <c r="AI155" s="45">
        <f t="shared" si="23"/>
        <v>0</v>
      </c>
      <c r="AJ155" s="45"/>
      <c r="AK155" s="35"/>
      <c r="AL155" s="35"/>
      <c r="AM155" s="35"/>
      <c r="AN155" s="35"/>
      <c r="AO155" s="35"/>
      <c r="AP155" s="35"/>
      <c r="AQ155" s="35"/>
      <c r="AR155" s="35"/>
      <c r="AS155" s="45">
        <f t="shared" si="25"/>
        <v>0</v>
      </c>
      <c r="AT155" s="45"/>
      <c r="AU155" s="35">
        <v>0</v>
      </c>
      <c r="AV155" s="35"/>
      <c r="AW155" s="35">
        <v>0</v>
      </c>
      <c r="AX155" s="35"/>
      <c r="AY155" s="35">
        <f t="shared" si="29"/>
        <v>0</v>
      </c>
      <c r="AZ155" s="35"/>
      <c r="BA155" s="35" t="s">
        <v>187</v>
      </c>
      <c r="BB155" s="55"/>
      <c r="BC155" s="35" t="s">
        <v>27</v>
      </c>
      <c r="BD155" s="35"/>
      <c r="BE155" s="35"/>
      <c r="BF155" s="35"/>
      <c r="BG155" s="35"/>
      <c r="BH155" s="35"/>
      <c r="BI155" s="35"/>
      <c r="BJ155" s="35"/>
      <c r="BK155" s="35"/>
      <c r="BL155" s="35"/>
      <c r="BM155" s="35">
        <f t="shared" si="31"/>
        <v>0</v>
      </c>
      <c r="BN155" s="54" t="s">
        <v>347</v>
      </c>
    </row>
    <row r="156" spans="1:66" ht="12.75" hidden="1" customHeight="1" x14ac:dyDescent="0.2">
      <c r="A156" s="35" t="s">
        <v>189</v>
      </c>
      <c r="C156" s="35" t="s">
        <v>17</v>
      </c>
      <c r="D156" s="35"/>
      <c r="E156" s="35">
        <f t="shared" si="26"/>
        <v>0</v>
      </c>
      <c r="F156" s="35"/>
      <c r="G156" s="35"/>
      <c r="H156" s="35"/>
      <c r="I156" s="35"/>
      <c r="J156" s="35"/>
      <c r="K156" s="35">
        <f t="shared" si="27"/>
        <v>0</v>
      </c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>
        <f t="shared" si="28"/>
        <v>0</v>
      </c>
      <c r="X156" s="35"/>
      <c r="Y156" s="35" t="s">
        <v>189</v>
      </c>
      <c r="Z156" s="55"/>
      <c r="AA156" s="35" t="s">
        <v>17</v>
      </c>
      <c r="AB156" s="35"/>
      <c r="AC156" s="35"/>
      <c r="AD156" s="35"/>
      <c r="AE156" s="35"/>
      <c r="AF156" s="35"/>
      <c r="AG156" s="35"/>
      <c r="AH156" s="35"/>
      <c r="AI156" s="45">
        <f t="shared" si="23"/>
        <v>0</v>
      </c>
      <c r="AJ156" s="45"/>
      <c r="AK156" s="35"/>
      <c r="AL156" s="35"/>
      <c r="AM156" s="35"/>
      <c r="AN156" s="35"/>
      <c r="AO156" s="35"/>
      <c r="AP156" s="35"/>
      <c r="AQ156" s="35"/>
      <c r="AR156" s="35"/>
      <c r="AS156" s="45">
        <f t="shared" si="25"/>
        <v>0</v>
      </c>
      <c r="AT156" s="45"/>
      <c r="AU156" s="35">
        <v>0</v>
      </c>
      <c r="AV156" s="35"/>
      <c r="AW156" s="35">
        <v>0</v>
      </c>
      <c r="AX156" s="35"/>
      <c r="AY156" s="35">
        <f t="shared" si="29"/>
        <v>0</v>
      </c>
      <c r="AZ156" s="35"/>
      <c r="BA156" s="35" t="s">
        <v>189</v>
      </c>
      <c r="BB156" s="55"/>
      <c r="BC156" s="35" t="s">
        <v>17</v>
      </c>
      <c r="BD156" s="35"/>
      <c r="BE156" s="35"/>
      <c r="BF156" s="35"/>
      <c r="BG156" s="35"/>
      <c r="BH156" s="35"/>
      <c r="BI156" s="35"/>
      <c r="BJ156" s="35"/>
      <c r="BK156" s="35"/>
      <c r="BL156" s="35"/>
      <c r="BM156" s="35">
        <f t="shared" si="31"/>
        <v>0</v>
      </c>
      <c r="BN156" s="54" t="s">
        <v>347</v>
      </c>
    </row>
    <row r="157" spans="1:66" ht="12.75" hidden="1" customHeight="1" x14ac:dyDescent="0.2">
      <c r="A157" s="35" t="s">
        <v>188</v>
      </c>
      <c r="C157" s="35" t="s">
        <v>27</v>
      </c>
      <c r="D157" s="35"/>
      <c r="E157" s="35">
        <f t="shared" si="26"/>
        <v>0</v>
      </c>
      <c r="F157" s="35"/>
      <c r="G157" s="35"/>
      <c r="H157" s="35"/>
      <c r="I157" s="35"/>
      <c r="J157" s="35"/>
      <c r="K157" s="35">
        <f t="shared" si="27"/>
        <v>0</v>
      </c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>
        <f t="shared" si="28"/>
        <v>0</v>
      </c>
      <c r="X157" s="35"/>
      <c r="Y157" s="35" t="s">
        <v>188</v>
      </c>
      <c r="Z157" s="55"/>
      <c r="AA157" s="35" t="s">
        <v>27</v>
      </c>
      <c r="AB157" s="35"/>
      <c r="AC157" s="35"/>
      <c r="AD157" s="35"/>
      <c r="AE157" s="35"/>
      <c r="AF157" s="35"/>
      <c r="AG157" s="35"/>
      <c r="AH157" s="35"/>
      <c r="AI157" s="45">
        <f t="shared" si="23"/>
        <v>0</v>
      </c>
      <c r="AJ157" s="45"/>
      <c r="AK157" s="35"/>
      <c r="AL157" s="35"/>
      <c r="AM157" s="35"/>
      <c r="AN157" s="35"/>
      <c r="AO157" s="35"/>
      <c r="AP157" s="35"/>
      <c r="AQ157" s="35"/>
      <c r="AR157" s="35"/>
      <c r="AS157" s="45">
        <f t="shared" si="25"/>
        <v>0</v>
      </c>
      <c r="AT157" s="45"/>
      <c r="AU157" s="35">
        <v>0</v>
      </c>
      <c r="AV157" s="35"/>
      <c r="AW157" s="35">
        <v>0</v>
      </c>
      <c r="AX157" s="35"/>
      <c r="AY157" s="35">
        <f t="shared" si="29"/>
        <v>0</v>
      </c>
      <c r="AZ157" s="35"/>
      <c r="BA157" s="35" t="s">
        <v>188</v>
      </c>
      <c r="BB157" s="55"/>
      <c r="BC157" s="35" t="s">
        <v>27</v>
      </c>
      <c r="BD157" s="35"/>
      <c r="BE157" s="35"/>
      <c r="BF157" s="35"/>
      <c r="BG157" s="35"/>
      <c r="BH157" s="35"/>
      <c r="BI157" s="35"/>
      <c r="BJ157" s="35"/>
      <c r="BK157" s="35"/>
      <c r="BL157" s="35"/>
      <c r="BM157" s="35">
        <f t="shared" si="31"/>
        <v>0</v>
      </c>
      <c r="BN157" s="54" t="s">
        <v>347</v>
      </c>
    </row>
    <row r="158" spans="1:66" ht="12.75" hidden="1" customHeight="1" x14ac:dyDescent="0.2">
      <c r="A158" s="35" t="s">
        <v>190</v>
      </c>
      <c r="C158" s="35" t="s">
        <v>47</v>
      </c>
      <c r="D158" s="35"/>
      <c r="E158" s="35">
        <f t="shared" si="26"/>
        <v>0</v>
      </c>
      <c r="F158" s="35"/>
      <c r="G158" s="35"/>
      <c r="H158" s="35"/>
      <c r="I158" s="35"/>
      <c r="J158" s="35"/>
      <c r="K158" s="35">
        <f t="shared" si="27"/>
        <v>0</v>
      </c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>
        <f t="shared" si="28"/>
        <v>0</v>
      </c>
      <c r="X158" s="35"/>
      <c r="Y158" s="35" t="s">
        <v>190</v>
      </c>
      <c r="Z158" s="55"/>
      <c r="AA158" s="35" t="s">
        <v>47</v>
      </c>
      <c r="AB158" s="35"/>
      <c r="AC158" s="35"/>
      <c r="AD158" s="35"/>
      <c r="AE158" s="35"/>
      <c r="AF158" s="35"/>
      <c r="AG158" s="35"/>
      <c r="AH158" s="35"/>
      <c r="AI158" s="45">
        <f t="shared" si="23"/>
        <v>0</v>
      </c>
      <c r="AJ158" s="45"/>
      <c r="AK158" s="35"/>
      <c r="AL158" s="35"/>
      <c r="AM158" s="35"/>
      <c r="AN158" s="35"/>
      <c r="AO158" s="35"/>
      <c r="AP158" s="35"/>
      <c r="AQ158" s="35"/>
      <c r="AR158" s="35"/>
      <c r="AS158" s="45">
        <f t="shared" si="25"/>
        <v>0</v>
      </c>
      <c r="AT158" s="45"/>
      <c r="AU158" s="35">
        <v>0</v>
      </c>
      <c r="AV158" s="35"/>
      <c r="AW158" s="35">
        <v>0</v>
      </c>
      <c r="AX158" s="35"/>
      <c r="AY158" s="35">
        <f t="shared" si="29"/>
        <v>0</v>
      </c>
      <c r="AZ158" s="35"/>
      <c r="BA158" s="35" t="s">
        <v>190</v>
      </c>
      <c r="BB158" s="55"/>
      <c r="BC158" s="35" t="s">
        <v>47</v>
      </c>
      <c r="BD158" s="35"/>
      <c r="BE158" s="35"/>
      <c r="BF158" s="35"/>
      <c r="BG158" s="35"/>
      <c r="BH158" s="35"/>
      <c r="BI158" s="35"/>
      <c r="BJ158" s="35"/>
      <c r="BK158" s="35"/>
      <c r="BL158" s="35"/>
      <c r="BM158" s="35">
        <f t="shared" si="31"/>
        <v>0</v>
      </c>
      <c r="BN158" s="54" t="s">
        <v>347</v>
      </c>
    </row>
    <row r="159" spans="1:66" ht="12.75" hidden="1" customHeight="1" x14ac:dyDescent="0.2">
      <c r="A159" s="35" t="s">
        <v>191</v>
      </c>
      <c r="C159" s="35" t="s">
        <v>13</v>
      </c>
      <c r="D159" s="35"/>
      <c r="E159" s="35">
        <f t="shared" si="26"/>
        <v>0</v>
      </c>
      <c r="F159" s="35"/>
      <c r="G159" s="35"/>
      <c r="H159" s="35"/>
      <c r="I159" s="35"/>
      <c r="J159" s="35"/>
      <c r="K159" s="35">
        <f t="shared" si="27"/>
        <v>0</v>
      </c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>
        <f t="shared" si="28"/>
        <v>0</v>
      </c>
      <c r="X159" s="35"/>
      <c r="Y159" s="35" t="s">
        <v>191</v>
      </c>
      <c r="Z159" s="55"/>
      <c r="AA159" s="35" t="s">
        <v>13</v>
      </c>
      <c r="AB159" s="35"/>
      <c r="AC159" s="35"/>
      <c r="AD159" s="35"/>
      <c r="AE159" s="35"/>
      <c r="AF159" s="35"/>
      <c r="AG159" s="35"/>
      <c r="AH159" s="35"/>
      <c r="AI159" s="45">
        <f t="shared" si="23"/>
        <v>0</v>
      </c>
      <c r="AJ159" s="45"/>
      <c r="AK159" s="35"/>
      <c r="AL159" s="35"/>
      <c r="AM159" s="35"/>
      <c r="AN159" s="35"/>
      <c r="AO159" s="35"/>
      <c r="AP159" s="35"/>
      <c r="AQ159" s="35"/>
      <c r="AR159" s="35"/>
      <c r="AS159" s="45">
        <f t="shared" si="25"/>
        <v>0</v>
      </c>
      <c r="AT159" s="45"/>
      <c r="AU159" s="35">
        <v>0</v>
      </c>
      <c r="AV159" s="35"/>
      <c r="AW159" s="35">
        <v>0</v>
      </c>
      <c r="AX159" s="35"/>
      <c r="AY159" s="35">
        <f t="shared" si="29"/>
        <v>0</v>
      </c>
      <c r="AZ159" s="35"/>
      <c r="BA159" s="35" t="s">
        <v>191</v>
      </c>
      <c r="BB159" s="55"/>
      <c r="BC159" s="35" t="s">
        <v>13</v>
      </c>
      <c r="BD159" s="35"/>
      <c r="BE159" s="35"/>
      <c r="BF159" s="35"/>
      <c r="BG159" s="35"/>
      <c r="BH159" s="35"/>
      <c r="BI159" s="35"/>
      <c r="BJ159" s="35"/>
      <c r="BK159" s="35"/>
      <c r="BL159" s="35"/>
      <c r="BM159" s="35">
        <f t="shared" si="31"/>
        <v>0</v>
      </c>
      <c r="BN159" s="54" t="s">
        <v>347</v>
      </c>
    </row>
    <row r="160" spans="1:66" ht="12.75" hidden="1" customHeight="1" x14ac:dyDescent="0.2">
      <c r="A160" s="35" t="s">
        <v>192</v>
      </c>
      <c r="C160" s="35" t="s">
        <v>38</v>
      </c>
      <c r="D160" s="35"/>
      <c r="E160" s="35">
        <f t="shared" si="26"/>
        <v>0</v>
      </c>
      <c r="F160" s="35"/>
      <c r="G160" s="35"/>
      <c r="H160" s="35"/>
      <c r="I160" s="35"/>
      <c r="J160" s="35"/>
      <c r="K160" s="35">
        <f t="shared" si="27"/>
        <v>0</v>
      </c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>
        <f t="shared" si="28"/>
        <v>0</v>
      </c>
      <c r="X160" s="35"/>
      <c r="Y160" s="35" t="s">
        <v>192</v>
      </c>
      <c r="Z160" s="55"/>
      <c r="AA160" s="35" t="s">
        <v>38</v>
      </c>
      <c r="AB160" s="35"/>
      <c r="AC160" s="35"/>
      <c r="AD160" s="35"/>
      <c r="AE160" s="35"/>
      <c r="AF160" s="35"/>
      <c r="AG160" s="35"/>
      <c r="AH160" s="35"/>
      <c r="AI160" s="45">
        <f t="shared" si="23"/>
        <v>0</v>
      </c>
      <c r="AJ160" s="45"/>
      <c r="AK160" s="35"/>
      <c r="AL160" s="35"/>
      <c r="AM160" s="35"/>
      <c r="AN160" s="35"/>
      <c r="AO160" s="35"/>
      <c r="AP160" s="35"/>
      <c r="AQ160" s="35"/>
      <c r="AR160" s="35"/>
      <c r="AS160" s="45">
        <f t="shared" si="25"/>
        <v>0</v>
      </c>
      <c r="AT160" s="45"/>
      <c r="AU160" s="35">
        <v>0</v>
      </c>
      <c r="AV160" s="35"/>
      <c r="AW160" s="35">
        <v>0</v>
      </c>
      <c r="AX160" s="35"/>
      <c r="AY160" s="35">
        <f t="shared" si="29"/>
        <v>0</v>
      </c>
      <c r="AZ160" s="35"/>
      <c r="BA160" s="35" t="s">
        <v>192</v>
      </c>
      <c r="BB160" s="55"/>
      <c r="BC160" s="35" t="s">
        <v>38</v>
      </c>
      <c r="BD160" s="35"/>
      <c r="BE160" s="35"/>
      <c r="BF160" s="35"/>
      <c r="BG160" s="35"/>
      <c r="BH160" s="35"/>
      <c r="BI160" s="35"/>
      <c r="BJ160" s="35"/>
      <c r="BK160" s="35"/>
      <c r="BL160" s="35"/>
      <c r="BM160" s="35">
        <f t="shared" si="31"/>
        <v>0</v>
      </c>
      <c r="BN160" s="54" t="s">
        <v>347</v>
      </c>
    </row>
    <row r="161" spans="1:67" ht="12.75" hidden="1" customHeight="1" x14ac:dyDescent="0.2">
      <c r="A161" s="35" t="s">
        <v>193</v>
      </c>
      <c r="C161" s="35" t="s">
        <v>45</v>
      </c>
      <c r="D161" s="35"/>
      <c r="E161" s="35">
        <f t="shared" si="26"/>
        <v>0</v>
      </c>
      <c r="F161" s="35"/>
      <c r="G161" s="35"/>
      <c r="H161" s="35"/>
      <c r="I161" s="35"/>
      <c r="J161" s="35"/>
      <c r="K161" s="35">
        <f t="shared" si="27"/>
        <v>0</v>
      </c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>
        <f t="shared" si="28"/>
        <v>0</v>
      </c>
      <c r="X161" s="35"/>
      <c r="Y161" s="35" t="s">
        <v>193</v>
      </c>
      <c r="Z161" s="55"/>
      <c r="AA161" s="35" t="s">
        <v>45</v>
      </c>
      <c r="AB161" s="35"/>
      <c r="AC161" s="35"/>
      <c r="AD161" s="35"/>
      <c r="AE161" s="35"/>
      <c r="AF161" s="35"/>
      <c r="AG161" s="35"/>
      <c r="AH161" s="35"/>
      <c r="AI161" s="45">
        <f t="shared" si="23"/>
        <v>0</v>
      </c>
      <c r="AJ161" s="45"/>
      <c r="AK161" s="35"/>
      <c r="AL161" s="35"/>
      <c r="AM161" s="35"/>
      <c r="AN161" s="35"/>
      <c r="AO161" s="35"/>
      <c r="AP161" s="35"/>
      <c r="AQ161" s="35"/>
      <c r="AR161" s="35"/>
      <c r="AS161" s="45">
        <f t="shared" si="25"/>
        <v>0</v>
      </c>
      <c r="AT161" s="45"/>
      <c r="AU161" s="35">
        <v>0</v>
      </c>
      <c r="AV161" s="35"/>
      <c r="AW161" s="35">
        <v>0</v>
      </c>
      <c r="AX161" s="35"/>
      <c r="AY161" s="35">
        <f t="shared" si="29"/>
        <v>0</v>
      </c>
      <c r="AZ161" s="35"/>
      <c r="BA161" s="35" t="s">
        <v>193</v>
      </c>
      <c r="BB161" s="55"/>
      <c r="BC161" s="35" t="s">
        <v>45</v>
      </c>
      <c r="BD161" s="35"/>
      <c r="BE161" s="35"/>
      <c r="BF161" s="35"/>
      <c r="BG161" s="35"/>
      <c r="BH161" s="35"/>
      <c r="BI161" s="35"/>
      <c r="BJ161" s="35"/>
      <c r="BK161" s="35"/>
      <c r="BL161" s="35"/>
      <c r="BM161" s="35">
        <f t="shared" si="31"/>
        <v>0</v>
      </c>
      <c r="BN161" s="54" t="s">
        <v>347</v>
      </c>
    </row>
    <row r="162" spans="1:67" ht="12.75" hidden="1" customHeight="1" x14ac:dyDescent="0.2">
      <c r="A162" s="35" t="s">
        <v>194</v>
      </c>
      <c r="C162" s="35" t="s">
        <v>66</v>
      </c>
      <c r="D162" s="35"/>
      <c r="E162" s="35">
        <f t="shared" si="26"/>
        <v>0</v>
      </c>
      <c r="F162" s="35"/>
      <c r="G162" s="35"/>
      <c r="H162" s="35"/>
      <c r="I162" s="35"/>
      <c r="J162" s="35"/>
      <c r="K162" s="35">
        <f t="shared" si="27"/>
        <v>0</v>
      </c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>
        <f t="shared" si="28"/>
        <v>0</v>
      </c>
      <c r="X162" s="35"/>
      <c r="Y162" s="35" t="s">
        <v>194</v>
      </c>
      <c r="Z162" s="55"/>
      <c r="AA162" s="35" t="s">
        <v>66</v>
      </c>
      <c r="AB162" s="35"/>
      <c r="AC162" s="35"/>
      <c r="AD162" s="35"/>
      <c r="AE162" s="35"/>
      <c r="AF162" s="35"/>
      <c r="AG162" s="35"/>
      <c r="AH162" s="35"/>
      <c r="AI162" s="45">
        <f t="shared" si="23"/>
        <v>0</v>
      </c>
      <c r="AJ162" s="45"/>
      <c r="AK162" s="35"/>
      <c r="AL162" s="35"/>
      <c r="AM162" s="35"/>
      <c r="AN162" s="35"/>
      <c r="AO162" s="35"/>
      <c r="AP162" s="35"/>
      <c r="AQ162" s="35"/>
      <c r="AR162" s="35"/>
      <c r="AS162" s="45">
        <f t="shared" si="25"/>
        <v>0</v>
      </c>
      <c r="AT162" s="45"/>
      <c r="AU162" s="35">
        <v>0</v>
      </c>
      <c r="AV162" s="35"/>
      <c r="AW162" s="35">
        <v>0</v>
      </c>
      <c r="AX162" s="35"/>
      <c r="AY162" s="35">
        <f t="shared" si="29"/>
        <v>0</v>
      </c>
      <c r="AZ162" s="35"/>
      <c r="BA162" s="35" t="s">
        <v>194</v>
      </c>
      <c r="BB162" s="55"/>
      <c r="BC162" s="35" t="s">
        <v>66</v>
      </c>
      <c r="BD162" s="35"/>
      <c r="BE162" s="35"/>
      <c r="BF162" s="35"/>
      <c r="BG162" s="35"/>
      <c r="BH162" s="35"/>
      <c r="BI162" s="35"/>
      <c r="BJ162" s="35"/>
      <c r="BK162" s="35"/>
      <c r="BL162" s="35"/>
      <c r="BM162" s="35">
        <f t="shared" si="31"/>
        <v>0</v>
      </c>
      <c r="BN162" s="54" t="s">
        <v>347</v>
      </c>
    </row>
    <row r="163" spans="1:67" ht="12.75" customHeight="1" x14ac:dyDescent="0.2">
      <c r="A163" s="35" t="s">
        <v>195</v>
      </c>
      <c r="C163" s="35" t="s">
        <v>17</v>
      </c>
      <c r="D163" s="35"/>
      <c r="E163" s="35">
        <f t="shared" si="26"/>
        <v>8226622</v>
      </c>
      <c r="F163" s="35"/>
      <c r="G163" s="35">
        <f>1510139+909597</f>
        <v>2419736</v>
      </c>
      <c r="H163" s="35"/>
      <c r="I163" s="35">
        <v>10646358</v>
      </c>
      <c r="J163" s="35"/>
      <c r="K163" s="35">
        <f t="shared" si="27"/>
        <v>254054</v>
      </c>
      <c r="L163" s="35"/>
      <c r="M163" s="35">
        <f>107317+398618</f>
        <v>505935</v>
      </c>
      <c r="N163" s="35"/>
      <c r="O163" s="35">
        <v>759989</v>
      </c>
      <c r="P163" s="35"/>
      <c r="Q163" s="35">
        <v>1510139</v>
      </c>
      <c r="R163" s="35"/>
      <c r="S163" s="35">
        <v>0</v>
      </c>
      <c r="T163" s="35"/>
      <c r="U163" s="35">
        <v>8376230</v>
      </c>
      <c r="V163" s="35"/>
      <c r="W163" s="35">
        <f t="shared" si="28"/>
        <v>9886369</v>
      </c>
      <c r="X163" s="35"/>
      <c r="Y163" s="35" t="s">
        <v>195</v>
      </c>
      <c r="Z163" s="55"/>
      <c r="AA163" s="35" t="s">
        <v>17</v>
      </c>
      <c r="AB163" s="35"/>
      <c r="AC163" s="35">
        <v>10900923</v>
      </c>
      <c r="AD163" s="35"/>
      <c r="AE163" s="35">
        <f>10222717-198949</f>
        <v>10023768</v>
      </c>
      <c r="AF163" s="35"/>
      <c r="AG163" s="35">
        <v>198949</v>
      </c>
      <c r="AH163" s="35"/>
      <c r="AI163" s="45">
        <f t="shared" si="23"/>
        <v>678206</v>
      </c>
      <c r="AJ163" s="45"/>
      <c r="AK163" s="35">
        <v>-378780</v>
      </c>
      <c r="AL163" s="35"/>
      <c r="AM163" s="35">
        <v>0</v>
      </c>
      <c r="AN163" s="35"/>
      <c r="AO163" s="35">
        <v>0</v>
      </c>
      <c r="AP163" s="35"/>
      <c r="AQ163" s="35">
        <v>9510</v>
      </c>
      <c r="AR163" s="35"/>
      <c r="AS163" s="45">
        <f t="shared" si="25"/>
        <v>308936</v>
      </c>
      <c r="AT163" s="45"/>
      <c r="AU163" s="35">
        <v>0</v>
      </c>
      <c r="AV163" s="35"/>
      <c r="AW163" s="35">
        <v>0</v>
      </c>
      <c r="AX163" s="35"/>
      <c r="AY163" s="35">
        <f t="shared" si="29"/>
        <v>7972568</v>
      </c>
      <c r="AZ163" s="35"/>
      <c r="BA163" s="35" t="s">
        <v>195</v>
      </c>
      <c r="BB163" s="55"/>
      <c r="BC163" s="35" t="s">
        <v>17</v>
      </c>
      <c r="BD163" s="35"/>
      <c r="BE163" s="35">
        <v>0</v>
      </c>
      <c r="BF163" s="35"/>
      <c r="BG163" s="35">
        <v>0</v>
      </c>
      <c r="BH163" s="35"/>
      <c r="BI163" s="35">
        <v>0</v>
      </c>
      <c r="BJ163" s="35"/>
      <c r="BK163" s="35">
        <f>107317+398618+72680</f>
        <v>578615</v>
      </c>
      <c r="BL163" s="35"/>
      <c r="BM163" s="35">
        <f t="shared" si="31"/>
        <v>578615</v>
      </c>
      <c r="BN163" s="54" t="s">
        <v>347</v>
      </c>
    </row>
    <row r="164" spans="1:67" ht="12.75" hidden="1" customHeight="1" x14ac:dyDescent="0.2">
      <c r="A164" s="35" t="s">
        <v>196</v>
      </c>
      <c r="C164" s="35" t="s">
        <v>27</v>
      </c>
      <c r="D164" s="35"/>
      <c r="E164" s="35">
        <f t="shared" si="26"/>
        <v>0</v>
      </c>
      <c r="F164" s="35"/>
      <c r="G164" s="35"/>
      <c r="H164" s="35"/>
      <c r="I164" s="35"/>
      <c r="J164" s="35"/>
      <c r="K164" s="35">
        <f t="shared" si="27"/>
        <v>0</v>
      </c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>
        <f t="shared" si="28"/>
        <v>0</v>
      </c>
      <c r="X164" s="35"/>
      <c r="Y164" s="35" t="s">
        <v>196</v>
      </c>
      <c r="Z164" s="55"/>
      <c r="AA164" s="35" t="s">
        <v>27</v>
      </c>
      <c r="AB164" s="35"/>
      <c r="AC164" s="35"/>
      <c r="AD164" s="35"/>
      <c r="AE164" s="35"/>
      <c r="AF164" s="35"/>
      <c r="AG164" s="35"/>
      <c r="AH164" s="35"/>
      <c r="AI164" s="45">
        <f t="shared" si="23"/>
        <v>0</v>
      </c>
      <c r="AJ164" s="45"/>
      <c r="AK164" s="35"/>
      <c r="AL164" s="35"/>
      <c r="AM164" s="35"/>
      <c r="AN164" s="35"/>
      <c r="AO164" s="35"/>
      <c r="AP164" s="35"/>
      <c r="AQ164" s="35"/>
      <c r="AR164" s="35"/>
      <c r="AS164" s="45">
        <f t="shared" si="25"/>
        <v>0</v>
      </c>
      <c r="AT164" s="45"/>
      <c r="AU164" s="35">
        <v>0</v>
      </c>
      <c r="AV164" s="35"/>
      <c r="AW164" s="35">
        <v>0</v>
      </c>
      <c r="AX164" s="35"/>
      <c r="AY164" s="35">
        <f t="shared" si="29"/>
        <v>0</v>
      </c>
      <c r="AZ164" s="35"/>
      <c r="BA164" s="35" t="s">
        <v>196</v>
      </c>
      <c r="BB164" s="55"/>
      <c r="BC164" s="35" t="s">
        <v>27</v>
      </c>
      <c r="BD164" s="35"/>
      <c r="BE164" s="35"/>
      <c r="BF164" s="35"/>
      <c r="BG164" s="35"/>
      <c r="BH164" s="35"/>
      <c r="BI164" s="35"/>
      <c r="BJ164" s="35"/>
      <c r="BK164" s="35"/>
      <c r="BL164" s="35"/>
      <c r="BM164" s="35">
        <f t="shared" si="31"/>
        <v>0</v>
      </c>
      <c r="BN164" s="54" t="s">
        <v>347</v>
      </c>
    </row>
    <row r="165" spans="1:67" ht="12.75" hidden="1" customHeight="1" x14ac:dyDescent="0.2">
      <c r="A165" s="35" t="s">
        <v>402</v>
      </c>
      <c r="C165" s="35" t="s">
        <v>153</v>
      </c>
      <c r="D165" s="35"/>
      <c r="E165" s="35">
        <f t="shared" si="26"/>
        <v>0</v>
      </c>
      <c r="F165" s="35"/>
      <c r="G165" s="35"/>
      <c r="H165" s="35"/>
      <c r="I165" s="35"/>
      <c r="J165" s="35"/>
      <c r="K165" s="35">
        <f t="shared" si="27"/>
        <v>0</v>
      </c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>
        <f t="shared" si="28"/>
        <v>0</v>
      </c>
      <c r="X165" s="35"/>
      <c r="Y165" s="35" t="s">
        <v>402</v>
      </c>
      <c r="Z165" s="55"/>
      <c r="AA165" s="35" t="s">
        <v>153</v>
      </c>
      <c r="AB165" s="35"/>
      <c r="AC165" s="35"/>
      <c r="AD165" s="35"/>
      <c r="AE165" s="35"/>
      <c r="AF165" s="35"/>
      <c r="AG165" s="35"/>
      <c r="AH165" s="35"/>
      <c r="AI165" s="45">
        <f t="shared" si="23"/>
        <v>0</v>
      </c>
      <c r="AJ165" s="45"/>
      <c r="AK165" s="35"/>
      <c r="AL165" s="35"/>
      <c r="AM165" s="35"/>
      <c r="AN165" s="35"/>
      <c r="AO165" s="35"/>
      <c r="AP165" s="35"/>
      <c r="AQ165" s="35"/>
      <c r="AR165" s="35"/>
      <c r="AS165" s="45">
        <f t="shared" si="25"/>
        <v>0</v>
      </c>
      <c r="AT165" s="45"/>
      <c r="AU165" s="35">
        <v>0</v>
      </c>
      <c r="AV165" s="35"/>
      <c r="AW165" s="35">
        <v>0</v>
      </c>
      <c r="AX165" s="35"/>
      <c r="AY165" s="35">
        <f t="shared" si="29"/>
        <v>0</v>
      </c>
      <c r="AZ165" s="35"/>
      <c r="BA165" s="35" t="s">
        <v>402</v>
      </c>
      <c r="BB165" s="55"/>
      <c r="BC165" s="35" t="s">
        <v>153</v>
      </c>
      <c r="BD165" s="35"/>
      <c r="BE165" s="35"/>
      <c r="BF165" s="35"/>
      <c r="BG165" s="35"/>
      <c r="BH165" s="35"/>
      <c r="BI165" s="35"/>
      <c r="BJ165" s="35"/>
      <c r="BK165" s="35"/>
      <c r="BL165" s="35"/>
      <c r="BM165" s="35">
        <f t="shared" si="31"/>
        <v>0</v>
      </c>
      <c r="BN165" s="54" t="s">
        <v>347</v>
      </c>
    </row>
    <row r="166" spans="1:67" ht="12.75" hidden="1" customHeight="1" x14ac:dyDescent="0.2">
      <c r="A166" s="35" t="s">
        <v>197</v>
      </c>
      <c r="C166" s="35" t="s">
        <v>163</v>
      </c>
      <c r="D166" s="35"/>
      <c r="E166" s="35">
        <f t="shared" si="26"/>
        <v>0</v>
      </c>
      <c r="F166" s="35"/>
      <c r="G166" s="35"/>
      <c r="H166" s="35"/>
      <c r="I166" s="35"/>
      <c r="J166" s="35"/>
      <c r="K166" s="35">
        <f t="shared" si="27"/>
        <v>0</v>
      </c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>
        <f t="shared" si="28"/>
        <v>0</v>
      </c>
      <c r="X166" s="35"/>
      <c r="Y166" s="35" t="s">
        <v>197</v>
      </c>
      <c r="Z166" s="55"/>
      <c r="AA166" s="35" t="s">
        <v>163</v>
      </c>
      <c r="AB166" s="35"/>
      <c r="AC166" s="35"/>
      <c r="AD166" s="35"/>
      <c r="AE166" s="35"/>
      <c r="AF166" s="35"/>
      <c r="AG166" s="35"/>
      <c r="AH166" s="35"/>
      <c r="AI166" s="45">
        <f t="shared" ref="AI166:AI229" si="32">+AC166-AE166-AG166</f>
        <v>0</v>
      </c>
      <c r="AJ166" s="45"/>
      <c r="AK166" s="35"/>
      <c r="AL166" s="35"/>
      <c r="AM166" s="35"/>
      <c r="AN166" s="35"/>
      <c r="AO166" s="35"/>
      <c r="AP166" s="35"/>
      <c r="AQ166" s="35"/>
      <c r="AR166" s="35"/>
      <c r="AS166" s="45">
        <f t="shared" si="25"/>
        <v>0</v>
      </c>
      <c r="AT166" s="45"/>
      <c r="AU166" s="35">
        <v>0</v>
      </c>
      <c r="AV166" s="35"/>
      <c r="AW166" s="35">
        <v>0</v>
      </c>
      <c r="AX166" s="35"/>
      <c r="AY166" s="35">
        <f t="shared" si="29"/>
        <v>0</v>
      </c>
      <c r="AZ166" s="35"/>
      <c r="BA166" s="35" t="s">
        <v>197</v>
      </c>
      <c r="BB166" s="55"/>
      <c r="BC166" s="35" t="s">
        <v>163</v>
      </c>
      <c r="BD166" s="35"/>
      <c r="BE166" s="35"/>
      <c r="BF166" s="35"/>
      <c r="BG166" s="35"/>
      <c r="BH166" s="35"/>
      <c r="BI166" s="35"/>
      <c r="BJ166" s="35"/>
      <c r="BK166" s="35"/>
      <c r="BL166" s="35"/>
      <c r="BM166" s="35">
        <f t="shared" si="31"/>
        <v>0</v>
      </c>
      <c r="BN166" s="54" t="s">
        <v>347</v>
      </c>
    </row>
    <row r="167" spans="1:67" ht="12.75" customHeight="1" x14ac:dyDescent="0.2">
      <c r="A167" s="35" t="s">
        <v>198</v>
      </c>
      <c r="C167" s="35" t="s">
        <v>199</v>
      </c>
      <c r="D167" s="35"/>
      <c r="E167" s="35">
        <f t="shared" si="26"/>
        <v>24325232</v>
      </c>
      <c r="F167" s="35"/>
      <c r="G167" s="35">
        <v>21400565</v>
      </c>
      <c r="H167" s="35"/>
      <c r="I167" s="35">
        <v>45725797</v>
      </c>
      <c r="J167" s="35"/>
      <c r="K167" s="35">
        <f t="shared" si="27"/>
        <v>2374931</v>
      </c>
      <c r="L167" s="35"/>
      <c r="M167" s="35">
        <v>167315</v>
      </c>
      <c r="N167" s="35"/>
      <c r="O167" s="35">
        <v>2542246</v>
      </c>
      <c r="P167" s="35"/>
      <c r="Q167" s="35">
        <v>21400565</v>
      </c>
      <c r="R167" s="35"/>
      <c r="S167" s="35">
        <v>0</v>
      </c>
      <c r="T167" s="35"/>
      <c r="U167" s="35">
        <v>21782986</v>
      </c>
      <c r="V167" s="35"/>
      <c r="W167" s="35">
        <f t="shared" si="28"/>
        <v>43183551</v>
      </c>
      <c r="X167" s="35"/>
      <c r="Y167" s="35" t="s">
        <v>198</v>
      </c>
      <c r="Z167" s="55"/>
      <c r="AA167" s="35" t="s">
        <v>199</v>
      </c>
      <c r="AB167" s="35"/>
      <c r="AC167" s="35">
        <v>27254662</v>
      </c>
      <c r="AD167" s="35"/>
      <c r="AE167" s="35">
        <f>27621122-2000439</f>
        <v>25620683</v>
      </c>
      <c r="AF167" s="35"/>
      <c r="AG167" s="35">
        <v>2000439</v>
      </c>
      <c r="AH167" s="35"/>
      <c r="AI167" s="45">
        <f t="shared" si="32"/>
        <v>-366460</v>
      </c>
      <c r="AJ167" s="45"/>
      <c r="AK167" s="35">
        <v>53248</v>
      </c>
      <c r="AL167" s="35"/>
      <c r="AM167" s="35">
        <v>884285</v>
      </c>
      <c r="AN167" s="35"/>
      <c r="AO167" s="35">
        <v>0</v>
      </c>
      <c r="AP167" s="35"/>
      <c r="AQ167" s="35">
        <v>0</v>
      </c>
      <c r="AR167" s="35"/>
      <c r="AS167" s="45">
        <f t="shared" si="25"/>
        <v>571073</v>
      </c>
      <c r="AT167" s="45"/>
      <c r="AU167" s="35">
        <v>0</v>
      </c>
      <c r="AV167" s="35"/>
      <c r="AW167" s="35">
        <v>0</v>
      </c>
      <c r="AX167" s="35"/>
      <c r="AY167" s="35">
        <f t="shared" si="29"/>
        <v>21950301</v>
      </c>
      <c r="AZ167" s="35"/>
      <c r="BA167" s="35" t="s">
        <v>198</v>
      </c>
      <c r="BB167" s="55"/>
      <c r="BC167" s="35" t="s">
        <v>199</v>
      </c>
      <c r="BD167" s="35"/>
      <c r="BE167" s="35">
        <v>0</v>
      </c>
      <c r="BF167" s="35"/>
      <c r="BG167" s="35">
        <v>0</v>
      </c>
      <c r="BH167" s="35"/>
      <c r="BI167" s="35">
        <v>0</v>
      </c>
      <c r="BJ167" s="35"/>
      <c r="BK167" s="35">
        <f>167315+212318</f>
        <v>379633</v>
      </c>
      <c r="BL167" s="35"/>
      <c r="BM167" s="35">
        <f t="shared" si="31"/>
        <v>379633</v>
      </c>
      <c r="BN167" s="54" t="s">
        <v>347</v>
      </c>
      <c r="BO167" s="55" t="s">
        <v>371</v>
      </c>
    </row>
    <row r="168" spans="1:67" ht="12.75" hidden="1" customHeight="1" x14ac:dyDescent="0.2">
      <c r="A168" s="35" t="s">
        <v>200</v>
      </c>
      <c r="C168" s="35" t="s">
        <v>103</v>
      </c>
      <c r="D168" s="35"/>
      <c r="E168" s="35">
        <f t="shared" si="26"/>
        <v>0</v>
      </c>
      <c r="F168" s="35"/>
      <c r="G168" s="35"/>
      <c r="H168" s="35"/>
      <c r="I168" s="35"/>
      <c r="J168" s="35"/>
      <c r="K168" s="35">
        <f t="shared" si="27"/>
        <v>0</v>
      </c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>
        <f t="shared" si="28"/>
        <v>0</v>
      </c>
      <c r="X168" s="35"/>
      <c r="Y168" s="35" t="s">
        <v>200</v>
      </c>
      <c r="Z168" s="55"/>
      <c r="AA168" s="35" t="s">
        <v>103</v>
      </c>
      <c r="AB168" s="35"/>
      <c r="AC168" s="35"/>
      <c r="AD168" s="35"/>
      <c r="AE168" s="35"/>
      <c r="AF168" s="35"/>
      <c r="AG168" s="35"/>
      <c r="AH168" s="35"/>
      <c r="AI168" s="45">
        <f t="shared" si="32"/>
        <v>0</v>
      </c>
      <c r="AJ168" s="45"/>
      <c r="AK168" s="35"/>
      <c r="AL168" s="35"/>
      <c r="AM168" s="35"/>
      <c r="AN168" s="35"/>
      <c r="AO168" s="35"/>
      <c r="AP168" s="35"/>
      <c r="AQ168" s="35"/>
      <c r="AR168" s="35"/>
      <c r="AS168" s="45">
        <f t="shared" si="25"/>
        <v>0</v>
      </c>
      <c r="AT168" s="45"/>
      <c r="AU168" s="35">
        <v>0</v>
      </c>
      <c r="AV168" s="35"/>
      <c r="AW168" s="35">
        <v>0</v>
      </c>
      <c r="AX168" s="35"/>
      <c r="AY168" s="35">
        <f t="shared" si="29"/>
        <v>0</v>
      </c>
      <c r="AZ168" s="35"/>
      <c r="BA168" s="35" t="s">
        <v>200</v>
      </c>
      <c r="BB168" s="55"/>
      <c r="BC168" s="35" t="s">
        <v>103</v>
      </c>
      <c r="BD168" s="35"/>
      <c r="BE168" s="35"/>
      <c r="BF168" s="35"/>
      <c r="BG168" s="35"/>
      <c r="BH168" s="35"/>
      <c r="BI168" s="35"/>
      <c r="BJ168" s="35"/>
      <c r="BK168" s="35"/>
      <c r="BL168" s="35"/>
      <c r="BM168" s="35">
        <f t="shared" si="31"/>
        <v>0</v>
      </c>
      <c r="BN168" s="54" t="s">
        <v>347</v>
      </c>
    </row>
    <row r="169" spans="1:67" ht="12.75" customHeight="1" x14ac:dyDescent="0.2">
      <c r="A169" s="35" t="s">
        <v>201</v>
      </c>
      <c r="C169" s="35" t="s">
        <v>92</v>
      </c>
      <c r="D169" s="35"/>
      <c r="E169" s="35">
        <f t="shared" si="26"/>
        <v>27524256</v>
      </c>
      <c r="F169" s="35"/>
      <c r="G169" s="35">
        <v>24942601</v>
      </c>
      <c r="H169" s="35"/>
      <c r="I169" s="35">
        <v>52466857</v>
      </c>
      <c r="J169" s="35"/>
      <c r="K169" s="35">
        <f t="shared" si="27"/>
        <v>2862790</v>
      </c>
      <c r="L169" s="35"/>
      <c r="M169" s="35">
        <v>2051231</v>
      </c>
      <c r="N169" s="35"/>
      <c r="O169" s="35">
        <v>4914021</v>
      </c>
      <c r="P169" s="35"/>
      <c r="Q169" s="35">
        <v>20955715</v>
      </c>
      <c r="R169" s="35"/>
      <c r="S169" s="35">
        <v>0</v>
      </c>
      <c r="T169" s="35"/>
      <c r="U169" s="35">
        <v>26597121</v>
      </c>
      <c r="V169" s="35"/>
      <c r="W169" s="35">
        <f t="shared" si="28"/>
        <v>47552836</v>
      </c>
      <c r="X169" s="35"/>
      <c r="Y169" s="35" t="s">
        <v>201</v>
      </c>
      <c r="Z169" s="55"/>
      <c r="AA169" s="35" t="s">
        <v>92</v>
      </c>
      <c r="AB169" s="35"/>
      <c r="AC169" s="35">
        <v>27058128</v>
      </c>
      <c r="AD169" s="35"/>
      <c r="AE169" s="35">
        <f>22281143-778150</f>
        <v>21502993</v>
      </c>
      <c r="AF169" s="35"/>
      <c r="AG169" s="35">
        <v>778150</v>
      </c>
      <c r="AH169" s="35"/>
      <c r="AI169" s="45">
        <f t="shared" si="32"/>
        <v>4776985</v>
      </c>
      <c r="AJ169" s="45"/>
      <c r="AK169" s="35">
        <v>-44501</v>
      </c>
      <c r="AL169" s="35"/>
      <c r="AM169" s="35">
        <v>0</v>
      </c>
      <c r="AN169" s="35"/>
      <c r="AO169" s="35">
        <v>1138475</v>
      </c>
      <c r="AP169" s="35"/>
      <c r="AQ169" s="35">
        <v>2117161</v>
      </c>
      <c r="AR169" s="35"/>
      <c r="AS169" s="45">
        <f t="shared" si="25"/>
        <v>5711170</v>
      </c>
      <c r="AT169" s="45"/>
      <c r="AU169" s="35">
        <v>0</v>
      </c>
      <c r="AV169" s="35"/>
      <c r="AW169" s="35">
        <v>0</v>
      </c>
      <c r="AX169" s="35"/>
      <c r="AY169" s="35">
        <f t="shared" si="29"/>
        <v>24661466</v>
      </c>
      <c r="AZ169" s="35"/>
      <c r="BA169" s="35" t="s">
        <v>201</v>
      </c>
      <c r="BB169" s="55"/>
      <c r="BC169" s="35" t="s">
        <v>92</v>
      </c>
      <c r="BD169" s="35"/>
      <c r="BE169" s="35">
        <v>0</v>
      </c>
      <c r="BF169" s="35"/>
      <c r="BG169" s="35">
        <f>1401494+172525</f>
        <v>1574019</v>
      </c>
      <c r="BH169" s="35"/>
      <c r="BI169" s="35">
        <v>0</v>
      </c>
      <c r="BJ169" s="35"/>
      <c r="BK169" s="35">
        <f>134412+515325+382965+14495</f>
        <v>1047197</v>
      </c>
      <c r="BL169" s="35"/>
      <c r="BM169" s="35">
        <f t="shared" si="31"/>
        <v>2621216</v>
      </c>
      <c r="BN169" s="54" t="s">
        <v>347</v>
      </c>
    </row>
    <row r="170" spans="1:67" ht="12.75" hidden="1" customHeight="1" x14ac:dyDescent="0.2">
      <c r="A170" s="35" t="s">
        <v>202</v>
      </c>
      <c r="C170" s="35" t="s">
        <v>27</v>
      </c>
      <c r="D170" s="35"/>
      <c r="E170" s="35">
        <f t="shared" si="26"/>
        <v>0</v>
      </c>
      <c r="F170" s="35"/>
      <c r="G170" s="35"/>
      <c r="H170" s="35"/>
      <c r="I170" s="35"/>
      <c r="J170" s="35"/>
      <c r="K170" s="35">
        <f t="shared" si="27"/>
        <v>0</v>
      </c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>
        <f t="shared" si="28"/>
        <v>0</v>
      </c>
      <c r="X170" s="35"/>
      <c r="Y170" s="35" t="s">
        <v>202</v>
      </c>
      <c r="Z170" s="55"/>
      <c r="AA170" s="35" t="s">
        <v>27</v>
      </c>
      <c r="AB170" s="35"/>
      <c r="AC170" s="35"/>
      <c r="AD170" s="35"/>
      <c r="AE170" s="35"/>
      <c r="AF170" s="35"/>
      <c r="AG170" s="35"/>
      <c r="AH170" s="35"/>
      <c r="AI170" s="45">
        <f t="shared" si="32"/>
        <v>0</v>
      </c>
      <c r="AJ170" s="45"/>
      <c r="AK170" s="35"/>
      <c r="AL170" s="35"/>
      <c r="AM170" s="35"/>
      <c r="AN170" s="35"/>
      <c r="AO170" s="35"/>
      <c r="AP170" s="35"/>
      <c r="AQ170" s="35"/>
      <c r="AR170" s="35"/>
      <c r="AS170" s="45">
        <f t="shared" ref="AS170:AS233" si="33">+AI170+AK170+AM170-AO170+AQ170</f>
        <v>0</v>
      </c>
      <c r="AT170" s="45"/>
      <c r="AU170" s="35">
        <v>0</v>
      </c>
      <c r="AV170" s="35"/>
      <c r="AW170" s="35">
        <v>0</v>
      </c>
      <c r="AX170" s="35"/>
      <c r="AY170" s="35">
        <f t="shared" si="29"/>
        <v>0</v>
      </c>
      <c r="AZ170" s="35"/>
      <c r="BA170" s="35" t="s">
        <v>202</v>
      </c>
      <c r="BB170" s="55"/>
      <c r="BC170" s="35" t="s">
        <v>27</v>
      </c>
      <c r="BD170" s="35"/>
      <c r="BE170" s="35"/>
      <c r="BF170" s="35"/>
      <c r="BG170" s="35"/>
      <c r="BH170" s="35"/>
      <c r="BI170" s="35"/>
      <c r="BJ170" s="35"/>
      <c r="BK170" s="35"/>
      <c r="BL170" s="35"/>
      <c r="BM170" s="35">
        <f t="shared" si="31"/>
        <v>0</v>
      </c>
      <c r="BN170" s="54" t="s">
        <v>347</v>
      </c>
    </row>
    <row r="171" spans="1:67" ht="12.75" hidden="1" customHeight="1" x14ac:dyDescent="0.2">
      <c r="A171" s="35" t="s">
        <v>203</v>
      </c>
      <c r="C171" s="35" t="s">
        <v>27</v>
      </c>
      <c r="D171" s="35"/>
      <c r="E171" s="35">
        <f t="shared" ref="E171:E234" si="34">I171-G171</f>
        <v>0</v>
      </c>
      <c r="F171" s="35"/>
      <c r="G171" s="35"/>
      <c r="H171" s="35"/>
      <c r="I171" s="35"/>
      <c r="J171" s="35"/>
      <c r="K171" s="35">
        <f t="shared" ref="K171:K234" si="35">O171-M171</f>
        <v>0</v>
      </c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>
        <f t="shared" ref="W171:W234" si="36">SUM(Q171:U171)</f>
        <v>0</v>
      </c>
      <c r="X171" s="35"/>
      <c r="Y171" s="35" t="s">
        <v>203</v>
      </c>
      <c r="Z171" s="55"/>
      <c r="AA171" s="35" t="s">
        <v>27</v>
      </c>
      <c r="AB171" s="35"/>
      <c r="AC171" s="35"/>
      <c r="AD171" s="35"/>
      <c r="AE171" s="35"/>
      <c r="AF171" s="35"/>
      <c r="AG171" s="35"/>
      <c r="AH171" s="35"/>
      <c r="AI171" s="45">
        <f t="shared" si="32"/>
        <v>0</v>
      </c>
      <c r="AJ171" s="45"/>
      <c r="AK171" s="35"/>
      <c r="AL171" s="35"/>
      <c r="AM171" s="35"/>
      <c r="AN171" s="35"/>
      <c r="AO171" s="35"/>
      <c r="AP171" s="35"/>
      <c r="AQ171" s="35"/>
      <c r="AR171" s="35"/>
      <c r="AS171" s="45">
        <f t="shared" si="33"/>
        <v>0</v>
      </c>
      <c r="AT171" s="45"/>
      <c r="AU171" s="35">
        <v>0</v>
      </c>
      <c r="AV171" s="35"/>
      <c r="AW171" s="35">
        <v>0</v>
      </c>
      <c r="AX171" s="35"/>
      <c r="AY171" s="35">
        <f t="shared" ref="AY171:AY234" si="37">+E171-K171</f>
        <v>0</v>
      </c>
      <c r="AZ171" s="35"/>
      <c r="BA171" s="35" t="s">
        <v>203</v>
      </c>
      <c r="BB171" s="55"/>
      <c r="BC171" s="35" t="s">
        <v>27</v>
      </c>
      <c r="BD171" s="35"/>
      <c r="BE171" s="35"/>
      <c r="BF171" s="35"/>
      <c r="BG171" s="35"/>
      <c r="BH171" s="35"/>
      <c r="BI171" s="35"/>
      <c r="BJ171" s="35"/>
      <c r="BK171" s="35"/>
      <c r="BL171" s="35"/>
      <c r="BM171" s="35">
        <f t="shared" si="31"/>
        <v>0</v>
      </c>
      <c r="BN171" s="54" t="s">
        <v>347</v>
      </c>
    </row>
    <row r="172" spans="1:67" ht="12.75" hidden="1" customHeight="1" x14ac:dyDescent="0.2">
      <c r="A172" s="35" t="s">
        <v>204</v>
      </c>
      <c r="C172" s="35" t="s">
        <v>125</v>
      </c>
      <c r="D172" s="35"/>
      <c r="E172" s="35">
        <f t="shared" si="34"/>
        <v>0</v>
      </c>
      <c r="F172" s="35"/>
      <c r="G172" s="35"/>
      <c r="H172" s="35"/>
      <c r="I172" s="35"/>
      <c r="J172" s="35"/>
      <c r="K172" s="35">
        <f t="shared" si="35"/>
        <v>0</v>
      </c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>
        <f t="shared" si="36"/>
        <v>0</v>
      </c>
      <c r="X172" s="35"/>
      <c r="Y172" s="35" t="s">
        <v>204</v>
      </c>
      <c r="Z172" s="55"/>
      <c r="AA172" s="35" t="s">
        <v>125</v>
      </c>
      <c r="AB172" s="35"/>
      <c r="AC172" s="35"/>
      <c r="AD172" s="35"/>
      <c r="AE172" s="35"/>
      <c r="AF172" s="35"/>
      <c r="AG172" s="35"/>
      <c r="AH172" s="35"/>
      <c r="AI172" s="45">
        <f t="shared" si="32"/>
        <v>0</v>
      </c>
      <c r="AJ172" s="45"/>
      <c r="AK172" s="35"/>
      <c r="AL172" s="35"/>
      <c r="AM172" s="35"/>
      <c r="AN172" s="35"/>
      <c r="AO172" s="35"/>
      <c r="AP172" s="35"/>
      <c r="AQ172" s="35"/>
      <c r="AR172" s="35"/>
      <c r="AS172" s="45">
        <f t="shared" si="33"/>
        <v>0</v>
      </c>
      <c r="AT172" s="45"/>
      <c r="AU172" s="35">
        <v>0</v>
      </c>
      <c r="AV172" s="35"/>
      <c r="AW172" s="35">
        <v>0</v>
      </c>
      <c r="AX172" s="35"/>
      <c r="AY172" s="35">
        <f t="shared" si="37"/>
        <v>0</v>
      </c>
      <c r="AZ172" s="35"/>
      <c r="BA172" s="35" t="s">
        <v>204</v>
      </c>
      <c r="BB172" s="55"/>
      <c r="BC172" s="35" t="s">
        <v>125</v>
      </c>
      <c r="BD172" s="35"/>
      <c r="BE172" s="35"/>
      <c r="BF172" s="35"/>
      <c r="BG172" s="35"/>
      <c r="BH172" s="35"/>
      <c r="BI172" s="35"/>
      <c r="BJ172" s="35"/>
      <c r="BK172" s="35"/>
      <c r="BL172" s="35"/>
      <c r="BM172" s="35">
        <f t="shared" si="31"/>
        <v>0</v>
      </c>
      <c r="BN172" s="54" t="s">
        <v>347</v>
      </c>
    </row>
    <row r="173" spans="1:67" ht="12.75" hidden="1" customHeight="1" x14ac:dyDescent="0.2">
      <c r="A173" s="35" t="s">
        <v>205</v>
      </c>
      <c r="C173" s="35" t="s">
        <v>27</v>
      </c>
      <c r="D173" s="35"/>
      <c r="E173" s="35">
        <f t="shared" si="34"/>
        <v>0</v>
      </c>
      <c r="F173" s="35"/>
      <c r="G173" s="35"/>
      <c r="H173" s="35"/>
      <c r="I173" s="35"/>
      <c r="J173" s="35"/>
      <c r="K173" s="35">
        <f t="shared" si="35"/>
        <v>0</v>
      </c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>
        <f t="shared" si="36"/>
        <v>0</v>
      </c>
      <c r="X173" s="35"/>
      <c r="Y173" s="35" t="s">
        <v>205</v>
      </c>
      <c r="Z173" s="55"/>
      <c r="AA173" s="35" t="s">
        <v>27</v>
      </c>
      <c r="AB173" s="35"/>
      <c r="AC173" s="35"/>
      <c r="AD173" s="35"/>
      <c r="AE173" s="35"/>
      <c r="AF173" s="35"/>
      <c r="AG173" s="35"/>
      <c r="AH173" s="35"/>
      <c r="AI173" s="45">
        <f t="shared" si="32"/>
        <v>0</v>
      </c>
      <c r="AJ173" s="45"/>
      <c r="AK173" s="35"/>
      <c r="AL173" s="35"/>
      <c r="AM173" s="35"/>
      <c r="AN173" s="35"/>
      <c r="AO173" s="35"/>
      <c r="AP173" s="35"/>
      <c r="AQ173" s="35"/>
      <c r="AR173" s="35"/>
      <c r="AS173" s="45">
        <f t="shared" si="33"/>
        <v>0</v>
      </c>
      <c r="AT173" s="45"/>
      <c r="AU173" s="35">
        <v>0</v>
      </c>
      <c r="AV173" s="35"/>
      <c r="AW173" s="35">
        <v>0</v>
      </c>
      <c r="AX173" s="35"/>
      <c r="AY173" s="35">
        <f t="shared" si="37"/>
        <v>0</v>
      </c>
      <c r="AZ173" s="35"/>
      <c r="BA173" s="35" t="s">
        <v>205</v>
      </c>
      <c r="BB173" s="55"/>
      <c r="BC173" s="35" t="s">
        <v>27</v>
      </c>
      <c r="BD173" s="35"/>
      <c r="BE173" s="35"/>
      <c r="BF173" s="35"/>
      <c r="BG173" s="35"/>
      <c r="BH173" s="35"/>
      <c r="BI173" s="35"/>
      <c r="BJ173" s="35"/>
      <c r="BK173" s="35"/>
      <c r="BL173" s="35"/>
      <c r="BM173" s="35">
        <f t="shared" si="31"/>
        <v>0</v>
      </c>
      <c r="BN173" s="54" t="s">
        <v>347</v>
      </c>
    </row>
    <row r="174" spans="1:67" ht="12.75" hidden="1" customHeight="1" x14ac:dyDescent="0.2">
      <c r="A174" s="35" t="s">
        <v>206</v>
      </c>
      <c r="C174" s="35" t="s">
        <v>47</v>
      </c>
      <c r="D174" s="35"/>
      <c r="E174" s="35">
        <f t="shared" si="34"/>
        <v>0</v>
      </c>
      <c r="F174" s="35"/>
      <c r="G174" s="35"/>
      <c r="H174" s="35"/>
      <c r="I174" s="35"/>
      <c r="J174" s="35"/>
      <c r="K174" s="35">
        <f t="shared" si="35"/>
        <v>0</v>
      </c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>
        <f t="shared" si="36"/>
        <v>0</v>
      </c>
      <c r="X174" s="35"/>
      <c r="Y174" s="35" t="s">
        <v>206</v>
      </c>
      <c r="Z174" s="55"/>
      <c r="AA174" s="35" t="s">
        <v>47</v>
      </c>
      <c r="AB174" s="35"/>
      <c r="AC174" s="35"/>
      <c r="AD174" s="35"/>
      <c r="AE174" s="35"/>
      <c r="AF174" s="35"/>
      <c r="AG174" s="35"/>
      <c r="AH174" s="35"/>
      <c r="AI174" s="45">
        <f t="shared" si="32"/>
        <v>0</v>
      </c>
      <c r="AJ174" s="45"/>
      <c r="AK174" s="35"/>
      <c r="AL174" s="35"/>
      <c r="AM174" s="35"/>
      <c r="AN174" s="35"/>
      <c r="AO174" s="35"/>
      <c r="AP174" s="35"/>
      <c r="AQ174" s="35"/>
      <c r="AR174" s="35"/>
      <c r="AS174" s="45">
        <f t="shared" si="33"/>
        <v>0</v>
      </c>
      <c r="AT174" s="45"/>
      <c r="AU174" s="35">
        <v>0</v>
      </c>
      <c r="AV174" s="35"/>
      <c r="AW174" s="35">
        <v>0</v>
      </c>
      <c r="AX174" s="35"/>
      <c r="AY174" s="35">
        <f t="shared" si="37"/>
        <v>0</v>
      </c>
      <c r="AZ174" s="35"/>
      <c r="BA174" s="35" t="s">
        <v>206</v>
      </c>
      <c r="BB174" s="55"/>
      <c r="BC174" s="35" t="s">
        <v>47</v>
      </c>
      <c r="BD174" s="35"/>
      <c r="BE174" s="35"/>
      <c r="BF174" s="35"/>
      <c r="BG174" s="35"/>
      <c r="BH174" s="35"/>
      <c r="BI174" s="35"/>
      <c r="BJ174" s="35"/>
      <c r="BK174" s="35"/>
      <c r="BL174" s="35"/>
      <c r="BM174" s="35">
        <f t="shared" si="31"/>
        <v>0</v>
      </c>
      <c r="BN174" s="54" t="s">
        <v>347</v>
      </c>
    </row>
    <row r="175" spans="1:67" ht="12.75" hidden="1" customHeight="1" x14ac:dyDescent="0.2">
      <c r="A175" s="35" t="s">
        <v>207</v>
      </c>
      <c r="C175" s="35" t="s">
        <v>102</v>
      </c>
      <c r="D175" s="35"/>
      <c r="E175" s="35">
        <f t="shared" si="34"/>
        <v>0</v>
      </c>
      <c r="F175" s="35"/>
      <c r="G175" s="35"/>
      <c r="H175" s="35"/>
      <c r="I175" s="35"/>
      <c r="J175" s="35"/>
      <c r="K175" s="35">
        <f t="shared" si="35"/>
        <v>0</v>
      </c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>
        <f t="shared" si="36"/>
        <v>0</v>
      </c>
      <c r="X175" s="35"/>
      <c r="Y175" s="35" t="s">
        <v>207</v>
      </c>
      <c r="Z175" s="55"/>
      <c r="AA175" s="35" t="s">
        <v>102</v>
      </c>
      <c r="AB175" s="35"/>
      <c r="AC175" s="35"/>
      <c r="AD175" s="35"/>
      <c r="AE175" s="35"/>
      <c r="AF175" s="35"/>
      <c r="AG175" s="35"/>
      <c r="AH175" s="35"/>
      <c r="AI175" s="45">
        <f t="shared" si="32"/>
        <v>0</v>
      </c>
      <c r="AJ175" s="45"/>
      <c r="AK175" s="35"/>
      <c r="AL175" s="35"/>
      <c r="AM175" s="35"/>
      <c r="AN175" s="35"/>
      <c r="AO175" s="35"/>
      <c r="AP175" s="35"/>
      <c r="AQ175" s="35"/>
      <c r="AR175" s="35"/>
      <c r="AS175" s="45">
        <f t="shared" si="33"/>
        <v>0</v>
      </c>
      <c r="AT175" s="45"/>
      <c r="AU175" s="35">
        <v>0</v>
      </c>
      <c r="AV175" s="35"/>
      <c r="AW175" s="35">
        <v>0</v>
      </c>
      <c r="AX175" s="35"/>
      <c r="AY175" s="35">
        <f t="shared" si="37"/>
        <v>0</v>
      </c>
      <c r="AZ175" s="35"/>
      <c r="BA175" s="35" t="s">
        <v>207</v>
      </c>
      <c r="BB175" s="55"/>
      <c r="BC175" s="35" t="s">
        <v>102</v>
      </c>
      <c r="BD175" s="35"/>
      <c r="BE175" s="35"/>
      <c r="BF175" s="35"/>
      <c r="BG175" s="35"/>
      <c r="BH175" s="35"/>
      <c r="BI175" s="35"/>
      <c r="BJ175" s="35"/>
      <c r="BK175" s="35"/>
      <c r="BL175" s="35"/>
      <c r="BM175" s="35">
        <f t="shared" si="31"/>
        <v>0</v>
      </c>
      <c r="BN175" s="54" t="s">
        <v>347</v>
      </c>
    </row>
    <row r="176" spans="1:67" ht="12.75" customHeight="1" x14ac:dyDescent="0.2">
      <c r="A176" s="35" t="s">
        <v>208</v>
      </c>
      <c r="C176" s="35" t="s">
        <v>209</v>
      </c>
      <c r="D176" s="35"/>
      <c r="E176" s="35">
        <f t="shared" si="34"/>
        <v>15840586</v>
      </c>
      <c r="F176" s="35"/>
      <c r="G176" s="35">
        <v>31421711</v>
      </c>
      <c r="H176" s="35"/>
      <c r="I176" s="35">
        <v>47262297</v>
      </c>
      <c r="J176" s="35"/>
      <c r="K176" s="35">
        <f t="shared" si="35"/>
        <v>1861456</v>
      </c>
      <c r="L176" s="35"/>
      <c r="M176" s="35">
        <v>350605</v>
      </c>
      <c r="N176" s="35"/>
      <c r="O176" s="35">
        <v>2212061</v>
      </c>
      <c r="P176" s="35"/>
      <c r="Q176" s="35">
        <v>31421711</v>
      </c>
      <c r="R176" s="35"/>
      <c r="S176" s="35">
        <v>0</v>
      </c>
      <c r="T176" s="35"/>
      <c r="U176" s="35">
        <v>13628525</v>
      </c>
      <c r="V176" s="35"/>
      <c r="W176" s="35">
        <f t="shared" si="36"/>
        <v>45050236</v>
      </c>
      <c r="X176" s="35"/>
      <c r="Y176" s="35" t="s">
        <v>208</v>
      </c>
      <c r="Z176" s="55"/>
      <c r="AA176" s="35" t="s">
        <v>209</v>
      </c>
      <c r="AB176" s="35"/>
      <c r="AC176" s="35">
        <v>23479170</v>
      </c>
      <c r="AD176" s="35"/>
      <c r="AE176" s="35">
        <f>23612877-1702577</f>
        <v>21910300</v>
      </c>
      <c r="AF176" s="35"/>
      <c r="AG176" s="35">
        <v>1702577</v>
      </c>
      <c r="AH176" s="35"/>
      <c r="AI176" s="45">
        <f t="shared" si="32"/>
        <v>-133707</v>
      </c>
      <c r="AJ176" s="45"/>
      <c r="AK176" s="35">
        <v>417238</v>
      </c>
      <c r="AL176" s="35"/>
      <c r="AM176" s="35">
        <v>0</v>
      </c>
      <c r="AN176" s="35"/>
      <c r="AO176" s="35">
        <v>0</v>
      </c>
      <c r="AP176" s="35"/>
      <c r="AQ176" s="35">
        <v>0</v>
      </c>
      <c r="AR176" s="35"/>
      <c r="AS176" s="45">
        <f t="shared" si="33"/>
        <v>283531</v>
      </c>
      <c r="AT176" s="45"/>
      <c r="AU176" s="35">
        <v>0</v>
      </c>
      <c r="AV176" s="35"/>
      <c r="AW176" s="35">
        <v>0</v>
      </c>
      <c r="AX176" s="35"/>
      <c r="AY176" s="35">
        <f t="shared" si="37"/>
        <v>13979130</v>
      </c>
      <c r="AZ176" s="35"/>
      <c r="BA176" s="35" t="s">
        <v>208</v>
      </c>
      <c r="BB176" s="55"/>
      <c r="BC176" s="35" t="s">
        <v>209</v>
      </c>
      <c r="BD176" s="35"/>
      <c r="BE176" s="35">
        <v>0</v>
      </c>
      <c r="BF176" s="35"/>
      <c r="BG176" s="35">
        <v>0</v>
      </c>
      <c r="BH176" s="35"/>
      <c r="BI176" s="35">
        <v>0</v>
      </c>
      <c r="BJ176" s="35"/>
      <c r="BK176" s="35">
        <f>350605+226076</f>
        <v>576681</v>
      </c>
      <c r="BL176" s="35"/>
      <c r="BM176" s="35">
        <f t="shared" si="31"/>
        <v>576681</v>
      </c>
      <c r="BN176" s="54" t="s">
        <v>347</v>
      </c>
    </row>
    <row r="177" spans="1:68" ht="12.75" hidden="1" customHeight="1" x14ac:dyDescent="0.2">
      <c r="A177" s="44" t="s">
        <v>210</v>
      </c>
      <c r="C177" s="44" t="s">
        <v>211</v>
      </c>
      <c r="D177" s="44"/>
      <c r="E177" s="35">
        <f t="shared" si="34"/>
        <v>0</v>
      </c>
      <c r="F177" s="35"/>
      <c r="G177" s="35"/>
      <c r="H177" s="35"/>
      <c r="I177" s="35"/>
      <c r="J177" s="35"/>
      <c r="K177" s="35">
        <f t="shared" si="35"/>
        <v>0</v>
      </c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>
        <f t="shared" si="36"/>
        <v>0</v>
      </c>
      <c r="X177" s="35"/>
      <c r="Y177" s="44" t="s">
        <v>210</v>
      </c>
      <c r="Z177" s="55"/>
      <c r="AA177" s="44" t="s">
        <v>211</v>
      </c>
      <c r="AB177" s="44"/>
      <c r="AC177" s="35"/>
      <c r="AD177" s="35"/>
      <c r="AE177" s="35"/>
      <c r="AF177" s="35"/>
      <c r="AG177" s="35"/>
      <c r="AH177" s="35"/>
      <c r="AI177" s="45">
        <f t="shared" si="32"/>
        <v>0</v>
      </c>
      <c r="AJ177" s="45"/>
      <c r="AK177" s="35"/>
      <c r="AL177" s="35"/>
      <c r="AM177" s="35"/>
      <c r="AN177" s="35"/>
      <c r="AO177" s="35"/>
      <c r="AP177" s="35"/>
      <c r="AQ177" s="35"/>
      <c r="AR177" s="35"/>
      <c r="AS177" s="45">
        <f t="shared" si="33"/>
        <v>0</v>
      </c>
      <c r="AT177" s="45"/>
      <c r="AU177" s="35">
        <v>0</v>
      </c>
      <c r="AV177" s="35"/>
      <c r="AW177" s="35">
        <v>0</v>
      </c>
      <c r="AX177" s="35"/>
      <c r="AY177" s="35">
        <f t="shared" si="37"/>
        <v>0</v>
      </c>
      <c r="AZ177" s="35"/>
      <c r="BA177" s="44" t="s">
        <v>210</v>
      </c>
      <c r="BB177" s="55"/>
      <c r="BC177" s="44" t="s">
        <v>211</v>
      </c>
      <c r="BD177" s="44"/>
      <c r="BE177" s="35"/>
      <c r="BF177" s="35"/>
      <c r="BG177" s="35"/>
      <c r="BH177" s="35"/>
      <c r="BI177" s="35"/>
      <c r="BJ177" s="35"/>
      <c r="BK177" s="35"/>
      <c r="BL177" s="35"/>
      <c r="BM177" s="35">
        <f t="shared" si="31"/>
        <v>0</v>
      </c>
      <c r="BN177" s="54" t="s">
        <v>347</v>
      </c>
    </row>
    <row r="178" spans="1:68" ht="12.75" hidden="1" customHeight="1" x14ac:dyDescent="0.2">
      <c r="A178" s="44" t="s">
        <v>212</v>
      </c>
      <c r="C178" s="44" t="s">
        <v>213</v>
      </c>
      <c r="D178" s="44"/>
      <c r="E178" s="35">
        <f t="shared" si="34"/>
        <v>0</v>
      </c>
      <c r="F178" s="35"/>
      <c r="G178" s="35"/>
      <c r="H178" s="35"/>
      <c r="I178" s="35"/>
      <c r="J178" s="35"/>
      <c r="K178" s="35">
        <f t="shared" si="35"/>
        <v>0</v>
      </c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>
        <f t="shared" si="36"/>
        <v>0</v>
      </c>
      <c r="X178" s="35"/>
      <c r="Y178" s="44" t="s">
        <v>212</v>
      </c>
      <c r="Z178" s="55"/>
      <c r="AA178" s="44" t="s">
        <v>213</v>
      </c>
      <c r="AB178" s="44"/>
      <c r="AC178" s="35"/>
      <c r="AD178" s="35"/>
      <c r="AE178" s="35"/>
      <c r="AF178" s="35"/>
      <c r="AG178" s="35"/>
      <c r="AH178" s="35"/>
      <c r="AI178" s="45">
        <f t="shared" si="32"/>
        <v>0</v>
      </c>
      <c r="AJ178" s="45"/>
      <c r="AK178" s="35"/>
      <c r="AL178" s="35"/>
      <c r="AM178" s="35"/>
      <c r="AN178" s="35"/>
      <c r="AO178" s="35"/>
      <c r="AP178" s="35"/>
      <c r="AQ178" s="35"/>
      <c r="AR178" s="35"/>
      <c r="AS178" s="45">
        <f t="shared" si="33"/>
        <v>0</v>
      </c>
      <c r="AT178" s="45"/>
      <c r="AU178" s="35">
        <v>0</v>
      </c>
      <c r="AV178" s="35"/>
      <c r="AW178" s="35">
        <v>0</v>
      </c>
      <c r="AX178" s="35"/>
      <c r="AY178" s="35">
        <f t="shared" si="37"/>
        <v>0</v>
      </c>
      <c r="AZ178" s="35"/>
      <c r="BA178" s="44" t="s">
        <v>212</v>
      </c>
      <c r="BB178" s="55"/>
      <c r="BC178" s="44" t="s">
        <v>213</v>
      </c>
      <c r="BD178" s="44"/>
      <c r="BE178" s="35"/>
      <c r="BF178" s="35"/>
      <c r="BG178" s="35"/>
      <c r="BH178" s="35"/>
      <c r="BI178" s="35"/>
      <c r="BJ178" s="35"/>
      <c r="BK178" s="35"/>
      <c r="BL178" s="35"/>
      <c r="BM178" s="35">
        <f t="shared" si="31"/>
        <v>0</v>
      </c>
      <c r="BN178" s="54" t="s">
        <v>347</v>
      </c>
    </row>
    <row r="179" spans="1:68" ht="12.75" hidden="1" customHeight="1" x14ac:dyDescent="0.2">
      <c r="A179" s="44" t="s">
        <v>214</v>
      </c>
      <c r="C179" s="44" t="s">
        <v>86</v>
      </c>
      <c r="D179" s="44"/>
      <c r="E179" s="35">
        <f t="shared" si="34"/>
        <v>0</v>
      </c>
      <c r="F179" s="35"/>
      <c r="G179" s="35"/>
      <c r="H179" s="35"/>
      <c r="I179" s="35"/>
      <c r="J179" s="35"/>
      <c r="K179" s="35">
        <f t="shared" si="35"/>
        <v>0</v>
      </c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>
        <f t="shared" si="36"/>
        <v>0</v>
      </c>
      <c r="X179" s="35"/>
      <c r="Y179" s="44" t="s">
        <v>214</v>
      </c>
      <c r="Z179" s="55"/>
      <c r="AA179" s="44" t="s">
        <v>86</v>
      </c>
      <c r="AB179" s="44"/>
      <c r="AC179" s="35"/>
      <c r="AD179" s="35"/>
      <c r="AE179" s="35"/>
      <c r="AF179" s="35"/>
      <c r="AG179" s="35"/>
      <c r="AH179" s="35"/>
      <c r="AI179" s="45">
        <f t="shared" si="32"/>
        <v>0</v>
      </c>
      <c r="AJ179" s="45"/>
      <c r="AK179" s="35"/>
      <c r="AL179" s="35"/>
      <c r="AM179" s="35"/>
      <c r="AN179" s="35"/>
      <c r="AO179" s="35"/>
      <c r="AP179" s="35"/>
      <c r="AQ179" s="35"/>
      <c r="AR179" s="35"/>
      <c r="AS179" s="45">
        <f t="shared" si="33"/>
        <v>0</v>
      </c>
      <c r="AT179" s="45"/>
      <c r="AU179" s="35">
        <v>0</v>
      </c>
      <c r="AV179" s="35"/>
      <c r="AW179" s="35">
        <v>0</v>
      </c>
      <c r="AX179" s="35"/>
      <c r="AY179" s="35">
        <f t="shared" si="37"/>
        <v>0</v>
      </c>
      <c r="AZ179" s="35"/>
      <c r="BA179" s="44" t="s">
        <v>214</v>
      </c>
      <c r="BB179" s="55"/>
      <c r="BC179" s="44" t="s">
        <v>86</v>
      </c>
      <c r="BD179" s="44"/>
      <c r="BE179" s="35"/>
      <c r="BF179" s="35"/>
      <c r="BG179" s="35"/>
      <c r="BH179" s="35"/>
      <c r="BI179" s="35"/>
      <c r="BJ179" s="35"/>
      <c r="BK179" s="35"/>
      <c r="BL179" s="35"/>
      <c r="BM179" s="35">
        <f t="shared" si="31"/>
        <v>0</v>
      </c>
      <c r="BN179" s="54" t="s">
        <v>347</v>
      </c>
    </row>
    <row r="180" spans="1:68" ht="12.75" hidden="1" customHeight="1" x14ac:dyDescent="0.2">
      <c r="A180" s="35" t="s">
        <v>215</v>
      </c>
      <c r="C180" s="35" t="s">
        <v>22</v>
      </c>
      <c r="D180" s="35"/>
      <c r="E180" s="35">
        <f t="shared" si="34"/>
        <v>0</v>
      </c>
      <c r="F180" s="35"/>
      <c r="G180" s="35"/>
      <c r="H180" s="35"/>
      <c r="I180" s="35"/>
      <c r="J180" s="35"/>
      <c r="K180" s="35">
        <f t="shared" si="35"/>
        <v>0</v>
      </c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>
        <f t="shared" si="36"/>
        <v>0</v>
      </c>
      <c r="X180" s="35"/>
      <c r="Y180" s="35" t="s">
        <v>215</v>
      </c>
      <c r="Z180" s="55"/>
      <c r="AA180" s="35" t="s">
        <v>22</v>
      </c>
      <c r="AB180" s="35"/>
      <c r="AC180" s="35"/>
      <c r="AD180" s="35"/>
      <c r="AE180" s="35"/>
      <c r="AF180" s="35"/>
      <c r="AG180" s="35"/>
      <c r="AH180" s="35"/>
      <c r="AI180" s="45">
        <f t="shared" si="32"/>
        <v>0</v>
      </c>
      <c r="AJ180" s="45"/>
      <c r="AK180" s="35"/>
      <c r="AL180" s="35"/>
      <c r="AM180" s="35"/>
      <c r="AN180" s="35"/>
      <c r="AO180" s="35"/>
      <c r="AP180" s="35"/>
      <c r="AQ180" s="35"/>
      <c r="AR180" s="35"/>
      <c r="AS180" s="45">
        <f t="shared" si="33"/>
        <v>0</v>
      </c>
      <c r="AT180" s="45"/>
      <c r="AU180" s="35">
        <v>0</v>
      </c>
      <c r="AV180" s="35"/>
      <c r="AW180" s="35">
        <v>0</v>
      </c>
      <c r="AX180" s="35"/>
      <c r="AY180" s="35">
        <f t="shared" si="37"/>
        <v>0</v>
      </c>
      <c r="AZ180" s="35"/>
      <c r="BA180" s="35" t="s">
        <v>215</v>
      </c>
      <c r="BB180" s="55"/>
      <c r="BC180" s="35" t="s">
        <v>22</v>
      </c>
      <c r="BD180" s="35"/>
      <c r="BE180" s="35"/>
      <c r="BF180" s="35"/>
      <c r="BG180" s="35"/>
      <c r="BH180" s="35"/>
      <c r="BI180" s="35"/>
      <c r="BJ180" s="35"/>
      <c r="BK180" s="35"/>
      <c r="BL180" s="35"/>
      <c r="BM180" s="35">
        <f t="shared" si="31"/>
        <v>0</v>
      </c>
      <c r="BN180" s="54" t="s">
        <v>347</v>
      </c>
    </row>
    <row r="181" spans="1:68" ht="12.75" hidden="1" customHeight="1" x14ac:dyDescent="0.2">
      <c r="A181" s="35" t="s">
        <v>216</v>
      </c>
      <c r="C181" s="35" t="s">
        <v>45</v>
      </c>
      <c r="D181" s="35"/>
      <c r="E181" s="35">
        <f t="shared" si="34"/>
        <v>0</v>
      </c>
      <c r="F181" s="35"/>
      <c r="G181" s="35"/>
      <c r="H181" s="35"/>
      <c r="I181" s="35"/>
      <c r="J181" s="35"/>
      <c r="K181" s="35">
        <f t="shared" si="35"/>
        <v>0</v>
      </c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>
        <f t="shared" si="36"/>
        <v>0</v>
      </c>
      <c r="X181" s="35"/>
      <c r="Y181" s="35" t="s">
        <v>216</v>
      </c>
      <c r="Z181" s="55"/>
      <c r="AA181" s="35" t="s">
        <v>45</v>
      </c>
      <c r="AB181" s="35"/>
      <c r="AC181" s="35"/>
      <c r="AD181" s="35"/>
      <c r="AE181" s="35"/>
      <c r="AF181" s="35"/>
      <c r="AG181" s="35"/>
      <c r="AH181" s="35"/>
      <c r="AI181" s="45">
        <f t="shared" si="32"/>
        <v>0</v>
      </c>
      <c r="AJ181" s="45"/>
      <c r="AK181" s="35"/>
      <c r="AL181" s="35"/>
      <c r="AM181" s="35"/>
      <c r="AN181" s="35"/>
      <c r="AO181" s="35"/>
      <c r="AP181" s="35"/>
      <c r="AQ181" s="35"/>
      <c r="AR181" s="35"/>
      <c r="AS181" s="45">
        <f t="shared" si="33"/>
        <v>0</v>
      </c>
      <c r="AT181" s="45"/>
      <c r="AU181" s="35">
        <v>0</v>
      </c>
      <c r="AV181" s="35"/>
      <c r="AW181" s="35">
        <v>0</v>
      </c>
      <c r="AX181" s="35"/>
      <c r="AY181" s="35">
        <f t="shared" si="37"/>
        <v>0</v>
      </c>
      <c r="AZ181" s="35"/>
      <c r="BA181" s="35" t="s">
        <v>216</v>
      </c>
      <c r="BB181" s="55"/>
      <c r="BC181" s="35" t="s">
        <v>45</v>
      </c>
      <c r="BD181" s="35"/>
      <c r="BE181" s="35"/>
      <c r="BF181" s="35"/>
      <c r="BG181" s="35"/>
      <c r="BH181" s="35"/>
      <c r="BI181" s="35"/>
      <c r="BJ181" s="35"/>
      <c r="BK181" s="35"/>
      <c r="BL181" s="35"/>
      <c r="BM181" s="35">
        <f t="shared" si="31"/>
        <v>0</v>
      </c>
      <c r="BN181" s="54" t="s">
        <v>347</v>
      </c>
    </row>
    <row r="182" spans="1:68" ht="12.75" hidden="1" customHeight="1" x14ac:dyDescent="0.2">
      <c r="A182" s="35" t="s">
        <v>217</v>
      </c>
      <c r="C182" s="35" t="s">
        <v>43</v>
      </c>
      <c r="D182" s="35"/>
      <c r="E182" s="35">
        <f t="shared" si="34"/>
        <v>0</v>
      </c>
      <c r="F182" s="35"/>
      <c r="G182" s="35"/>
      <c r="H182" s="35"/>
      <c r="I182" s="35"/>
      <c r="J182" s="35"/>
      <c r="K182" s="35">
        <f t="shared" si="35"/>
        <v>0</v>
      </c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>
        <f t="shared" si="36"/>
        <v>0</v>
      </c>
      <c r="X182" s="35"/>
      <c r="Y182" s="35" t="s">
        <v>217</v>
      </c>
      <c r="Z182" s="55"/>
      <c r="AA182" s="35" t="s">
        <v>43</v>
      </c>
      <c r="AB182" s="35"/>
      <c r="AC182" s="35"/>
      <c r="AD182" s="35"/>
      <c r="AE182" s="35"/>
      <c r="AF182" s="35"/>
      <c r="AG182" s="35"/>
      <c r="AH182" s="35"/>
      <c r="AI182" s="45">
        <f t="shared" si="32"/>
        <v>0</v>
      </c>
      <c r="AJ182" s="45"/>
      <c r="AK182" s="35"/>
      <c r="AL182" s="35"/>
      <c r="AM182" s="35"/>
      <c r="AN182" s="35"/>
      <c r="AO182" s="35"/>
      <c r="AP182" s="35"/>
      <c r="AQ182" s="35"/>
      <c r="AR182" s="35"/>
      <c r="AS182" s="45">
        <f t="shared" si="33"/>
        <v>0</v>
      </c>
      <c r="AT182" s="45"/>
      <c r="AU182" s="35">
        <v>0</v>
      </c>
      <c r="AV182" s="35"/>
      <c r="AW182" s="35">
        <v>0</v>
      </c>
      <c r="AX182" s="35"/>
      <c r="AY182" s="35">
        <f t="shared" si="37"/>
        <v>0</v>
      </c>
      <c r="AZ182" s="35"/>
      <c r="BA182" s="35" t="s">
        <v>217</v>
      </c>
      <c r="BB182" s="55"/>
      <c r="BC182" s="35" t="s">
        <v>43</v>
      </c>
      <c r="BD182" s="35"/>
      <c r="BE182" s="35"/>
      <c r="BF182" s="35"/>
      <c r="BG182" s="35"/>
      <c r="BH182" s="35"/>
      <c r="BI182" s="35"/>
      <c r="BJ182" s="35"/>
      <c r="BK182" s="35"/>
      <c r="BL182" s="35"/>
      <c r="BM182" s="35">
        <f t="shared" si="31"/>
        <v>0</v>
      </c>
      <c r="BN182" s="54" t="s">
        <v>347</v>
      </c>
    </row>
    <row r="183" spans="1:68" ht="12.75" hidden="1" customHeight="1" x14ac:dyDescent="0.2">
      <c r="A183" s="35" t="s">
        <v>218</v>
      </c>
      <c r="C183" s="35" t="s">
        <v>27</v>
      </c>
      <c r="D183" s="35"/>
      <c r="E183" s="35">
        <f t="shared" si="34"/>
        <v>0</v>
      </c>
      <c r="F183" s="35"/>
      <c r="G183" s="35"/>
      <c r="H183" s="35"/>
      <c r="I183" s="35"/>
      <c r="J183" s="35"/>
      <c r="K183" s="35">
        <f t="shared" si="35"/>
        <v>0</v>
      </c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>
        <f t="shared" si="36"/>
        <v>0</v>
      </c>
      <c r="X183" s="35"/>
      <c r="Y183" s="35" t="s">
        <v>218</v>
      </c>
      <c r="Z183" s="55"/>
      <c r="AA183" s="35" t="s">
        <v>27</v>
      </c>
      <c r="AB183" s="35"/>
      <c r="AC183" s="35"/>
      <c r="AD183" s="35"/>
      <c r="AE183" s="35"/>
      <c r="AF183" s="35"/>
      <c r="AG183" s="35"/>
      <c r="AH183" s="35"/>
      <c r="AI183" s="45">
        <f t="shared" si="32"/>
        <v>0</v>
      </c>
      <c r="AJ183" s="45"/>
      <c r="AK183" s="35"/>
      <c r="AL183" s="35"/>
      <c r="AM183" s="35"/>
      <c r="AN183" s="35"/>
      <c r="AO183" s="35"/>
      <c r="AP183" s="35"/>
      <c r="AQ183" s="35"/>
      <c r="AR183" s="35"/>
      <c r="AS183" s="45">
        <f t="shared" si="33"/>
        <v>0</v>
      </c>
      <c r="AT183" s="45"/>
      <c r="AU183" s="35">
        <v>0</v>
      </c>
      <c r="AV183" s="35"/>
      <c r="AW183" s="35">
        <v>0</v>
      </c>
      <c r="AX183" s="35"/>
      <c r="AY183" s="35">
        <f t="shared" si="37"/>
        <v>0</v>
      </c>
      <c r="AZ183" s="35"/>
      <c r="BA183" s="35" t="s">
        <v>218</v>
      </c>
      <c r="BB183" s="55"/>
      <c r="BC183" s="35" t="s">
        <v>27</v>
      </c>
      <c r="BD183" s="35"/>
      <c r="BE183" s="35"/>
      <c r="BF183" s="35"/>
      <c r="BG183" s="35"/>
      <c r="BH183" s="35"/>
      <c r="BI183" s="35"/>
      <c r="BJ183" s="35"/>
      <c r="BK183" s="35"/>
      <c r="BL183" s="35"/>
      <c r="BM183" s="35">
        <f t="shared" si="31"/>
        <v>0</v>
      </c>
      <c r="BN183" s="54" t="s">
        <v>347</v>
      </c>
      <c r="BO183" s="35"/>
      <c r="BP183" s="35"/>
    </row>
    <row r="184" spans="1:68" ht="12.75" hidden="1" customHeight="1" x14ac:dyDescent="0.2">
      <c r="A184" s="35" t="s">
        <v>219</v>
      </c>
      <c r="C184" s="35" t="s">
        <v>199</v>
      </c>
      <c r="D184" s="35"/>
      <c r="E184" s="35">
        <f t="shared" si="34"/>
        <v>0</v>
      </c>
      <c r="F184" s="35"/>
      <c r="G184" s="35"/>
      <c r="H184" s="35"/>
      <c r="I184" s="35"/>
      <c r="J184" s="35"/>
      <c r="K184" s="35">
        <f t="shared" si="35"/>
        <v>0</v>
      </c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>
        <f t="shared" si="36"/>
        <v>0</v>
      </c>
      <c r="X184" s="35"/>
      <c r="Y184" s="35" t="s">
        <v>219</v>
      </c>
      <c r="Z184" s="55"/>
      <c r="AA184" s="35" t="s">
        <v>199</v>
      </c>
      <c r="AB184" s="35"/>
      <c r="AC184" s="35"/>
      <c r="AD184" s="35"/>
      <c r="AE184" s="35"/>
      <c r="AF184" s="35"/>
      <c r="AG184" s="35"/>
      <c r="AH184" s="35"/>
      <c r="AI184" s="45">
        <f t="shared" si="32"/>
        <v>0</v>
      </c>
      <c r="AJ184" s="45"/>
      <c r="AK184" s="35"/>
      <c r="AL184" s="35"/>
      <c r="AM184" s="35"/>
      <c r="AN184" s="35"/>
      <c r="AO184" s="35"/>
      <c r="AP184" s="35"/>
      <c r="AQ184" s="35"/>
      <c r="AR184" s="35"/>
      <c r="AS184" s="45">
        <f t="shared" si="33"/>
        <v>0</v>
      </c>
      <c r="AT184" s="45"/>
      <c r="AU184" s="35">
        <v>0</v>
      </c>
      <c r="AV184" s="35"/>
      <c r="AW184" s="35">
        <v>0</v>
      </c>
      <c r="AX184" s="35"/>
      <c r="AY184" s="35">
        <f t="shared" si="37"/>
        <v>0</v>
      </c>
      <c r="AZ184" s="35"/>
      <c r="BA184" s="35" t="s">
        <v>219</v>
      </c>
      <c r="BB184" s="55"/>
      <c r="BC184" s="35" t="s">
        <v>199</v>
      </c>
      <c r="BD184" s="35"/>
      <c r="BE184" s="35"/>
      <c r="BF184" s="35"/>
      <c r="BG184" s="35"/>
      <c r="BH184" s="35"/>
      <c r="BI184" s="35"/>
      <c r="BJ184" s="35"/>
      <c r="BK184" s="35"/>
      <c r="BL184" s="35"/>
      <c r="BM184" s="35">
        <f t="shared" si="31"/>
        <v>0</v>
      </c>
      <c r="BN184" s="54" t="s">
        <v>347</v>
      </c>
    </row>
    <row r="185" spans="1:68" ht="12.75" hidden="1" customHeight="1" x14ac:dyDescent="0.2">
      <c r="A185" s="35" t="s">
        <v>220</v>
      </c>
      <c r="C185" s="35" t="s">
        <v>66</v>
      </c>
      <c r="D185" s="35"/>
      <c r="E185" s="35">
        <f t="shared" si="34"/>
        <v>0</v>
      </c>
      <c r="F185" s="35"/>
      <c r="G185" s="35"/>
      <c r="H185" s="35"/>
      <c r="I185" s="35"/>
      <c r="J185" s="35"/>
      <c r="K185" s="35">
        <f t="shared" si="35"/>
        <v>0</v>
      </c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>
        <f t="shared" si="36"/>
        <v>0</v>
      </c>
      <c r="X185" s="35"/>
      <c r="Y185" s="35" t="s">
        <v>220</v>
      </c>
      <c r="Z185" s="55"/>
      <c r="AA185" s="35" t="s">
        <v>66</v>
      </c>
      <c r="AB185" s="35"/>
      <c r="AC185" s="35"/>
      <c r="AD185" s="35"/>
      <c r="AE185" s="35"/>
      <c r="AF185" s="35"/>
      <c r="AG185" s="35"/>
      <c r="AH185" s="35"/>
      <c r="AI185" s="45">
        <f t="shared" si="32"/>
        <v>0</v>
      </c>
      <c r="AJ185" s="45"/>
      <c r="AK185" s="35"/>
      <c r="AL185" s="35"/>
      <c r="AM185" s="35"/>
      <c r="AN185" s="35"/>
      <c r="AO185" s="35"/>
      <c r="AP185" s="35"/>
      <c r="AQ185" s="35"/>
      <c r="AR185" s="35"/>
      <c r="AS185" s="45">
        <f t="shared" si="33"/>
        <v>0</v>
      </c>
      <c r="AT185" s="45"/>
      <c r="AU185" s="35">
        <v>0</v>
      </c>
      <c r="AV185" s="35"/>
      <c r="AW185" s="35">
        <v>0</v>
      </c>
      <c r="AX185" s="35"/>
      <c r="AY185" s="35">
        <f t="shared" si="37"/>
        <v>0</v>
      </c>
      <c r="AZ185" s="35"/>
      <c r="BA185" s="35" t="s">
        <v>220</v>
      </c>
      <c r="BB185" s="55"/>
      <c r="BC185" s="35" t="s">
        <v>66</v>
      </c>
      <c r="BD185" s="35"/>
      <c r="BE185" s="35"/>
      <c r="BF185" s="35"/>
      <c r="BG185" s="35"/>
      <c r="BH185" s="35"/>
      <c r="BI185" s="35"/>
      <c r="BJ185" s="35"/>
      <c r="BK185" s="35"/>
      <c r="BL185" s="35"/>
      <c r="BM185" s="35">
        <f t="shared" si="31"/>
        <v>0</v>
      </c>
      <c r="BN185" s="89" t="s">
        <v>347</v>
      </c>
    </row>
    <row r="186" spans="1:68" ht="12.75" hidden="1" customHeight="1" x14ac:dyDescent="0.2">
      <c r="A186" s="35" t="s">
        <v>221</v>
      </c>
      <c r="C186" s="35" t="s">
        <v>27</v>
      </c>
      <c r="D186" s="35"/>
      <c r="E186" s="35">
        <f t="shared" si="34"/>
        <v>0</v>
      </c>
      <c r="F186" s="35"/>
      <c r="G186" s="35"/>
      <c r="H186" s="35"/>
      <c r="I186" s="35"/>
      <c r="J186" s="35"/>
      <c r="K186" s="35">
        <f t="shared" si="35"/>
        <v>0</v>
      </c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>
        <f t="shared" si="36"/>
        <v>0</v>
      </c>
      <c r="X186" s="35"/>
      <c r="Y186" s="35" t="s">
        <v>221</v>
      </c>
      <c r="Z186" s="55"/>
      <c r="AA186" s="35" t="s">
        <v>27</v>
      </c>
      <c r="AB186" s="35"/>
      <c r="AC186" s="35"/>
      <c r="AD186" s="35"/>
      <c r="AE186" s="35"/>
      <c r="AF186" s="35"/>
      <c r="AG186" s="35"/>
      <c r="AH186" s="35"/>
      <c r="AI186" s="45">
        <f t="shared" si="32"/>
        <v>0</v>
      </c>
      <c r="AJ186" s="45"/>
      <c r="AK186" s="35"/>
      <c r="AL186" s="35"/>
      <c r="AM186" s="35"/>
      <c r="AN186" s="35"/>
      <c r="AO186" s="35"/>
      <c r="AP186" s="35"/>
      <c r="AQ186" s="35"/>
      <c r="AR186" s="35"/>
      <c r="AS186" s="45">
        <f t="shared" si="33"/>
        <v>0</v>
      </c>
      <c r="AT186" s="45"/>
      <c r="AU186" s="35">
        <v>0</v>
      </c>
      <c r="AV186" s="35"/>
      <c r="AW186" s="35">
        <v>0</v>
      </c>
      <c r="AX186" s="35"/>
      <c r="AY186" s="35">
        <f t="shared" si="37"/>
        <v>0</v>
      </c>
      <c r="AZ186" s="35"/>
      <c r="BA186" s="35" t="s">
        <v>221</v>
      </c>
      <c r="BB186" s="55"/>
      <c r="BC186" s="35" t="s">
        <v>27</v>
      </c>
      <c r="BD186" s="35"/>
      <c r="BE186" s="35"/>
      <c r="BF186" s="35"/>
      <c r="BG186" s="35"/>
      <c r="BH186" s="35"/>
      <c r="BI186" s="35"/>
      <c r="BJ186" s="35"/>
      <c r="BK186" s="35"/>
      <c r="BL186" s="35"/>
      <c r="BM186" s="35">
        <f t="shared" si="31"/>
        <v>0</v>
      </c>
      <c r="BN186" s="89" t="s">
        <v>347</v>
      </c>
    </row>
    <row r="187" spans="1:68" ht="12.75" hidden="1" customHeight="1" x14ac:dyDescent="0.2">
      <c r="A187" s="35" t="s">
        <v>222</v>
      </c>
      <c r="C187" s="35" t="s">
        <v>47</v>
      </c>
      <c r="D187" s="35"/>
      <c r="E187" s="35">
        <f t="shared" si="34"/>
        <v>0</v>
      </c>
      <c r="F187" s="35"/>
      <c r="G187" s="35"/>
      <c r="H187" s="35"/>
      <c r="I187" s="35"/>
      <c r="J187" s="35"/>
      <c r="K187" s="35">
        <f t="shared" si="35"/>
        <v>0</v>
      </c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>
        <f t="shared" si="36"/>
        <v>0</v>
      </c>
      <c r="X187" s="35"/>
      <c r="Y187" s="35" t="s">
        <v>222</v>
      </c>
      <c r="Z187" s="55"/>
      <c r="AA187" s="35" t="s">
        <v>47</v>
      </c>
      <c r="AB187" s="35"/>
      <c r="AC187" s="35"/>
      <c r="AD187" s="35"/>
      <c r="AE187" s="35"/>
      <c r="AF187" s="35"/>
      <c r="AG187" s="35"/>
      <c r="AH187" s="35"/>
      <c r="AI187" s="45">
        <f t="shared" si="32"/>
        <v>0</v>
      </c>
      <c r="AJ187" s="45"/>
      <c r="AK187" s="35"/>
      <c r="AL187" s="35"/>
      <c r="AM187" s="35"/>
      <c r="AN187" s="35"/>
      <c r="AO187" s="35"/>
      <c r="AP187" s="35"/>
      <c r="AQ187" s="35"/>
      <c r="AR187" s="35"/>
      <c r="AS187" s="45">
        <f t="shared" si="33"/>
        <v>0</v>
      </c>
      <c r="AT187" s="45"/>
      <c r="AU187" s="35">
        <v>0</v>
      </c>
      <c r="AV187" s="35"/>
      <c r="AW187" s="35">
        <v>0</v>
      </c>
      <c r="AX187" s="35"/>
      <c r="AY187" s="35">
        <f t="shared" si="37"/>
        <v>0</v>
      </c>
      <c r="AZ187" s="35"/>
      <c r="BA187" s="35" t="s">
        <v>222</v>
      </c>
      <c r="BB187" s="55"/>
      <c r="BC187" s="35" t="s">
        <v>47</v>
      </c>
      <c r="BD187" s="35"/>
      <c r="BE187" s="35"/>
      <c r="BF187" s="35"/>
      <c r="BG187" s="35"/>
      <c r="BH187" s="35"/>
      <c r="BI187" s="35"/>
      <c r="BJ187" s="35"/>
      <c r="BK187" s="35"/>
      <c r="BL187" s="35"/>
      <c r="BM187" s="35">
        <f t="shared" si="31"/>
        <v>0</v>
      </c>
      <c r="BN187" s="89" t="s">
        <v>347</v>
      </c>
    </row>
    <row r="188" spans="1:68" ht="12.75" hidden="1" customHeight="1" x14ac:dyDescent="0.2">
      <c r="A188" s="35" t="s">
        <v>223</v>
      </c>
      <c r="C188" s="35" t="s">
        <v>94</v>
      </c>
      <c r="D188" s="35"/>
      <c r="E188" s="35">
        <f t="shared" si="34"/>
        <v>0</v>
      </c>
      <c r="F188" s="35"/>
      <c r="G188" s="35"/>
      <c r="H188" s="35"/>
      <c r="I188" s="35"/>
      <c r="J188" s="35"/>
      <c r="K188" s="35">
        <f t="shared" si="35"/>
        <v>0</v>
      </c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>
        <f t="shared" si="36"/>
        <v>0</v>
      </c>
      <c r="X188" s="35"/>
      <c r="Y188" s="35" t="s">
        <v>223</v>
      </c>
      <c r="Z188" s="55"/>
      <c r="AA188" s="35" t="s">
        <v>94</v>
      </c>
      <c r="AB188" s="35"/>
      <c r="AC188" s="35"/>
      <c r="AD188" s="35"/>
      <c r="AE188" s="35"/>
      <c r="AF188" s="35"/>
      <c r="AG188" s="35"/>
      <c r="AH188" s="35"/>
      <c r="AI188" s="45">
        <f t="shared" si="32"/>
        <v>0</v>
      </c>
      <c r="AJ188" s="45"/>
      <c r="AK188" s="35"/>
      <c r="AL188" s="35"/>
      <c r="AM188" s="35"/>
      <c r="AN188" s="35"/>
      <c r="AO188" s="35"/>
      <c r="AP188" s="35"/>
      <c r="AQ188" s="35"/>
      <c r="AR188" s="35"/>
      <c r="AS188" s="45">
        <f t="shared" si="33"/>
        <v>0</v>
      </c>
      <c r="AT188" s="45"/>
      <c r="AU188" s="35">
        <v>0</v>
      </c>
      <c r="AV188" s="35"/>
      <c r="AW188" s="35">
        <v>0</v>
      </c>
      <c r="AX188" s="35"/>
      <c r="AY188" s="35">
        <f t="shared" si="37"/>
        <v>0</v>
      </c>
      <c r="AZ188" s="35"/>
      <c r="BA188" s="35" t="s">
        <v>223</v>
      </c>
      <c r="BB188" s="55"/>
      <c r="BC188" s="35" t="s">
        <v>94</v>
      </c>
      <c r="BD188" s="35"/>
      <c r="BE188" s="35"/>
      <c r="BF188" s="35"/>
      <c r="BG188" s="35"/>
      <c r="BH188" s="35"/>
      <c r="BI188" s="35"/>
      <c r="BJ188" s="35"/>
      <c r="BK188" s="35"/>
      <c r="BL188" s="35"/>
      <c r="BM188" s="35">
        <f t="shared" si="31"/>
        <v>0</v>
      </c>
      <c r="BN188" s="89" t="s">
        <v>347</v>
      </c>
    </row>
    <row r="189" spans="1:68" ht="12.75" hidden="1" customHeight="1" x14ac:dyDescent="0.2">
      <c r="A189" s="35" t="s">
        <v>76</v>
      </c>
      <c r="C189" s="35" t="s">
        <v>132</v>
      </c>
      <c r="D189" s="35"/>
      <c r="E189" s="35">
        <f t="shared" si="34"/>
        <v>0</v>
      </c>
      <c r="F189" s="35"/>
      <c r="G189" s="35"/>
      <c r="H189" s="35"/>
      <c r="I189" s="35"/>
      <c r="J189" s="35"/>
      <c r="K189" s="35">
        <f t="shared" si="35"/>
        <v>0</v>
      </c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>
        <f t="shared" si="36"/>
        <v>0</v>
      </c>
      <c r="X189" s="35"/>
      <c r="Y189" s="35" t="s">
        <v>76</v>
      </c>
      <c r="Z189" s="55"/>
      <c r="AA189" s="35" t="s">
        <v>132</v>
      </c>
      <c r="AB189" s="35"/>
      <c r="AC189" s="35"/>
      <c r="AD189" s="35"/>
      <c r="AE189" s="35"/>
      <c r="AF189" s="35"/>
      <c r="AG189" s="35"/>
      <c r="AH189" s="35"/>
      <c r="AI189" s="45">
        <f t="shared" si="32"/>
        <v>0</v>
      </c>
      <c r="AJ189" s="45"/>
      <c r="AK189" s="35"/>
      <c r="AL189" s="35"/>
      <c r="AM189" s="35"/>
      <c r="AN189" s="35"/>
      <c r="AO189" s="35"/>
      <c r="AP189" s="35"/>
      <c r="AQ189" s="35"/>
      <c r="AR189" s="35"/>
      <c r="AS189" s="45">
        <f t="shared" si="33"/>
        <v>0</v>
      </c>
      <c r="AT189" s="45"/>
      <c r="AU189" s="35">
        <v>0</v>
      </c>
      <c r="AV189" s="35"/>
      <c r="AW189" s="35">
        <v>0</v>
      </c>
      <c r="AX189" s="35"/>
      <c r="AY189" s="35">
        <f t="shared" si="37"/>
        <v>0</v>
      </c>
      <c r="AZ189" s="35"/>
      <c r="BA189" s="35" t="s">
        <v>76</v>
      </c>
      <c r="BB189" s="55"/>
      <c r="BC189" s="35" t="s">
        <v>132</v>
      </c>
      <c r="BD189" s="35"/>
      <c r="BE189" s="35"/>
      <c r="BF189" s="35"/>
      <c r="BG189" s="35"/>
      <c r="BH189" s="35"/>
      <c r="BI189" s="35"/>
      <c r="BJ189" s="35"/>
      <c r="BK189" s="35"/>
      <c r="BL189" s="35"/>
      <c r="BM189" s="35">
        <f t="shared" si="31"/>
        <v>0</v>
      </c>
      <c r="BN189" s="54" t="s">
        <v>347</v>
      </c>
    </row>
    <row r="190" spans="1:68" ht="12.75" hidden="1" customHeight="1" x14ac:dyDescent="0.2">
      <c r="A190" s="35" t="s">
        <v>224</v>
      </c>
      <c r="C190" s="35" t="s">
        <v>27</v>
      </c>
      <c r="D190" s="35"/>
      <c r="E190" s="35">
        <f t="shared" si="34"/>
        <v>0</v>
      </c>
      <c r="F190" s="35"/>
      <c r="G190" s="35"/>
      <c r="H190" s="35"/>
      <c r="I190" s="35"/>
      <c r="J190" s="35"/>
      <c r="K190" s="35">
        <f t="shared" si="35"/>
        <v>0</v>
      </c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>
        <f t="shared" si="36"/>
        <v>0</v>
      </c>
      <c r="X190" s="35"/>
      <c r="Y190" s="35" t="s">
        <v>224</v>
      </c>
      <c r="Z190" s="55"/>
      <c r="AA190" s="35" t="s">
        <v>27</v>
      </c>
      <c r="AB190" s="35"/>
      <c r="AC190" s="35"/>
      <c r="AD190" s="35"/>
      <c r="AE190" s="35"/>
      <c r="AF190" s="35"/>
      <c r="AG190" s="35"/>
      <c r="AH190" s="35"/>
      <c r="AI190" s="45">
        <f t="shared" si="32"/>
        <v>0</v>
      </c>
      <c r="AJ190" s="45"/>
      <c r="AK190" s="35"/>
      <c r="AL190" s="35"/>
      <c r="AM190" s="35"/>
      <c r="AN190" s="35"/>
      <c r="AO190" s="35"/>
      <c r="AP190" s="35"/>
      <c r="AQ190" s="35"/>
      <c r="AR190" s="35"/>
      <c r="AS190" s="45">
        <f t="shared" si="33"/>
        <v>0</v>
      </c>
      <c r="AT190" s="45"/>
      <c r="AU190" s="35">
        <v>0</v>
      </c>
      <c r="AV190" s="35"/>
      <c r="AW190" s="35">
        <v>0</v>
      </c>
      <c r="AX190" s="35"/>
      <c r="AY190" s="35">
        <f t="shared" si="37"/>
        <v>0</v>
      </c>
      <c r="AZ190" s="35"/>
      <c r="BA190" s="35" t="s">
        <v>224</v>
      </c>
      <c r="BB190" s="55"/>
      <c r="BC190" s="35" t="s">
        <v>27</v>
      </c>
      <c r="BD190" s="35"/>
      <c r="BE190" s="35"/>
      <c r="BF190" s="35"/>
      <c r="BG190" s="35"/>
      <c r="BH190" s="35"/>
      <c r="BI190" s="35"/>
      <c r="BJ190" s="35"/>
      <c r="BK190" s="35"/>
      <c r="BL190" s="35"/>
      <c r="BM190" s="35">
        <f t="shared" si="31"/>
        <v>0</v>
      </c>
      <c r="BN190" s="54" t="s">
        <v>347</v>
      </c>
      <c r="BO190" s="35"/>
      <c r="BP190" s="35"/>
    </row>
    <row r="191" spans="1:68" ht="12.75" hidden="1" customHeight="1" x14ac:dyDescent="0.2">
      <c r="A191" s="35" t="s">
        <v>225</v>
      </c>
      <c r="C191" s="35" t="s">
        <v>27</v>
      </c>
      <c r="D191" s="35"/>
      <c r="E191" s="35">
        <f t="shared" si="34"/>
        <v>0</v>
      </c>
      <c r="F191" s="35"/>
      <c r="G191" s="35"/>
      <c r="H191" s="35"/>
      <c r="I191" s="35"/>
      <c r="J191" s="35"/>
      <c r="K191" s="35">
        <f t="shared" si="35"/>
        <v>0</v>
      </c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>
        <f t="shared" si="36"/>
        <v>0</v>
      </c>
      <c r="X191" s="35"/>
      <c r="Y191" s="35" t="s">
        <v>225</v>
      </c>
      <c r="Z191" s="55"/>
      <c r="AA191" s="35" t="s">
        <v>27</v>
      </c>
      <c r="AB191" s="35"/>
      <c r="AC191" s="35"/>
      <c r="AD191" s="35"/>
      <c r="AE191" s="35"/>
      <c r="AF191" s="35"/>
      <c r="AG191" s="35"/>
      <c r="AH191" s="35"/>
      <c r="AI191" s="45">
        <f t="shared" si="32"/>
        <v>0</v>
      </c>
      <c r="AJ191" s="45"/>
      <c r="AK191" s="35"/>
      <c r="AL191" s="35"/>
      <c r="AM191" s="35"/>
      <c r="AN191" s="35"/>
      <c r="AO191" s="35"/>
      <c r="AP191" s="35"/>
      <c r="AQ191" s="35"/>
      <c r="AR191" s="35"/>
      <c r="AS191" s="45">
        <f t="shared" si="33"/>
        <v>0</v>
      </c>
      <c r="AT191" s="45"/>
      <c r="AU191" s="35">
        <v>0</v>
      </c>
      <c r="AV191" s="35"/>
      <c r="AW191" s="35">
        <v>0</v>
      </c>
      <c r="AX191" s="35"/>
      <c r="AY191" s="35">
        <f t="shared" si="37"/>
        <v>0</v>
      </c>
      <c r="AZ191" s="35"/>
      <c r="BA191" s="35" t="s">
        <v>225</v>
      </c>
      <c r="BB191" s="55"/>
      <c r="BC191" s="35" t="s">
        <v>27</v>
      </c>
      <c r="BD191" s="35"/>
      <c r="BE191" s="35"/>
      <c r="BF191" s="35"/>
      <c r="BG191" s="35"/>
      <c r="BH191" s="35"/>
      <c r="BI191" s="35"/>
      <c r="BJ191" s="35"/>
      <c r="BK191" s="35"/>
      <c r="BL191" s="35"/>
      <c r="BM191" s="35">
        <f t="shared" si="31"/>
        <v>0</v>
      </c>
      <c r="BN191" s="54" t="s">
        <v>347</v>
      </c>
    </row>
    <row r="192" spans="1:68" ht="12.75" hidden="1" customHeight="1" x14ac:dyDescent="0.2">
      <c r="A192" s="35" t="s">
        <v>226</v>
      </c>
      <c r="C192" s="35" t="s">
        <v>45</v>
      </c>
      <c r="D192" s="35"/>
      <c r="E192" s="35">
        <f t="shared" si="34"/>
        <v>0</v>
      </c>
      <c r="F192" s="35"/>
      <c r="G192" s="35"/>
      <c r="H192" s="35"/>
      <c r="I192" s="35"/>
      <c r="J192" s="35"/>
      <c r="K192" s="35">
        <f t="shared" si="35"/>
        <v>0</v>
      </c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>
        <f t="shared" si="36"/>
        <v>0</v>
      </c>
      <c r="X192" s="35"/>
      <c r="Y192" s="35" t="s">
        <v>226</v>
      </c>
      <c r="Z192" s="55"/>
      <c r="AA192" s="35" t="s">
        <v>45</v>
      </c>
      <c r="AB192" s="35"/>
      <c r="AC192" s="35"/>
      <c r="AD192" s="35"/>
      <c r="AE192" s="35"/>
      <c r="AF192" s="35"/>
      <c r="AG192" s="35"/>
      <c r="AH192" s="35"/>
      <c r="AI192" s="45">
        <f t="shared" si="32"/>
        <v>0</v>
      </c>
      <c r="AJ192" s="45"/>
      <c r="AK192" s="35"/>
      <c r="AL192" s="35"/>
      <c r="AM192" s="35"/>
      <c r="AN192" s="35"/>
      <c r="AO192" s="35"/>
      <c r="AP192" s="35"/>
      <c r="AQ192" s="35"/>
      <c r="AR192" s="35"/>
      <c r="AS192" s="45">
        <f t="shared" si="33"/>
        <v>0</v>
      </c>
      <c r="AT192" s="45"/>
      <c r="AU192" s="35">
        <v>0</v>
      </c>
      <c r="AV192" s="35"/>
      <c r="AW192" s="35">
        <v>0</v>
      </c>
      <c r="AX192" s="35"/>
      <c r="AY192" s="35">
        <f t="shared" si="37"/>
        <v>0</v>
      </c>
      <c r="AZ192" s="35"/>
      <c r="BA192" s="35" t="s">
        <v>226</v>
      </c>
      <c r="BB192" s="55"/>
      <c r="BC192" s="35" t="s">
        <v>45</v>
      </c>
      <c r="BD192" s="35"/>
      <c r="BE192" s="35"/>
      <c r="BF192" s="35"/>
      <c r="BG192" s="35"/>
      <c r="BH192" s="35"/>
      <c r="BI192" s="35"/>
      <c r="BJ192" s="35"/>
      <c r="BK192" s="35"/>
      <c r="BL192" s="35"/>
      <c r="BM192" s="35">
        <f t="shared" si="31"/>
        <v>0</v>
      </c>
      <c r="BN192" s="54" t="s">
        <v>347</v>
      </c>
    </row>
    <row r="193" spans="1:74" ht="12.75" hidden="1" customHeight="1" x14ac:dyDescent="0.2">
      <c r="A193" s="35" t="s">
        <v>227</v>
      </c>
      <c r="C193" s="35" t="s">
        <v>17</v>
      </c>
      <c r="D193" s="35"/>
      <c r="E193" s="35">
        <f t="shared" si="34"/>
        <v>0</v>
      </c>
      <c r="F193" s="35"/>
      <c r="G193" s="35"/>
      <c r="H193" s="35"/>
      <c r="I193" s="35"/>
      <c r="J193" s="35"/>
      <c r="K193" s="35">
        <f t="shared" si="35"/>
        <v>0</v>
      </c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>
        <f t="shared" si="36"/>
        <v>0</v>
      </c>
      <c r="X193" s="35"/>
      <c r="Y193" s="35" t="s">
        <v>227</v>
      </c>
      <c r="Z193" s="55"/>
      <c r="AA193" s="35" t="s">
        <v>17</v>
      </c>
      <c r="AB193" s="35"/>
      <c r="AC193" s="35"/>
      <c r="AD193" s="35"/>
      <c r="AE193" s="35"/>
      <c r="AF193" s="35"/>
      <c r="AG193" s="35"/>
      <c r="AH193" s="35"/>
      <c r="AI193" s="45">
        <f t="shared" si="32"/>
        <v>0</v>
      </c>
      <c r="AJ193" s="45"/>
      <c r="AK193" s="35"/>
      <c r="AL193" s="35"/>
      <c r="AM193" s="35"/>
      <c r="AN193" s="35"/>
      <c r="AO193" s="35"/>
      <c r="AP193" s="35"/>
      <c r="AQ193" s="35"/>
      <c r="AR193" s="35"/>
      <c r="AS193" s="45">
        <f t="shared" si="33"/>
        <v>0</v>
      </c>
      <c r="AT193" s="45"/>
      <c r="AU193" s="35">
        <v>0</v>
      </c>
      <c r="AV193" s="35"/>
      <c r="AW193" s="35">
        <v>0</v>
      </c>
      <c r="AX193" s="35"/>
      <c r="AY193" s="35">
        <f t="shared" si="37"/>
        <v>0</v>
      </c>
      <c r="AZ193" s="35"/>
      <c r="BA193" s="35" t="s">
        <v>227</v>
      </c>
      <c r="BB193" s="55"/>
      <c r="BC193" s="35" t="s">
        <v>17</v>
      </c>
      <c r="BD193" s="35"/>
      <c r="BE193" s="35"/>
      <c r="BF193" s="35"/>
      <c r="BG193" s="35"/>
      <c r="BH193" s="35"/>
      <c r="BI193" s="35"/>
      <c r="BJ193" s="35"/>
      <c r="BK193" s="35"/>
      <c r="BL193" s="35"/>
      <c r="BM193" s="35">
        <v>0</v>
      </c>
      <c r="BN193" s="54" t="s">
        <v>347</v>
      </c>
    </row>
    <row r="194" spans="1:74" ht="12.75" customHeight="1" x14ac:dyDescent="0.2">
      <c r="A194" s="35" t="s">
        <v>228</v>
      </c>
      <c r="C194" s="35" t="s">
        <v>153</v>
      </c>
      <c r="D194" s="35"/>
      <c r="E194" s="35">
        <f t="shared" si="34"/>
        <v>6183838</v>
      </c>
      <c r="F194" s="35"/>
      <c r="G194" s="35">
        <v>11022424</v>
      </c>
      <c r="H194" s="35"/>
      <c r="I194" s="35">
        <v>17206262</v>
      </c>
      <c r="J194" s="35"/>
      <c r="K194" s="35">
        <f t="shared" si="35"/>
        <v>1301418</v>
      </c>
      <c r="L194" s="35"/>
      <c r="M194" s="35">
        <v>1923517</v>
      </c>
      <c r="N194" s="35"/>
      <c r="O194" s="35">
        <v>3224935</v>
      </c>
      <c r="P194" s="35"/>
      <c r="Q194" s="35">
        <v>8220160</v>
      </c>
      <c r="R194" s="35"/>
      <c r="S194" s="35">
        <v>0</v>
      </c>
      <c r="T194" s="35"/>
      <c r="U194" s="35">
        <v>5761167</v>
      </c>
      <c r="V194" s="35"/>
      <c r="W194" s="35">
        <f t="shared" si="36"/>
        <v>13981327</v>
      </c>
      <c r="X194" s="35"/>
      <c r="Y194" s="35" t="s">
        <v>228</v>
      </c>
      <c r="Z194" s="55"/>
      <c r="AA194" s="35" t="s">
        <v>153</v>
      </c>
      <c r="AB194" s="35"/>
      <c r="AC194" s="35">
        <v>9834773</v>
      </c>
      <c r="AD194" s="35"/>
      <c r="AE194" s="35">
        <f>9557207-601084</f>
        <v>8956123</v>
      </c>
      <c r="AF194" s="35"/>
      <c r="AG194" s="35">
        <v>601084</v>
      </c>
      <c r="AH194" s="35"/>
      <c r="AI194" s="45">
        <f t="shared" si="32"/>
        <v>277566</v>
      </c>
      <c r="AJ194" s="45"/>
      <c r="AK194" s="35">
        <v>-42731</v>
      </c>
      <c r="AL194" s="35"/>
      <c r="AM194" s="35">
        <v>0</v>
      </c>
      <c r="AN194" s="35"/>
      <c r="AO194" s="35">
        <v>0</v>
      </c>
      <c r="AP194" s="35"/>
      <c r="AQ194" s="35">
        <v>0</v>
      </c>
      <c r="AR194" s="35"/>
      <c r="AS194" s="45">
        <f t="shared" si="33"/>
        <v>234835</v>
      </c>
      <c r="AT194" s="45"/>
      <c r="AU194" s="35">
        <v>0</v>
      </c>
      <c r="AV194" s="35"/>
      <c r="AW194" s="35">
        <v>0</v>
      </c>
      <c r="AX194" s="35"/>
      <c r="AY194" s="35">
        <f t="shared" si="37"/>
        <v>4882420</v>
      </c>
      <c r="AZ194" s="35"/>
      <c r="BA194" s="35" t="s">
        <v>228</v>
      </c>
      <c r="BB194" s="55"/>
      <c r="BC194" s="35" t="s">
        <v>153</v>
      </c>
      <c r="BD194" s="35"/>
      <c r="BE194" s="35">
        <f>1800000+450000</f>
        <v>2250000</v>
      </c>
      <c r="BF194" s="35"/>
      <c r="BG194" s="35">
        <v>0</v>
      </c>
      <c r="BH194" s="35"/>
      <c r="BI194" s="35">
        <v>0</v>
      </c>
      <c r="BJ194" s="35"/>
      <c r="BK194" s="35">
        <f>123517+54683</f>
        <v>178200</v>
      </c>
      <c r="BL194" s="35"/>
      <c r="BM194" s="35">
        <f t="shared" ref="BM194:BM212" si="38">SUM(BE194:BK194)</f>
        <v>2428200</v>
      </c>
      <c r="BN194" s="54" t="s">
        <v>347</v>
      </c>
    </row>
    <row r="195" spans="1:74" ht="12.75" hidden="1" customHeight="1" x14ac:dyDescent="0.2">
      <c r="A195" s="35" t="s">
        <v>229</v>
      </c>
      <c r="C195" s="35" t="s">
        <v>228</v>
      </c>
      <c r="D195" s="35"/>
      <c r="E195" s="35">
        <f t="shared" si="34"/>
        <v>0</v>
      </c>
      <c r="F195" s="35"/>
      <c r="G195" s="35"/>
      <c r="H195" s="35"/>
      <c r="I195" s="35"/>
      <c r="J195" s="35"/>
      <c r="K195" s="35">
        <f t="shared" si="35"/>
        <v>0</v>
      </c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>
        <f t="shared" si="36"/>
        <v>0</v>
      </c>
      <c r="X195" s="35"/>
      <c r="Y195" s="35" t="s">
        <v>229</v>
      </c>
      <c r="Z195" s="55"/>
      <c r="AA195" s="35" t="s">
        <v>228</v>
      </c>
      <c r="AB195" s="35"/>
      <c r="AC195" s="35"/>
      <c r="AD195" s="35"/>
      <c r="AE195" s="35"/>
      <c r="AF195" s="35"/>
      <c r="AG195" s="35"/>
      <c r="AH195" s="35"/>
      <c r="AI195" s="45">
        <f t="shared" si="32"/>
        <v>0</v>
      </c>
      <c r="AJ195" s="45"/>
      <c r="AK195" s="35"/>
      <c r="AL195" s="35"/>
      <c r="AM195" s="35"/>
      <c r="AN195" s="35"/>
      <c r="AO195" s="35"/>
      <c r="AP195" s="35"/>
      <c r="AQ195" s="35"/>
      <c r="AR195" s="35"/>
      <c r="AS195" s="45">
        <f t="shared" si="33"/>
        <v>0</v>
      </c>
      <c r="AT195" s="45"/>
      <c r="AU195" s="35">
        <v>0</v>
      </c>
      <c r="AV195" s="35"/>
      <c r="AW195" s="35">
        <v>0</v>
      </c>
      <c r="AX195" s="35"/>
      <c r="AY195" s="35">
        <f t="shared" si="37"/>
        <v>0</v>
      </c>
      <c r="AZ195" s="35"/>
      <c r="BA195" s="35" t="s">
        <v>229</v>
      </c>
      <c r="BB195" s="55"/>
      <c r="BC195" s="35" t="s">
        <v>228</v>
      </c>
      <c r="BD195" s="35"/>
      <c r="BE195" s="35"/>
      <c r="BF195" s="35"/>
      <c r="BG195" s="35"/>
      <c r="BH195" s="35"/>
      <c r="BI195" s="35"/>
      <c r="BJ195" s="35"/>
      <c r="BK195" s="35"/>
      <c r="BL195" s="35"/>
      <c r="BM195" s="35">
        <f t="shared" si="38"/>
        <v>0</v>
      </c>
      <c r="BN195" s="54" t="s">
        <v>347</v>
      </c>
    </row>
    <row r="196" spans="1:74" s="140" customFormat="1" ht="12.75" hidden="1" customHeight="1" x14ac:dyDescent="0.2">
      <c r="A196" s="126" t="s">
        <v>230</v>
      </c>
      <c r="B196" s="124"/>
      <c r="C196" s="126" t="s">
        <v>45</v>
      </c>
      <c r="D196" s="126"/>
      <c r="E196" s="126">
        <f t="shared" si="34"/>
        <v>0</v>
      </c>
      <c r="F196" s="126"/>
      <c r="G196" s="126"/>
      <c r="H196" s="126"/>
      <c r="I196" s="126"/>
      <c r="J196" s="126"/>
      <c r="K196" s="126">
        <f t="shared" si="35"/>
        <v>0</v>
      </c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>
        <f t="shared" si="36"/>
        <v>0</v>
      </c>
      <c r="X196" s="126"/>
      <c r="Y196" s="126" t="s">
        <v>230</v>
      </c>
      <c r="AA196" s="126" t="s">
        <v>45</v>
      </c>
      <c r="AB196" s="126"/>
      <c r="AC196" s="126"/>
      <c r="AD196" s="126"/>
      <c r="AE196" s="126"/>
      <c r="AF196" s="126"/>
      <c r="AG196" s="126"/>
      <c r="AH196" s="126"/>
      <c r="AI196" s="127">
        <f t="shared" si="32"/>
        <v>0</v>
      </c>
      <c r="AJ196" s="127"/>
      <c r="AK196" s="126"/>
      <c r="AL196" s="126"/>
      <c r="AM196" s="126"/>
      <c r="AN196" s="126"/>
      <c r="AO196" s="126"/>
      <c r="AP196" s="126"/>
      <c r="AQ196" s="126"/>
      <c r="AR196" s="126"/>
      <c r="AS196" s="127">
        <f t="shared" si="33"/>
        <v>0</v>
      </c>
      <c r="AT196" s="127"/>
      <c r="AU196" s="126">
        <v>0</v>
      </c>
      <c r="AV196" s="126"/>
      <c r="AW196" s="126">
        <v>0</v>
      </c>
      <c r="AX196" s="126"/>
      <c r="AY196" s="126">
        <f t="shared" si="37"/>
        <v>0</v>
      </c>
      <c r="AZ196" s="126"/>
      <c r="BA196" s="126" t="s">
        <v>230</v>
      </c>
      <c r="BC196" s="126" t="s">
        <v>45</v>
      </c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>
        <f t="shared" si="38"/>
        <v>0</v>
      </c>
      <c r="BN196" s="139" t="s">
        <v>347</v>
      </c>
      <c r="BS196" s="44" t="s">
        <v>509</v>
      </c>
    </row>
    <row r="197" spans="1:74" ht="12.75" hidden="1" customHeight="1" x14ac:dyDescent="0.2">
      <c r="A197" s="35" t="s">
        <v>231</v>
      </c>
      <c r="C197" s="35" t="s">
        <v>27</v>
      </c>
      <c r="D197" s="35"/>
      <c r="E197" s="35">
        <f t="shared" si="34"/>
        <v>0</v>
      </c>
      <c r="F197" s="35"/>
      <c r="G197" s="35"/>
      <c r="H197" s="35"/>
      <c r="I197" s="35"/>
      <c r="J197" s="35"/>
      <c r="K197" s="35">
        <f t="shared" si="35"/>
        <v>0</v>
      </c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>
        <f t="shared" si="36"/>
        <v>0</v>
      </c>
      <c r="X197" s="35"/>
      <c r="Y197" s="35" t="s">
        <v>231</v>
      </c>
      <c r="Z197" s="55"/>
      <c r="AA197" s="35" t="s">
        <v>27</v>
      </c>
      <c r="AB197" s="35"/>
      <c r="AC197" s="35"/>
      <c r="AD197" s="35"/>
      <c r="AE197" s="35"/>
      <c r="AF197" s="35"/>
      <c r="AG197" s="35"/>
      <c r="AH197" s="35"/>
      <c r="AI197" s="45">
        <f t="shared" si="32"/>
        <v>0</v>
      </c>
      <c r="AJ197" s="45"/>
      <c r="AK197" s="35"/>
      <c r="AL197" s="35"/>
      <c r="AM197" s="35"/>
      <c r="AN197" s="35"/>
      <c r="AO197" s="35"/>
      <c r="AP197" s="35"/>
      <c r="AQ197" s="35"/>
      <c r="AR197" s="35"/>
      <c r="AS197" s="45">
        <f t="shared" si="33"/>
        <v>0</v>
      </c>
      <c r="AT197" s="45"/>
      <c r="AU197" s="35">
        <v>0</v>
      </c>
      <c r="AV197" s="35"/>
      <c r="AW197" s="35">
        <v>0</v>
      </c>
      <c r="AX197" s="35"/>
      <c r="AY197" s="35">
        <f t="shared" si="37"/>
        <v>0</v>
      </c>
      <c r="AZ197" s="35"/>
      <c r="BA197" s="35" t="s">
        <v>231</v>
      </c>
      <c r="BB197" s="55"/>
      <c r="BC197" s="35" t="s">
        <v>27</v>
      </c>
      <c r="BD197" s="35"/>
      <c r="BE197" s="35"/>
      <c r="BF197" s="35"/>
      <c r="BG197" s="35"/>
      <c r="BH197" s="35"/>
      <c r="BI197" s="35"/>
      <c r="BJ197" s="35"/>
      <c r="BK197" s="35"/>
      <c r="BL197" s="35"/>
      <c r="BM197" s="35">
        <f t="shared" si="38"/>
        <v>0</v>
      </c>
      <c r="BN197" s="54" t="s">
        <v>347</v>
      </c>
    </row>
    <row r="198" spans="1:74" ht="12.75" hidden="1" customHeight="1" x14ac:dyDescent="0.2">
      <c r="A198" s="35" t="s">
        <v>232</v>
      </c>
      <c r="C198" s="35" t="s">
        <v>27</v>
      </c>
      <c r="D198" s="35"/>
      <c r="E198" s="35">
        <f t="shared" si="34"/>
        <v>0</v>
      </c>
      <c r="F198" s="35"/>
      <c r="G198" s="35"/>
      <c r="H198" s="35"/>
      <c r="I198" s="35"/>
      <c r="J198" s="35"/>
      <c r="K198" s="35">
        <f t="shared" si="35"/>
        <v>0</v>
      </c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>
        <f t="shared" si="36"/>
        <v>0</v>
      </c>
      <c r="X198" s="35"/>
      <c r="Y198" s="35" t="s">
        <v>232</v>
      </c>
      <c r="Z198" s="55"/>
      <c r="AA198" s="35" t="s">
        <v>27</v>
      </c>
      <c r="AB198" s="35"/>
      <c r="AC198" s="35"/>
      <c r="AD198" s="35"/>
      <c r="AE198" s="35"/>
      <c r="AF198" s="35"/>
      <c r="AG198" s="35"/>
      <c r="AH198" s="35"/>
      <c r="AI198" s="45">
        <f t="shared" si="32"/>
        <v>0</v>
      </c>
      <c r="AJ198" s="45"/>
      <c r="AK198" s="35"/>
      <c r="AL198" s="35"/>
      <c r="AM198" s="35"/>
      <c r="AN198" s="35"/>
      <c r="AO198" s="35"/>
      <c r="AP198" s="35"/>
      <c r="AQ198" s="35"/>
      <c r="AR198" s="35"/>
      <c r="AS198" s="45">
        <f t="shared" si="33"/>
        <v>0</v>
      </c>
      <c r="AT198" s="45"/>
      <c r="AU198" s="35">
        <v>0</v>
      </c>
      <c r="AV198" s="35"/>
      <c r="AW198" s="35">
        <v>0</v>
      </c>
      <c r="AX198" s="35"/>
      <c r="AY198" s="35">
        <f t="shared" si="37"/>
        <v>0</v>
      </c>
      <c r="AZ198" s="35"/>
      <c r="BA198" s="35" t="s">
        <v>232</v>
      </c>
      <c r="BB198" s="55"/>
      <c r="BC198" s="35" t="s">
        <v>27</v>
      </c>
      <c r="BD198" s="35"/>
      <c r="BE198" s="35"/>
      <c r="BF198" s="35"/>
      <c r="BG198" s="35"/>
      <c r="BH198" s="35"/>
      <c r="BI198" s="35"/>
      <c r="BJ198" s="35"/>
      <c r="BK198" s="35"/>
      <c r="BL198" s="35"/>
      <c r="BM198" s="35">
        <f t="shared" si="38"/>
        <v>0</v>
      </c>
      <c r="BN198" s="54" t="s">
        <v>347</v>
      </c>
      <c r="BO198" s="35"/>
      <c r="BP198" s="35"/>
      <c r="BQ198" s="35"/>
      <c r="BR198" s="35"/>
      <c r="BS198" s="35"/>
      <c r="BT198" s="35"/>
      <c r="BU198" s="35"/>
      <c r="BV198" s="35"/>
    </row>
    <row r="199" spans="1:74" ht="12.75" hidden="1" customHeight="1" x14ac:dyDescent="0.2">
      <c r="A199" s="35" t="s">
        <v>233</v>
      </c>
      <c r="C199" s="35" t="s">
        <v>111</v>
      </c>
      <c r="D199" s="35"/>
      <c r="E199" s="35">
        <f t="shared" si="34"/>
        <v>0</v>
      </c>
      <c r="F199" s="35"/>
      <c r="G199" s="35"/>
      <c r="H199" s="35"/>
      <c r="I199" s="35"/>
      <c r="J199" s="35"/>
      <c r="K199" s="35">
        <f t="shared" si="35"/>
        <v>0</v>
      </c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>
        <f t="shared" si="36"/>
        <v>0</v>
      </c>
      <c r="X199" s="35"/>
      <c r="Y199" s="35" t="s">
        <v>233</v>
      </c>
      <c r="Z199" s="55"/>
      <c r="AA199" s="35" t="s">
        <v>111</v>
      </c>
      <c r="AB199" s="35"/>
      <c r="AC199" s="35"/>
      <c r="AD199" s="35"/>
      <c r="AE199" s="35"/>
      <c r="AF199" s="35"/>
      <c r="AG199" s="35"/>
      <c r="AH199" s="35"/>
      <c r="AI199" s="45">
        <f t="shared" si="32"/>
        <v>0</v>
      </c>
      <c r="AJ199" s="45"/>
      <c r="AK199" s="35"/>
      <c r="AL199" s="35"/>
      <c r="AM199" s="35"/>
      <c r="AN199" s="35"/>
      <c r="AO199" s="35"/>
      <c r="AP199" s="35"/>
      <c r="AQ199" s="35"/>
      <c r="AR199" s="35"/>
      <c r="AS199" s="45">
        <f t="shared" si="33"/>
        <v>0</v>
      </c>
      <c r="AT199" s="45"/>
      <c r="AU199" s="35">
        <v>0</v>
      </c>
      <c r="AV199" s="35"/>
      <c r="AW199" s="35">
        <v>0</v>
      </c>
      <c r="AX199" s="35"/>
      <c r="AY199" s="35">
        <f t="shared" si="37"/>
        <v>0</v>
      </c>
      <c r="AZ199" s="35"/>
      <c r="BA199" s="35" t="s">
        <v>233</v>
      </c>
      <c r="BB199" s="55"/>
      <c r="BC199" s="35" t="s">
        <v>111</v>
      </c>
      <c r="BD199" s="35"/>
      <c r="BE199" s="35"/>
      <c r="BF199" s="35"/>
      <c r="BG199" s="35"/>
      <c r="BH199" s="35"/>
      <c r="BI199" s="35"/>
      <c r="BJ199" s="35"/>
      <c r="BK199" s="35"/>
      <c r="BL199" s="35"/>
      <c r="BM199" s="35">
        <f t="shared" si="38"/>
        <v>0</v>
      </c>
      <c r="BN199" s="54" t="s">
        <v>347</v>
      </c>
      <c r="BO199" s="35"/>
      <c r="BP199" s="35"/>
      <c r="BQ199" s="35"/>
      <c r="BR199" s="35"/>
      <c r="BS199" s="35"/>
      <c r="BT199" s="35"/>
      <c r="BU199" s="35"/>
      <c r="BV199" s="35"/>
    </row>
    <row r="200" spans="1:74" ht="12.75" hidden="1" customHeight="1" x14ac:dyDescent="0.2">
      <c r="A200" s="35" t="s">
        <v>234</v>
      </c>
      <c r="C200" s="35" t="s">
        <v>45</v>
      </c>
      <c r="D200" s="35"/>
      <c r="E200" s="35">
        <f t="shared" si="34"/>
        <v>0</v>
      </c>
      <c r="F200" s="35"/>
      <c r="G200" s="35"/>
      <c r="H200" s="35"/>
      <c r="I200" s="35"/>
      <c r="J200" s="35"/>
      <c r="K200" s="35">
        <f t="shared" si="35"/>
        <v>0</v>
      </c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>
        <f t="shared" si="36"/>
        <v>0</v>
      </c>
      <c r="X200" s="35"/>
      <c r="Y200" s="35" t="s">
        <v>234</v>
      </c>
      <c r="Z200" s="55"/>
      <c r="AA200" s="35" t="s">
        <v>45</v>
      </c>
      <c r="AB200" s="35"/>
      <c r="AC200" s="35"/>
      <c r="AD200" s="35"/>
      <c r="AE200" s="35"/>
      <c r="AF200" s="35"/>
      <c r="AG200" s="35"/>
      <c r="AH200" s="35"/>
      <c r="AI200" s="45">
        <f t="shared" si="32"/>
        <v>0</v>
      </c>
      <c r="AJ200" s="45"/>
      <c r="AK200" s="35"/>
      <c r="AL200" s="35"/>
      <c r="AM200" s="35"/>
      <c r="AN200" s="35"/>
      <c r="AO200" s="35"/>
      <c r="AP200" s="35"/>
      <c r="AQ200" s="35"/>
      <c r="AR200" s="35"/>
      <c r="AS200" s="45">
        <f t="shared" si="33"/>
        <v>0</v>
      </c>
      <c r="AT200" s="45"/>
      <c r="AU200" s="35">
        <v>0</v>
      </c>
      <c r="AV200" s="35"/>
      <c r="AW200" s="35">
        <v>0</v>
      </c>
      <c r="AX200" s="35"/>
      <c r="AY200" s="35">
        <f t="shared" si="37"/>
        <v>0</v>
      </c>
      <c r="AZ200" s="35"/>
      <c r="BA200" s="35" t="s">
        <v>234</v>
      </c>
      <c r="BB200" s="55"/>
      <c r="BC200" s="35" t="s">
        <v>45</v>
      </c>
      <c r="BD200" s="35"/>
      <c r="BE200" s="35"/>
      <c r="BF200" s="35"/>
      <c r="BG200" s="35"/>
      <c r="BH200" s="35"/>
      <c r="BI200" s="35"/>
      <c r="BJ200" s="35"/>
      <c r="BK200" s="35"/>
      <c r="BL200" s="35"/>
      <c r="BM200" s="35">
        <f t="shared" si="38"/>
        <v>0</v>
      </c>
      <c r="BN200" s="54" t="s">
        <v>347</v>
      </c>
      <c r="BO200" s="35" t="s">
        <v>371</v>
      </c>
      <c r="BP200" s="35"/>
      <c r="BQ200" s="35"/>
      <c r="BR200" s="35"/>
      <c r="BS200" s="35"/>
      <c r="BT200" s="35"/>
      <c r="BU200" s="35"/>
      <c r="BV200" s="35"/>
    </row>
    <row r="201" spans="1:74" ht="12.75" hidden="1" customHeight="1" x14ac:dyDescent="0.2">
      <c r="A201" s="35" t="s">
        <v>235</v>
      </c>
      <c r="C201" s="35" t="s">
        <v>183</v>
      </c>
      <c r="D201" s="35"/>
      <c r="E201" s="35">
        <f t="shared" si="34"/>
        <v>0</v>
      </c>
      <c r="F201" s="35"/>
      <c r="G201" s="35"/>
      <c r="H201" s="35"/>
      <c r="I201" s="35"/>
      <c r="J201" s="35"/>
      <c r="K201" s="35">
        <f t="shared" si="35"/>
        <v>0</v>
      </c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>
        <f t="shared" si="36"/>
        <v>0</v>
      </c>
      <c r="X201" s="35"/>
      <c r="Y201" s="35" t="s">
        <v>235</v>
      </c>
      <c r="Z201" s="55"/>
      <c r="AA201" s="35" t="s">
        <v>183</v>
      </c>
      <c r="AB201" s="35"/>
      <c r="AC201" s="35"/>
      <c r="AD201" s="35"/>
      <c r="AE201" s="35"/>
      <c r="AF201" s="35"/>
      <c r="AG201" s="35"/>
      <c r="AH201" s="35"/>
      <c r="AI201" s="45">
        <f t="shared" si="32"/>
        <v>0</v>
      </c>
      <c r="AJ201" s="45"/>
      <c r="AK201" s="35"/>
      <c r="AL201" s="35"/>
      <c r="AM201" s="35"/>
      <c r="AN201" s="35"/>
      <c r="AO201" s="35"/>
      <c r="AP201" s="35"/>
      <c r="AQ201" s="35"/>
      <c r="AR201" s="35"/>
      <c r="AS201" s="45">
        <f t="shared" si="33"/>
        <v>0</v>
      </c>
      <c r="AT201" s="45"/>
      <c r="AU201" s="35">
        <v>0</v>
      </c>
      <c r="AV201" s="35"/>
      <c r="AW201" s="35">
        <v>0</v>
      </c>
      <c r="AX201" s="35"/>
      <c r="AY201" s="35">
        <f t="shared" si="37"/>
        <v>0</v>
      </c>
      <c r="AZ201" s="35"/>
      <c r="BA201" s="35" t="s">
        <v>235</v>
      </c>
      <c r="BB201" s="55"/>
      <c r="BC201" s="35" t="s">
        <v>183</v>
      </c>
      <c r="BD201" s="35"/>
      <c r="BE201" s="35"/>
      <c r="BF201" s="35"/>
      <c r="BG201" s="35"/>
      <c r="BH201" s="35"/>
      <c r="BI201" s="35"/>
      <c r="BJ201" s="35"/>
      <c r="BK201" s="35"/>
      <c r="BL201" s="35"/>
      <c r="BM201" s="35">
        <f t="shared" si="38"/>
        <v>0</v>
      </c>
      <c r="BN201" s="54" t="s">
        <v>347</v>
      </c>
      <c r="BO201" s="35"/>
      <c r="BP201" s="35"/>
    </row>
    <row r="202" spans="1:74" ht="12.75" hidden="1" customHeight="1" x14ac:dyDescent="0.2">
      <c r="A202" s="35" t="s">
        <v>236</v>
      </c>
      <c r="C202" s="35" t="s">
        <v>45</v>
      </c>
      <c r="D202" s="35"/>
      <c r="E202" s="35">
        <f t="shared" si="34"/>
        <v>0</v>
      </c>
      <c r="F202" s="35"/>
      <c r="G202" s="35"/>
      <c r="H202" s="35"/>
      <c r="I202" s="35"/>
      <c r="J202" s="35"/>
      <c r="K202" s="35">
        <f t="shared" si="35"/>
        <v>0</v>
      </c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>
        <f t="shared" si="36"/>
        <v>0</v>
      </c>
      <c r="X202" s="35"/>
      <c r="Y202" s="35" t="s">
        <v>236</v>
      </c>
      <c r="Z202" s="55"/>
      <c r="AA202" s="35" t="s">
        <v>45</v>
      </c>
      <c r="AB202" s="35"/>
      <c r="AC202" s="35"/>
      <c r="AD202" s="35"/>
      <c r="AE202" s="35"/>
      <c r="AF202" s="35"/>
      <c r="AG202" s="35"/>
      <c r="AH202" s="35"/>
      <c r="AI202" s="45">
        <f t="shared" si="32"/>
        <v>0</v>
      </c>
      <c r="AJ202" s="45"/>
      <c r="AK202" s="35"/>
      <c r="AL202" s="35"/>
      <c r="AM202" s="35"/>
      <c r="AN202" s="35"/>
      <c r="AO202" s="35"/>
      <c r="AP202" s="35"/>
      <c r="AQ202" s="35"/>
      <c r="AR202" s="35"/>
      <c r="AS202" s="45">
        <f t="shared" si="33"/>
        <v>0</v>
      </c>
      <c r="AT202" s="45"/>
      <c r="AU202" s="35">
        <v>0</v>
      </c>
      <c r="AV202" s="35"/>
      <c r="AW202" s="35">
        <v>0</v>
      </c>
      <c r="AX202" s="35"/>
      <c r="AY202" s="35">
        <f t="shared" si="37"/>
        <v>0</v>
      </c>
      <c r="AZ202" s="35"/>
      <c r="BA202" s="35" t="s">
        <v>236</v>
      </c>
      <c r="BB202" s="55"/>
      <c r="BC202" s="35" t="s">
        <v>45</v>
      </c>
      <c r="BD202" s="35"/>
      <c r="BE202" s="35"/>
      <c r="BF202" s="35"/>
      <c r="BG202" s="35"/>
      <c r="BH202" s="35"/>
      <c r="BI202" s="35"/>
      <c r="BJ202" s="35"/>
      <c r="BK202" s="35"/>
      <c r="BL202" s="35"/>
      <c r="BM202" s="35">
        <f t="shared" si="38"/>
        <v>0</v>
      </c>
      <c r="BN202" s="54" t="s">
        <v>347</v>
      </c>
    </row>
    <row r="203" spans="1:74" ht="12.75" customHeight="1" x14ac:dyDescent="0.2">
      <c r="A203" s="35" t="s">
        <v>237</v>
      </c>
      <c r="C203" s="35" t="s">
        <v>33</v>
      </c>
      <c r="D203" s="35"/>
      <c r="E203" s="35">
        <f t="shared" si="34"/>
        <v>3745264</v>
      </c>
      <c r="F203" s="35"/>
      <c r="G203" s="35">
        <v>4671866</v>
      </c>
      <c r="H203" s="35"/>
      <c r="I203" s="35">
        <v>8417130</v>
      </c>
      <c r="J203" s="35"/>
      <c r="K203" s="35">
        <f t="shared" si="35"/>
        <v>535961</v>
      </c>
      <c r="L203" s="35"/>
      <c r="M203" s="35">
        <v>5438068</v>
      </c>
      <c r="N203" s="35"/>
      <c r="O203" s="35">
        <v>5974029</v>
      </c>
      <c r="P203" s="35"/>
      <c r="Q203" s="35">
        <v>-630177</v>
      </c>
      <c r="R203" s="35"/>
      <c r="S203" s="35">
        <v>0</v>
      </c>
      <c r="T203" s="35"/>
      <c r="U203" s="35">
        <v>3073278</v>
      </c>
      <c r="V203" s="35"/>
      <c r="W203" s="35">
        <f t="shared" si="36"/>
        <v>2443101</v>
      </c>
      <c r="X203" s="35"/>
      <c r="Y203" s="35" t="s">
        <v>237</v>
      </c>
      <c r="Z203" s="55"/>
      <c r="AA203" s="35" t="s">
        <v>33</v>
      </c>
      <c r="AB203" s="35"/>
      <c r="AC203" s="35">
        <v>4998093</v>
      </c>
      <c r="AD203" s="35"/>
      <c r="AE203" s="35">
        <f>4450210-145879</f>
        <v>4304331</v>
      </c>
      <c r="AF203" s="35"/>
      <c r="AG203" s="35">
        <v>145879</v>
      </c>
      <c r="AH203" s="35"/>
      <c r="AI203" s="45">
        <f t="shared" si="32"/>
        <v>547883</v>
      </c>
      <c r="AJ203" s="45"/>
      <c r="AK203" s="35">
        <v>-218562</v>
      </c>
      <c r="AL203" s="35"/>
      <c r="AM203" s="35">
        <v>0</v>
      </c>
      <c r="AN203" s="35"/>
      <c r="AO203" s="35">
        <v>0</v>
      </c>
      <c r="AP203" s="35"/>
      <c r="AQ203" s="35">
        <v>0</v>
      </c>
      <c r="AR203" s="35"/>
      <c r="AS203" s="45">
        <f t="shared" si="33"/>
        <v>329321</v>
      </c>
      <c r="AT203" s="45"/>
      <c r="AU203" s="35">
        <v>0</v>
      </c>
      <c r="AV203" s="35"/>
      <c r="AW203" s="35">
        <v>0</v>
      </c>
      <c r="AX203" s="35"/>
      <c r="AY203" s="35">
        <f t="shared" si="37"/>
        <v>3209303</v>
      </c>
      <c r="AZ203" s="35"/>
      <c r="BA203" s="35" t="s">
        <v>237</v>
      </c>
      <c r="BB203" s="55"/>
      <c r="BC203" s="35" t="s">
        <v>33</v>
      </c>
      <c r="BD203" s="35"/>
      <c r="BE203" s="35">
        <f>5418736+165000</f>
        <v>5583736</v>
      </c>
      <c r="BF203" s="35"/>
      <c r="BG203" s="35">
        <v>0</v>
      </c>
      <c r="BH203" s="35"/>
      <c r="BI203" s="35">
        <v>0</v>
      </c>
      <c r="BJ203" s="35"/>
      <c r="BK203" s="35">
        <f>19332+1802</f>
        <v>21134</v>
      </c>
      <c r="BL203" s="35"/>
      <c r="BM203" s="35">
        <f t="shared" si="38"/>
        <v>5604870</v>
      </c>
      <c r="BN203" s="54" t="s">
        <v>347</v>
      </c>
    </row>
    <row r="204" spans="1:74" ht="12.75" customHeight="1" x14ac:dyDescent="0.2">
      <c r="A204" s="64" t="s">
        <v>238</v>
      </c>
      <c r="B204" s="90"/>
      <c r="C204" s="64" t="s">
        <v>239</v>
      </c>
      <c r="D204" s="64"/>
      <c r="E204" s="35">
        <f t="shared" si="34"/>
        <v>9413695</v>
      </c>
      <c r="F204" s="35"/>
      <c r="G204" s="35">
        <v>7967807</v>
      </c>
      <c r="H204" s="35"/>
      <c r="I204" s="35">
        <v>17381502</v>
      </c>
      <c r="J204" s="35"/>
      <c r="K204" s="35">
        <f t="shared" si="35"/>
        <v>2365243</v>
      </c>
      <c r="L204" s="35"/>
      <c r="M204" s="35">
        <v>3616281</v>
      </c>
      <c r="N204" s="35"/>
      <c r="O204" s="35">
        <v>5981524</v>
      </c>
      <c r="P204" s="35"/>
      <c r="Q204" s="35">
        <v>5659432</v>
      </c>
      <c r="R204" s="35"/>
      <c r="S204" s="35">
        <v>0</v>
      </c>
      <c r="T204" s="35"/>
      <c r="U204" s="35">
        <v>5740546</v>
      </c>
      <c r="V204" s="35"/>
      <c r="W204" s="35">
        <f t="shared" si="36"/>
        <v>11399978</v>
      </c>
      <c r="X204" s="64"/>
      <c r="Y204" s="64" t="s">
        <v>238</v>
      </c>
      <c r="Z204" s="90"/>
      <c r="AA204" s="64" t="s">
        <v>239</v>
      </c>
      <c r="AB204" s="64"/>
      <c r="AC204" s="35">
        <v>15757752</v>
      </c>
      <c r="AD204" s="35"/>
      <c r="AE204" s="35">
        <f>16179187-619084</f>
        <v>15560103</v>
      </c>
      <c r="AF204" s="35"/>
      <c r="AG204" s="35">
        <v>619084</v>
      </c>
      <c r="AH204" s="35"/>
      <c r="AI204" s="45">
        <f t="shared" si="32"/>
        <v>-421435</v>
      </c>
      <c r="AJ204" s="45"/>
      <c r="AK204" s="35">
        <f>-116701-2664281</f>
        <v>-2780982</v>
      </c>
      <c r="AL204" s="35"/>
      <c r="AM204" s="35">
        <v>815751</v>
      </c>
      <c r="AN204" s="35"/>
      <c r="AO204" s="35">
        <v>0</v>
      </c>
      <c r="AP204" s="35"/>
      <c r="AQ204" s="35">
        <v>0</v>
      </c>
      <c r="AR204" s="35"/>
      <c r="AS204" s="45">
        <f t="shared" si="33"/>
        <v>-2386666</v>
      </c>
      <c r="AT204" s="45"/>
      <c r="AU204" s="35">
        <v>0</v>
      </c>
      <c r="AV204" s="35"/>
      <c r="AW204" s="35">
        <v>0</v>
      </c>
      <c r="AX204" s="35"/>
      <c r="AY204" s="35">
        <f t="shared" si="37"/>
        <v>7048452</v>
      </c>
      <c r="AZ204" s="35"/>
      <c r="BA204" s="64" t="s">
        <v>238</v>
      </c>
      <c r="BB204" s="90"/>
      <c r="BC204" s="64" t="s">
        <v>239</v>
      </c>
      <c r="BD204" s="64"/>
      <c r="BE204" s="35">
        <f>991949+98586</f>
        <v>1090535</v>
      </c>
      <c r="BF204" s="35"/>
      <c r="BG204" s="35">
        <v>0</v>
      </c>
      <c r="BH204" s="35"/>
      <c r="BI204" s="35">
        <v>0</v>
      </c>
      <c r="BJ204" s="35"/>
      <c r="BK204" s="35">
        <f>140051+2484281+180000+70071</f>
        <v>2874403</v>
      </c>
      <c r="BL204" s="35"/>
      <c r="BM204" s="35">
        <f t="shared" si="38"/>
        <v>3964938</v>
      </c>
      <c r="BN204" s="54" t="s">
        <v>347</v>
      </c>
    </row>
    <row r="205" spans="1:74" ht="12.75" hidden="1" customHeight="1" x14ac:dyDescent="0.2">
      <c r="A205" s="35" t="s">
        <v>486</v>
      </c>
      <c r="B205" s="55"/>
      <c r="C205" s="35" t="s">
        <v>249</v>
      </c>
      <c r="D205" s="35"/>
      <c r="E205" s="35">
        <f t="shared" si="34"/>
        <v>0</v>
      </c>
      <c r="F205" s="35"/>
      <c r="G205" s="35"/>
      <c r="H205" s="35"/>
      <c r="I205" s="35"/>
      <c r="J205" s="35"/>
      <c r="K205" s="35">
        <f t="shared" si="35"/>
        <v>0</v>
      </c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>
        <f t="shared" si="36"/>
        <v>0</v>
      </c>
      <c r="X205" s="35"/>
      <c r="Y205" s="35" t="s">
        <v>486</v>
      </c>
      <c r="Z205" s="55"/>
      <c r="AA205" s="35" t="s">
        <v>249</v>
      </c>
      <c r="AB205" s="35"/>
      <c r="AC205" s="35"/>
      <c r="AD205" s="35"/>
      <c r="AE205" s="35"/>
      <c r="AF205" s="35"/>
      <c r="AG205" s="35"/>
      <c r="AH205" s="35"/>
      <c r="AI205" s="45">
        <f t="shared" si="32"/>
        <v>0</v>
      </c>
      <c r="AJ205" s="45"/>
      <c r="AK205" s="35"/>
      <c r="AL205" s="35"/>
      <c r="AM205" s="35"/>
      <c r="AN205" s="35"/>
      <c r="AO205" s="35"/>
      <c r="AP205" s="35"/>
      <c r="AQ205" s="35"/>
      <c r="AR205" s="35"/>
      <c r="AS205" s="45">
        <f t="shared" si="33"/>
        <v>0</v>
      </c>
      <c r="AT205" s="45"/>
      <c r="AU205" s="35">
        <v>0</v>
      </c>
      <c r="AV205" s="35"/>
      <c r="AW205" s="35">
        <v>0</v>
      </c>
      <c r="AX205" s="35"/>
      <c r="AY205" s="35">
        <f t="shared" si="37"/>
        <v>0</v>
      </c>
      <c r="AZ205" s="35"/>
      <c r="BA205" s="35" t="s">
        <v>486</v>
      </c>
      <c r="BB205" s="55"/>
      <c r="BC205" s="35" t="s">
        <v>249</v>
      </c>
      <c r="BD205" s="35"/>
      <c r="BE205" s="35"/>
      <c r="BF205" s="35"/>
      <c r="BG205" s="35"/>
      <c r="BH205" s="35"/>
      <c r="BI205" s="35"/>
      <c r="BJ205" s="35"/>
      <c r="BK205" s="35"/>
      <c r="BL205" s="35"/>
      <c r="BM205" s="35">
        <f t="shared" si="38"/>
        <v>0</v>
      </c>
      <c r="BN205" s="54"/>
    </row>
    <row r="206" spans="1:74" ht="12.75" hidden="1" customHeight="1" x14ac:dyDescent="0.2">
      <c r="A206" s="35" t="s">
        <v>240</v>
      </c>
      <c r="C206" s="35" t="s">
        <v>13</v>
      </c>
      <c r="D206" s="35"/>
      <c r="E206" s="35">
        <f t="shared" si="34"/>
        <v>0</v>
      </c>
      <c r="F206" s="35"/>
      <c r="G206" s="35"/>
      <c r="H206" s="35"/>
      <c r="I206" s="35"/>
      <c r="J206" s="35"/>
      <c r="K206" s="35">
        <f t="shared" si="35"/>
        <v>0</v>
      </c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>
        <f t="shared" si="36"/>
        <v>0</v>
      </c>
      <c r="X206" s="35"/>
      <c r="Y206" s="35" t="s">
        <v>240</v>
      </c>
      <c r="Z206" s="55"/>
      <c r="AA206" s="35" t="s">
        <v>13</v>
      </c>
      <c r="AB206" s="35"/>
      <c r="AC206" s="35"/>
      <c r="AD206" s="35"/>
      <c r="AE206" s="35"/>
      <c r="AF206" s="35"/>
      <c r="AG206" s="35"/>
      <c r="AH206" s="35"/>
      <c r="AI206" s="45">
        <f t="shared" si="32"/>
        <v>0</v>
      </c>
      <c r="AJ206" s="45"/>
      <c r="AK206" s="35"/>
      <c r="AL206" s="35"/>
      <c r="AM206" s="35"/>
      <c r="AN206" s="35"/>
      <c r="AO206" s="35"/>
      <c r="AP206" s="35"/>
      <c r="AQ206" s="35"/>
      <c r="AR206" s="35"/>
      <c r="AS206" s="45">
        <f t="shared" si="33"/>
        <v>0</v>
      </c>
      <c r="AT206" s="45"/>
      <c r="AU206" s="35">
        <v>0</v>
      </c>
      <c r="AV206" s="35"/>
      <c r="AW206" s="35">
        <v>0</v>
      </c>
      <c r="AX206" s="35"/>
      <c r="AY206" s="35">
        <f t="shared" si="37"/>
        <v>0</v>
      </c>
      <c r="AZ206" s="35"/>
      <c r="BA206" s="35" t="s">
        <v>240</v>
      </c>
      <c r="BB206" s="55"/>
      <c r="BC206" s="35" t="s">
        <v>13</v>
      </c>
      <c r="BD206" s="35"/>
      <c r="BE206" s="35"/>
      <c r="BF206" s="35"/>
      <c r="BG206" s="35"/>
      <c r="BH206" s="35"/>
      <c r="BI206" s="35"/>
      <c r="BJ206" s="35"/>
      <c r="BK206" s="35"/>
      <c r="BL206" s="35"/>
      <c r="BM206" s="35">
        <f t="shared" si="38"/>
        <v>0</v>
      </c>
      <c r="BN206" s="54" t="s">
        <v>347</v>
      </c>
      <c r="BO206" s="35" t="s">
        <v>371</v>
      </c>
      <c r="BP206" s="35"/>
    </row>
    <row r="207" spans="1:74" ht="12.75" hidden="1" customHeight="1" x14ac:dyDescent="0.2">
      <c r="A207" s="35" t="s">
        <v>241</v>
      </c>
      <c r="C207" s="35" t="s">
        <v>22</v>
      </c>
      <c r="D207" s="35"/>
      <c r="E207" s="35">
        <f t="shared" si="34"/>
        <v>0</v>
      </c>
      <c r="F207" s="35"/>
      <c r="G207" s="35"/>
      <c r="H207" s="35"/>
      <c r="I207" s="35"/>
      <c r="J207" s="35"/>
      <c r="K207" s="35">
        <f t="shared" si="35"/>
        <v>0</v>
      </c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>
        <f t="shared" si="36"/>
        <v>0</v>
      </c>
      <c r="X207" s="35"/>
      <c r="Y207" s="35" t="s">
        <v>241</v>
      </c>
      <c r="Z207" s="55"/>
      <c r="AA207" s="35" t="s">
        <v>22</v>
      </c>
      <c r="AB207" s="35"/>
      <c r="AC207" s="35"/>
      <c r="AD207" s="35"/>
      <c r="AE207" s="35"/>
      <c r="AF207" s="35"/>
      <c r="AG207" s="35"/>
      <c r="AH207" s="35"/>
      <c r="AI207" s="45">
        <f t="shared" si="32"/>
        <v>0</v>
      </c>
      <c r="AJ207" s="45"/>
      <c r="AK207" s="35"/>
      <c r="AL207" s="35"/>
      <c r="AM207" s="35"/>
      <c r="AN207" s="35"/>
      <c r="AO207" s="35"/>
      <c r="AP207" s="35"/>
      <c r="AQ207" s="35"/>
      <c r="AR207" s="35"/>
      <c r="AS207" s="45">
        <f t="shared" si="33"/>
        <v>0</v>
      </c>
      <c r="AT207" s="45"/>
      <c r="AU207" s="35">
        <v>0</v>
      </c>
      <c r="AV207" s="35"/>
      <c r="AW207" s="35">
        <v>0</v>
      </c>
      <c r="AX207" s="35"/>
      <c r="AY207" s="35">
        <f t="shared" si="37"/>
        <v>0</v>
      </c>
      <c r="AZ207" s="35"/>
      <c r="BA207" s="35" t="s">
        <v>241</v>
      </c>
      <c r="BB207" s="55"/>
      <c r="BC207" s="35" t="s">
        <v>22</v>
      </c>
      <c r="BD207" s="35"/>
      <c r="BE207" s="35"/>
      <c r="BF207" s="35"/>
      <c r="BG207" s="35"/>
      <c r="BH207" s="35"/>
      <c r="BI207" s="35"/>
      <c r="BJ207" s="35"/>
      <c r="BK207" s="35"/>
      <c r="BL207" s="35"/>
      <c r="BM207" s="35">
        <f t="shared" si="38"/>
        <v>0</v>
      </c>
      <c r="BN207" s="54" t="s">
        <v>347</v>
      </c>
    </row>
    <row r="208" spans="1:74" ht="12.75" hidden="1" customHeight="1" x14ac:dyDescent="0.2">
      <c r="A208" s="35" t="s">
        <v>242</v>
      </c>
      <c r="C208" s="35" t="s">
        <v>27</v>
      </c>
      <c r="D208" s="35"/>
      <c r="E208" s="35">
        <f t="shared" si="34"/>
        <v>0</v>
      </c>
      <c r="F208" s="35"/>
      <c r="G208" s="35"/>
      <c r="H208" s="35"/>
      <c r="I208" s="35"/>
      <c r="J208" s="35"/>
      <c r="K208" s="35">
        <f t="shared" si="35"/>
        <v>0</v>
      </c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>
        <f t="shared" si="36"/>
        <v>0</v>
      </c>
      <c r="X208" s="35"/>
      <c r="Y208" s="35" t="s">
        <v>242</v>
      </c>
      <c r="Z208" s="55"/>
      <c r="AA208" s="35" t="s">
        <v>27</v>
      </c>
      <c r="AB208" s="35"/>
      <c r="AC208" s="35"/>
      <c r="AD208" s="35"/>
      <c r="AE208" s="35"/>
      <c r="AF208" s="35"/>
      <c r="AG208" s="35"/>
      <c r="AH208" s="35"/>
      <c r="AI208" s="45">
        <f t="shared" si="32"/>
        <v>0</v>
      </c>
      <c r="AJ208" s="45"/>
      <c r="AK208" s="35"/>
      <c r="AL208" s="35"/>
      <c r="AM208" s="35"/>
      <c r="AN208" s="35"/>
      <c r="AO208" s="35"/>
      <c r="AP208" s="35"/>
      <c r="AQ208" s="35"/>
      <c r="AR208" s="35"/>
      <c r="AS208" s="45">
        <f t="shared" si="33"/>
        <v>0</v>
      </c>
      <c r="AT208" s="45"/>
      <c r="AU208" s="35">
        <v>0</v>
      </c>
      <c r="AV208" s="35"/>
      <c r="AW208" s="35">
        <v>0</v>
      </c>
      <c r="AX208" s="35"/>
      <c r="AY208" s="35">
        <f t="shared" si="37"/>
        <v>0</v>
      </c>
      <c r="AZ208" s="35"/>
      <c r="BA208" s="35" t="s">
        <v>242</v>
      </c>
      <c r="BB208" s="55"/>
      <c r="BC208" s="35" t="s">
        <v>27</v>
      </c>
      <c r="BD208" s="35"/>
      <c r="BE208" s="35"/>
      <c r="BF208" s="35"/>
      <c r="BG208" s="35"/>
      <c r="BH208" s="35"/>
      <c r="BI208" s="35"/>
      <c r="BJ208" s="35"/>
      <c r="BK208" s="35"/>
      <c r="BL208" s="35"/>
      <c r="BM208" s="35">
        <f t="shared" si="38"/>
        <v>0</v>
      </c>
      <c r="BN208" s="54" t="s">
        <v>347</v>
      </c>
    </row>
    <row r="209" spans="1:67" ht="12.75" hidden="1" customHeight="1" x14ac:dyDescent="0.2">
      <c r="A209" s="35" t="s">
        <v>243</v>
      </c>
      <c r="C209" s="35" t="s">
        <v>163</v>
      </c>
      <c r="D209" s="35"/>
      <c r="E209" s="35">
        <f t="shared" si="34"/>
        <v>0</v>
      </c>
      <c r="F209" s="35"/>
      <c r="G209" s="35"/>
      <c r="H209" s="35"/>
      <c r="I209" s="35"/>
      <c r="J209" s="35"/>
      <c r="K209" s="35">
        <f t="shared" si="35"/>
        <v>0</v>
      </c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>
        <f t="shared" si="36"/>
        <v>0</v>
      </c>
      <c r="X209" s="35"/>
      <c r="Y209" s="35" t="s">
        <v>243</v>
      </c>
      <c r="Z209" s="55"/>
      <c r="AA209" s="35" t="s">
        <v>163</v>
      </c>
      <c r="AB209" s="35"/>
      <c r="AC209" s="35"/>
      <c r="AD209" s="35"/>
      <c r="AE209" s="35"/>
      <c r="AF209" s="35"/>
      <c r="AG209" s="35"/>
      <c r="AH209" s="35"/>
      <c r="AI209" s="45">
        <f t="shared" si="32"/>
        <v>0</v>
      </c>
      <c r="AJ209" s="45"/>
      <c r="AK209" s="35"/>
      <c r="AL209" s="35"/>
      <c r="AM209" s="35"/>
      <c r="AN209" s="35"/>
      <c r="AO209" s="35"/>
      <c r="AP209" s="35"/>
      <c r="AQ209" s="35"/>
      <c r="AR209" s="35"/>
      <c r="AS209" s="45">
        <f t="shared" si="33"/>
        <v>0</v>
      </c>
      <c r="AT209" s="45"/>
      <c r="AU209" s="35">
        <v>0</v>
      </c>
      <c r="AV209" s="35"/>
      <c r="AW209" s="35">
        <v>0</v>
      </c>
      <c r="AX209" s="35"/>
      <c r="AY209" s="35">
        <f t="shared" si="37"/>
        <v>0</v>
      </c>
      <c r="AZ209" s="35"/>
      <c r="BA209" s="35" t="s">
        <v>243</v>
      </c>
      <c r="BB209" s="55"/>
      <c r="BC209" s="35" t="s">
        <v>163</v>
      </c>
      <c r="BD209" s="35"/>
      <c r="BE209" s="35"/>
      <c r="BF209" s="35"/>
      <c r="BG209" s="35"/>
      <c r="BH209" s="35"/>
      <c r="BI209" s="35"/>
      <c r="BJ209" s="35"/>
      <c r="BK209" s="35"/>
      <c r="BL209" s="35"/>
      <c r="BM209" s="35">
        <f t="shared" si="38"/>
        <v>0</v>
      </c>
      <c r="BN209" s="89" t="s">
        <v>347</v>
      </c>
    </row>
    <row r="210" spans="1:67" ht="12.75" hidden="1" customHeight="1" x14ac:dyDescent="0.2">
      <c r="A210" s="35" t="s">
        <v>244</v>
      </c>
      <c r="C210" s="35" t="s">
        <v>13</v>
      </c>
      <c r="D210" s="35"/>
      <c r="E210" s="35">
        <f t="shared" si="34"/>
        <v>0</v>
      </c>
      <c r="F210" s="35"/>
      <c r="G210" s="35"/>
      <c r="H210" s="35"/>
      <c r="I210" s="35"/>
      <c r="J210" s="35"/>
      <c r="K210" s="35">
        <f t="shared" si="35"/>
        <v>0</v>
      </c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>
        <f t="shared" si="36"/>
        <v>0</v>
      </c>
      <c r="X210" s="35"/>
      <c r="Y210" s="35" t="s">
        <v>244</v>
      </c>
      <c r="Z210" s="55"/>
      <c r="AA210" s="35" t="s">
        <v>13</v>
      </c>
      <c r="AB210" s="35"/>
      <c r="AC210" s="35"/>
      <c r="AD210" s="35"/>
      <c r="AE210" s="35"/>
      <c r="AF210" s="35"/>
      <c r="AG210" s="35"/>
      <c r="AH210" s="35"/>
      <c r="AI210" s="45">
        <f t="shared" si="32"/>
        <v>0</v>
      </c>
      <c r="AJ210" s="45"/>
      <c r="AK210" s="35"/>
      <c r="AL210" s="35"/>
      <c r="AM210" s="35"/>
      <c r="AN210" s="35"/>
      <c r="AO210" s="35"/>
      <c r="AP210" s="35"/>
      <c r="AQ210" s="35"/>
      <c r="AR210" s="35"/>
      <c r="AS210" s="45">
        <f t="shared" si="33"/>
        <v>0</v>
      </c>
      <c r="AT210" s="45"/>
      <c r="AU210" s="35">
        <v>0</v>
      </c>
      <c r="AV210" s="35"/>
      <c r="AW210" s="35">
        <v>0</v>
      </c>
      <c r="AX210" s="35"/>
      <c r="AY210" s="35">
        <f t="shared" si="37"/>
        <v>0</v>
      </c>
      <c r="AZ210" s="35"/>
      <c r="BA210" s="35" t="s">
        <v>244</v>
      </c>
      <c r="BB210" s="55"/>
      <c r="BC210" s="35" t="s">
        <v>13</v>
      </c>
      <c r="BD210" s="35"/>
      <c r="BE210" s="35"/>
      <c r="BF210" s="35"/>
      <c r="BG210" s="35"/>
      <c r="BH210" s="35"/>
      <c r="BI210" s="35"/>
      <c r="BJ210" s="35"/>
      <c r="BK210" s="35"/>
      <c r="BL210" s="35"/>
      <c r="BM210" s="35">
        <f t="shared" si="38"/>
        <v>0</v>
      </c>
      <c r="BN210" s="54" t="s">
        <v>347</v>
      </c>
    </row>
    <row r="211" spans="1:67" ht="12.75" hidden="1" customHeight="1" x14ac:dyDescent="0.2">
      <c r="A211" s="35" t="s">
        <v>245</v>
      </c>
      <c r="C211" s="35" t="s">
        <v>110</v>
      </c>
      <c r="D211" s="35"/>
      <c r="E211" s="35">
        <f t="shared" si="34"/>
        <v>0</v>
      </c>
      <c r="F211" s="35"/>
      <c r="G211" s="35"/>
      <c r="H211" s="35"/>
      <c r="I211" s="35"/>
      <c r="J211" s="35"/>
      <c r="K211" s="35">
        <f t="shared" si="35"/>
        <v>0</v>
      </c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>
        <f t="shared" si="36"/>
        <v>0</v>
      </c>
      <c r="X211" s="35"/>
      <c r="Y211" s="35" t="s">
        <v>245</v>
      </c>
      <c r="Z211" s="55"/>
      <c r="AA211" s="35" t="s">
        <v>110</v>
      </c>
      <c r="AB211" s="35"/>
      <c r="AC211" s="35"/>
      <c r="AD211" s="35"/>
      <c r="AE211" s="35"/>
      <c r="AF211" s="35"/>
      <c r="AG211" s="35"/>
      <c r="AH211" s="35"/>
      <c r="AI211" s="45">
        <f t="shared" si="32"/>
        <v>0</v>
      </c>
      <c r="AJ211" s="45"/>
      <c r="AK211" s="35"/>
      <c r="AL211" s="35"/>
      <c r="AM211" s="35"/>
      <c r="AN211" s="35"/>
      <c r="AO211" s="35"/>
      <c r="AP211" s="35"/>
      <c r="AQ211" s="35"/>
      <c r="AR211" s="35"/>
      <c r="AS211" s="45">
        <f t="shared" si="33"/>
        <v>0</v>
      </c>
      <c r="AT211" s="45"/>
      <c r="AU211" s="35">
        <v>0</v>
      </c>
      <c r="AV211" s="35"/>
      <c r="AW211" s="35">
        <v>0</v>
      </c>
      <c r="AX211" s="35"/>
      <c r="AY211" s="35">
        <f t="shared" si="37"/>
        <v>0</v>
      </c>
      <c r="AZ211" s="35"/>
      <c r="BA211" s="35" t="s">
        <v>245</v>
      </c>
      <c r="BB211" s="55"/>
      <c r="BC211" s="35" t="s">
        <v>110</v>
      </c>
      <c r="BD211" s="35"/>
      <c r="BE211" s="35"/>
      <c r="BF211" s="35"/>
      <c r="BG211" s="35"/>
      <c r="BH211" s="35"/>
      <c r="BI211" s="35"/>
      <c r="BJ211" s="35"/>
      <c r="BK211" s="35"/>
      <c r="BL211" s="35"/>
      <c r="BM211" s="35">
        <f t="shared" si="38"/>
        <v>0</v>
      </c>
      <c r="BN211" s="54" t="s">
        <v>347</v>
      </c>
    </row>
    <row r="212" spans="1:67" ht="12.75" customHeight="1" x14ac:dyDescent="0.2">
      <c r="A212" s="35" t="s">
        <v>246</v>
      </c>
      <c r="C212" s="35" t="s">
        <v>209</v>
      </c>
      <c r="D212" s="35"/>
      <c r="E212" s="35">
        <f t="shared" si="34"/>
        <v>9120888</v>
      </c>
      <c r="F212" s="35"/>
      <c r="G212" s="35">
        <v>9072306</v>
      </c>
      <c r="H212" s="35"/>
      <c r="I212" s="35">
        <v>18193194</v>
      </c>
      <c r="J212" s="35"/>
      <c r="K212" s="35">
        <f t="shared" si="35"/>
        <v>3010101</v>
      </c>
      <c r="L212" s="35"/>
      <c r="M212" s="35">
        <v>340473</v>
      </c>
      <c r="N212" s="35"/>
      <c r="O212" s="35">
        <v>3350574</v>
      </c>
      <c r="P212" s="35"/>
      <c r="Q212" s="35">
        <v>7714681</v>
      </c>
      <c r="R212" s="35"/>
      <c r="S212" s="35">
        <v>0</v>
      </c>
      <c r="T212" s="35"/>
      <c r="U212" s="35">
        <v>7127939</v>
      </c>
      <c r="V212" s="35"/>
      <c r="W212" s="35">
        <f t="shared" si="36"/>
        <v>14842620</v>
      </c>
      <c r="X212" s="35"/>
      <c r="Y212" s="35" t="s">
        <v>246</v>
      </c>
      <c r="Z212" s="55"/>
      <c r="AA212" s="35" t="s">
        <v>209</v>
      </c>
      <c r="AB212" s="35"/>
      <c r="AC212" s="35">
        <v>12116709</v>
      </c>
      <c r="AD212" s="35"/>
      <c r="AE212" s="35">
        <f>10135549-434621</f>
        <v>9700928</v>
      </c>
      <c r="AF212" s="35"/>
      <c r="AG212" s="35">
        <v>434621</v>
      </c>
      <c r="AH212" s="35"/>
      <c r="AI212" s="45">
        <f t="shared" si="32"/>
        <v>1981160</v>
      </c>
      <c r="AJ212" s="45"/>
      <c r="AK212" s="35">
        <v>-16322</v>
      </c>
      <c r="AL212" s="35"/>
      <c r="AM212" s="35">
        <v>0</v>
      </c>
      <c r="AN212" s="35"/>
      <c r="AO212" s="35">
        <v>5200</v>
      </c>
      <c r="AP212" s="35"/>
      <c r="AQ212" s="35">
        <v>0</v>
      </c>
      <c r="AR212" s="35"/>
      <c r="AS212" s="45">
        <f t="shared" si="33"/>
        <v>1959638</v>
      </c>
      <c r="AT212" s="45"/>
      <c r="AU212" s="35">
        <v>0</v>
      </c>
      <c r="AV212" s="35"/>
      <c r="AW212" s="35">
        <v>0</v>
      </c>
      <c r="AX212" s="35"/>
      <c r="AY212" s="35">
        <f t="shared" si="37"/>
        <v>6110787</v>
      </c>
      <c r="AZ212" s="35"/>
      <c r="BA212" s="35" t="s">
        <v>246</v>
      </c>
      <c r="BB212" s="55"/>
      <c r="BC212" s="35" t="s">
        <v>209</v>
      </c>
      <c r="BD212" s="35"/>
      <c r="BE212" s="35">
        <f>195000+50000</f>
        <v>245000</v>
      </c>
      <c r="BF212" s="35"/>
      <c r="BG212" s="35">
        <v>0</v>
      </c>
      <c r="BH212" s="35"/>
      <c r="BI212" s="35">
        <v>0</v>
      </c>
      <c r="BJ212" s="35"/>
      <c r="BK212" s="35">
        <f>34889+145473</f>
        <v>180362</v>
      </c>
      <c r="BL212" s="35"/>
      <c r="BM212" s="35">
        <f t="shared" si="38"/>
        <v>425362</v>
      </c>
      <c r="BN212" s="54" t="s">
        <v>347</v>
      </c>
      <c r="BO212" s="55" t="s">
        <v>315</v>
      </c>
    </row>
    <row r="213" spans="1:67" ht="12.75" hidden="1" customHeight="1" x14ac:dyDescent="0.2">
      <c r="A213" s="35" t="s">
        <v>247</v>
      </c>
      <c r="B213" s="55"/>
      <c r="C213" s="35" t="s">
        <v>163</v>
      </c>
      <c r="D213" s="35"/>
      <c r="E213" s="35">
        <f t="shared" si="34"/>
        <v>0</v>
      </c>
      <c r="F213" s="35"/>
      <c r="G213" s="35"/>
      <c r="H213" s="35"/>
      <c r="I213" s="35"/>
      <c r="J213" s="35"/>
      <c r="K213" s="35">
        <f t="shared" si="35"/>
        <v>0</v>
      </c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>
        <f t="shared" si="36"/>
        <v>0</v>
      </c>
      <c r="X213" s="35"/>
      <c r="Y213" s="35" t="s">
        <v>247</v>
      </c>
      <c r="Z213" s="55"/>
      <c r="AA213" s="35" t="s">
        <v>163</v>
      </c>
      <c r="AB213" s="35"/>
      <c r="AC213" s="35"/>
      <c r="AD213" s="35"/>
      <c r="AE213" s="35"/>
      <c r="AF213" s="35"/>
      <c r="AG213" s="35"/>
      <c r="AH213" s="35"/>
      <c r="AI213" s="45">
        <f t="shared" si="32"/>
        <v>0</v>
      </c>
      <c r="AJ213" s="45"/>
      <c r="AK213" s="35"/>
      <c r="AL213" s="35"/>
      <c r="AM213" s="35"/>
      <c r="AN213" s="35"/>
      <c r="AO213" s="35"/>
      <c r="AP213" s="35"/>
      <c r="AQ213" s="35"/>
      <c r="AR213" s="35"/>
      <c r="AS213" s="45">
        <f t="shared" si="33"/>
        <v>0</v>
      </c>
      <c r="AT213" s="45"/>
      <c r="AU213" s="35">
        <v>0</v>
      </c>
      <c r="AV213" s="35"/>
      <c r="AW213" s="35">
        <v>0</v>
      </c>
      <c r="AX213" s="35"/>
      <c r="AY213" s="35">
        <f t="shared" si="37"/>
        <v>0</v>
      </c>
      <c r="AZ213" s="35"/>
      <c r="BA213" s="35" t="s">
        <v>247</v>
      </c>
      <c r="BB213" s="55"/>
      <c r="BC213" s="35" t="s">
        <v>163</v>
      </c>
      <c r="BD213" s="35"/>
      <c r="BE213" s="35"/>
      <c r="BF213" s="35"/>
      <c r="BG213" s="35"/>
      <c r="BH213" s="35"/>
      <c r="BI213" s="35"/>
      <c r="BJ213" s="35"/>
      <c r="BK213" s="35"/>
      <c r="BL213" s="35"/>
      <c r="BM213" s="35">
        <f t="shared" ref="BM213:BM233" si="39">SUM(BE213:BK213)</f>
        <v>0</v>
      </c>
      <c r="BN213" s="54" t="s">
        <v>347</v>
      </c>
    </row>
    <row r="214" spans="1:67" ht="12.75" hidden="1" customHeight="1" x14ac:dyDescent="0.2">
      <c r="A214" s="35" t="s">
        <v>248</v>
      </c>
      <c r="B214" s="55"/>
      <c r="C214" s="35" t="s">
        <v>249</v>
      </c>
      <c r="D214" s="35"/>
      <c r="E214" s="35">
        <f t="shared" si="34"/>
        <v>0</v>
      </c>
      <c r="F214" s="35"/>
      <c r="G214" s="35"/>
      <c r="H214" s="35"/>
      <c r="I214" s="35"/>
      <c r="J214" s="35"/>
      <c r="K214" s="35">
        <f t="shared" si="35"/>
        <v>0</v>
      </c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>
        <f t="shared" si="36"/>
        <v>0</v>
      </c>
      <c r="X214" s="35"/>
      <c r="Y214" s="35" t="s">
        <v>248</v>
      </c>
      <c r="Z214" s="55"/>
      <c r="AA214" s="35" t="s">
        <v>249</v>
      </c>
      <c r="AB214" s="35"/>
      <c r="AC214" s="35"/>
      <c r="AD214" s="35"/>
      <c r="AE214" s="35"/>
      <c r="AF214" s="35"/>
      <c r="AG214" s="35"/>
      <c r="AH214" s="35"/>
      <c r="AI214" s="45">
        <f t="shared" si="32"/>
        <v>0</v>
      </c>
      <c r="AJ214" s="45"/>
      <c r="AK214" s="35"/>
      <c r="AL214" s="35"/>
      <c r="AM214" s="35"/>
      <c r="AN214" s="35"/>
      <c r="AO214" s="35"/>
      <c r="AP214" s="35"/>
      <c r="AQ214" s="35"/>
      <c r="AR214" s="35"/>
      <c r="AS214" s="45">
        <f t="shared" si="33"/>
        <v>0</v>
      </c>
      <c r="AT214" s="45"/>
      <c r="AU214" s="35">
        <v>0</v>
      </c>
      <c r="AV214" s="35"/>
      <c r="AW214" s="35">
        <v>0</v>
      </c>
      <c r="AX214" s="35"/>
      <c r="AY214" s="35">
        <f t="shared" si="37"/>
        <v>0</v>
      </c>
      <c r="AZ214" s="35"/>
      <c r="BA214" s="35" t="s">
        <v>248</v>
      </c>
      <c r="BB214" s="55"/>
      <c r="BC214" s="35" t="s">
        <v>249</v>
      </c>
      <c r="BD214" s="35"/>
      <c r="BE214" s="35"/>
      <c r="BF214" s="35"/>
      <c r="BG214" s="35"/>
      <c r="BH214" s="35"/>
      <c r="BI214" s="35"/>
      <c r="BJ214" s="35"/>
      <c r="BK214" s="35"/>
      <c r="BL214" s="35"/>
      <c r="BM214" s="35">
        <f t="shared" si="39"/>
        <v>0</v>
      </c>
      <c r="BN214" s="54"/>
    </row>
    <row r="215" spans="1:67" ht="12.75" hidden="1" customHeight="1" x14ac:dyDescent="0.2">
      <c r="A215" s="35" t="s">
        <v>250</v>
      </c>
      <c r="C215" s="35" t="s">
        <v>103</v>
      </c>
      <c r="D215" s="35"/>
      <c r="E215" s="35">
        <f t="shared" si="34"/>
        <v>0</v>
      </c>
      <c r="F215" s="35"/>
      <c r="G215" s="35"/>
      <c r="H215" s="35"/>
      <c r="I215" s="35"/>
      <c r="J215" s="35"/>
      <c r="K215" s="35">
        <f t="shared" si="35"/>
        <v>0</v>
      </c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>
        <f t="shared" si="36"/>
        <v>0</v>
      </c>
      <c r="X215" s="35"/>
      <c r="Y215" s="35" t="s">
        <v>250</v>
      </c>
      <c r="Z215" s="55"/>
      <c r="AA215" s="35" t="s">
        <v>103</v>
      </c>
      <c r="AB215" s="35"/>
      <c r="AC215" s="35"/>
      <c r="AD215" s="35"/>
      <c r="AE215" s="35"/>
      <c r="AF215" s="35"/>
      <c r="AG215" s="35"/>
      <c r="AH215" s="35"/>
      <c r="AI215" s="45">
        <f t="shared" si="32"/>
        <v>0</v>
      </c>
      <c r="AJ215" s="45"/>
      <c r="AK215" s="35"/>
      <c r="AL215" s="35"/>
      <c r="AM215" s="35"/>
      <c r="AN215" s="35"/>
      <c r="AO215" s="35"/>
      <c r="AP215" s="35"/>
      <c r="AQ215" s="35"/>
      <c r="AR215" s="35"/>
      <c r="AS215" s="45">
        <f t="shared" si="33"/>
        <v>0</v>
      </c>
      <c r="AT215" s="45"/>
      <c r="AU215" s="35">
        <v>0</v>
      </c>
      <c r="AV215" s="35"/>
      <c r="AW215" s="35">
        <v>0</v>
      </c>
      <c r="AX215" s="35"/>
      <c r="AY215" s="35">
        <f t="shared" si="37"/>
        <v>0</v>
      </c>
      <c r="AZ215" s="35"/>
      <c r="BA215" s="35" t="s">
        <v>250</v>
      </c>
      <c r="BB215" s="55"/>
      <c r="BC215" s="35" t="s">
        <v>103</v>
      </c>
      <c r="BD215" s="35"/>
      <c r="BE215" s="35"/>
      <c r="BF215" s="35"/>
      <c r="BG215" s="35"/>
      <c r="BH215" s="35"/>
      <c r="BI215" s="35"/>
      <c r="BJ215" s="35"/>
      <c r="BK215" s="35"/>
      <c r="BL215" s="35"/>
      <c r="BM215" s="35">
        <f t="shared" si="39"/>
        <v>0</v>
      </c>
      <c r="BN215" s="54" t="s">
        <v>347</v>
      </c>
    </row>
    <row r="216" spans="1:67" ht="12.75" hidden="1" customHeight="1" x14ac:dyDescent="0.2">
      <c r="A216" s="35" t="s">
        <v>251</v>
      </c>
      <c r="C216" s="35" t="s">
        <v>66</v>
      </c>
      <c r="D216" s="35"/>
      <c r="E216" s="35">
        <f t="shared" si="34"/>
        <v>0</v>
      </c>
      <c r="F216" s="35"/>
      <c r="G216" s="35"/>
      <c r="H216" s="35"/>
      <c r="I216" s="35"/>
      <c r="J216" s="35"/>
      <c r="K216" s="35">
        <f t="shared" si="35"/>
        <v>0</v>
      </c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>
        <f t="shared" si="36"/>
        <v>0</v>
      </c>
      <c r="X216" s="35"/>
      <c r="Y216" s="35" t="s">
        <v>251</v>
      </c>
      <c r="Z216" s="55"/>
      <c r="AA216" s="35" t="s">
        <v>66</v>
      </c>
      <c r="AB216" s="35"/>
      <c r="AC216" s="35"/>
      <c r="AD216" s="35"/>
      <c r="AE216" s="35"/>
      <c r="AF216" s="35"/>
      <c r="AG216" s="35"/>
      <c r="AH216" s="35"/>
      <c r="AI216" s="45">
        <f t="shared" si="32"/>
        <v>0</v>
      </c>
      <c r="AJ216" s="45"/>
      <c r="AK216" s="35"/>
      <c r="AL216" s="35"/>
      <c r="AM216" s="35"/>
      <c r="AN216" s="35"/>
      <c r="AO216" s="35"/>
      <c r="AP216" s="35"/>
      <c r="AQ216" s="35"/>
      <c r="AR216" s="35"/>
      <c r="AS216" s="45">
        <f t="shared" si="33"/>
        <v>0</v>
      </c>
      <c r="AT216" s="45"/>
      <c r="AU216" s="35">
        <v>0</v>
      </c>
      <c r="AV216" s="35"/>
      <c r="AW216" s="35">
        <v>0</v>
      </c>
      <c r="AX216" s="35"/>
      <c r="AY216" s="35">
        <f t="shared" si="37"/>
        <v>0</v>
      </c>
      <c r="AZ216" s="35"/>
      <c r="BA216" s="35" t="s">
        <v>251</v>
      </c>
      <c r="BB216" s="55"/>
      <c r="BC216" s="35" t="s">
        <v>66</v>
      </c>
      <c r="BD216" s="35"/>
      <c r="BE216" s="35"/>
      <c r="BF216" s="35"/>
      <c r="BG216" s="35"/>
      <c r="BH216" s="35"/>
      <c r="BI216" s="35"/>
      <c r="BJ216" s="35"/>
      <c r="BK216" s="35"/>
      <c r="BL216" s="35"/>
      <c r="BM216" s="35">
        <f t="shared" si="39"/>
        <v>0</v>
      </c>
      <c r="BN216" s="54" t="s">
        <v>347</v>
      </c>
    </row>
    <row r="217" spans="1:67" ht="12.75" hidden="1" customHeight="1" x14ac:dyDescent="0.2">
      <c r="A217" s="35" t="s">
        <v>252</v>
      </c>
      <c r="C217" s="35" t="s">
        <v>209</v>
      </c>
      <c r="D217" s="35"/>
      <c r="E217" s="35">
        <f t="shared" si="34"/>
        <v>0</v>
      </c>
      <c r="F217" s="35"/>
      <c r="G217" s="35"/>
      <c r="H217" s="35"/>
      <c r="I217" s="35"/>
      <c r="J217" s="35"/>
      <c r="K217" s="35">
        <f t="shared" si="35"/>
        <v>0</v>
      </c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>
        <f t="shared" si="36"/>
        <v>0</v>
      </c>
      <c r="X217" s="35"/>
      <c r="Y217" s="35" t="s">
        <v>252</v>
      </c>
      <c r="Z217" s="55"/>
      <c r="AA217" s="35" t="s">
        <v>209</v>
      </c>
      <c r="AB217" s="35"/>
      <c r="AC217" s="35"/>
      <c r="AD217" s="35"/>
      <c r="AE217" s="35"/>
      <c r="AF217" s="35"/>
      <c r="AG217" s="35"/>
      <c r="AH217" s="35"/>
      <c r="AI217" s="45">
        <f t="shared" si="32"/>
        <v>0</v>
      </c>
      <c r="AJ217" s="45"/>
      <c r="AK217" s="35"/>
      <c r="AL217" s="35"/>
      <c r="AM217" s="35"/>
      <c r="AN217" s="35"/>
      <c r="AO217" s="35"/>
      <c r="AP217" s="35"/>
      <c r="AQ217" s="35"/>
      <c r="AR217" s="35"/>
      <c r="AS217" s="45">
        <f t="shared" si="33"/>
        <v>0</v>
      </c>
      <c r="AT217" s="45"/>
      <c r="AU217" s="35">
        <v>0</v>
      </c>
      <c r="AV217" s="35"/>
      <c r="AW217" s="35">
        <v>0</v>
      </c>
      <c r="AX217" s="35"/>
      <c r="AY217" s="35">
        <f t="shared" si="37"/>
        <v>0</v>
      </c>
      <c r="AZ217" s="35"/>
      <c r="BA217" s="35" t="s">
        <v>252</v>
      </c>
      <c r="BB217" s="55"/>
      <c r="BC217" s="35" t="s">
        <v>209</v>
      </c>
      <c r="BD217" s="35"/>
      <c r="BE217" s="35"/>
      <c r="BF217" s="35"/>
      <c r="BG217" s="35"/>
      <c r="BH217" s="35"/>
      <c r="BI217" s="35"/>
      <c r="BJ217" s="35"/>
      <c r="BK217" s="35"/>
      <c r="BL217" s="35"/>
      <c r="BM217" s="35">
        <f t="shared" si="39"/>
        <v>0</v>
      </c>
      <c r="BN217" s="54" t="s">
        <v>347</v>
      </c>
    </row>
    <row r="218" spans="1:67" ht="12.75" hidden="1" customHeight="1" x14ac:dyDescent="0.2">
      <c r="A218" s="35" t="s">
        <v>253</v>
      </c>
      <c r="C218" s="35" t="s">
        <v>13</v>
      </c>
      <c r="D218" s="35"/>
      <c r="E218" s="35">
        <f t="shared" si="34"/>
        <v>0</v>
      </c>
      <c r="F218" s="35"/>
      <c r="G218" s="35"/>
      <c r="H218" s="35"/>
      <c r="I218" s="35"/>
      <c r="J218" s="35"/>
      <c r="K218" s="35">
        <f t="shared" si="35"/>
        <v>0</v>
      </c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>
        <f t="shared" si="36"/>
        <v>0</v>
      </c>
      <c r="X218" s="35"/>
      <c r="Y218" s="35" t="s">
        <v>253</v>
      </c>
      <c r="Z218" s="55"/>
      <c r="AA218" s="35" t="s">
        <v>13</v>
      </c>
      <c r="AB218" s="35"/>
      <c r="AC218" s="35"/>
      <c r="AD218" s="35"/>
      <c r="AE218" s="35"/>
      <c r="AF218" s="35"/>
      <c r="AG218" s="35"/>
      <c r="AH218" s="35"/>
      <c r="AI218" s="45">
        <f t="shared" si="32"/>
        <v>0</v>
      </c>
      <c r="AJ218" s="45"/>
      <c r="AK218" s="35"/>
      <c r="AL218" s="35"/>
      <c r="AM218" s="35"/>
      <c r="AN218" s="35"/>
      <c r="AO218" s="35"/>
      <c r="AP218" s="35"/>
      <c r="AQ218" s="35"/>
      <c r="AR218" s="35"/>
      <c r="AS218" s="45">
        <f t="shared" si="33"/>
        <v>0</v>
      </c>
      <c r="AT218" s="45"/>
      <c r="AU218" s="35">
        <v>0</v>
      </c>
      <c r="AV218" s="35"/>
      <c r="AW218" s="35">
        <v>0</v>
      </c>
      <c r="AX218" s="35"/>
      <c r="AY218" s="35">
        <f t="shared" si="37"/>
        <v>0</v>
      </c>
      <c r="AZ218" s="35"/>
      <c r="BA218" s="35" t="s">
        <v>253</v>
      </c>
      <c r="BB218" s="55"/>
      <c r="BC218" s="35" t="s">
        <v>13</v>
      </c>
      <c r="BD218" s="35"/>
      <c r="BE218" s="35"/>
      <c r="BF218" s="35"/>
      <c r="BG218" s="35"/>
      <c r="BH218" s="35"/>
      <c r="BI218" s="35"/>
      <c r="BJ218" s="35"/>
      <c r="BK218" s="35"/>
      <c r="BL218" s="35"/>
      <c r="BM218" s="35">
        <f t="shared" si="39"/>
        <v>0</v>
      </c>
      <c r="BN218" s="54" t="s">
        <v>347</v>
      </c>
    </row>
    <row r="219" spans="1:67" ht="12.75" hidden="1" customHeight="1" x14ac:dyDescent="0.2">
      <c r="A219" s="35" t="s">
        <v>254</v>
      </c>
      <c r="C219" s="35" t="s">
        <v>89</v>
      </c>
      <c r="D219" s="35"/>
      <c r="E219" s="35">
        <f t="shared" si="34"/>
        <v>0</v>
      </c>
      <c r="F219" s="35"/>
      <c r="G219" s="35"/>
      <c r="H219" s="35"/>
      <c r="I219" s="35"/>
      <c r="J219" s="35"/>
      <c r="K219" s="35">
        <f t="shared" si="35"/>
        <v>0</v>
      </c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>
        <f t="shared" si="36"/>
        <v>0</v>
      </c>
      <c r="X219" s="35"/>
      <c r="Y219" s="35" t="s">
        <v>254</v>
      </c>
      <c r="Z219" s="55"/>
      <c r="AA219" s="35" t="s">
        <v>89</v>
      </c>
      <c r="AB219" s="35"/>
      <c r="AC219" s="35"/>
      <c r="AD219" s="35"/>
      <c r="AE219" s="35"/>
      <c r="AF219" s="35"/>
      <c r="AG219" s="35"/>
      <c r="AH219" s="35"/>
      <c r="AI219" s="45">
        <f t="shared" si="32"/>
        <v>0</v>
      </c>
      <c r="AJ219" s="45"/>
      <c r="AK219" s="35"/>
      <c r="AL219" s="35"/>
      <c r="AM219" s="35"/>
      <c r="AN219" s="35"/>
      <c r="AO219" s="35"/>
      <c r="AP219" s="35"/>
      <c r="AQ219" s="35"/>
      <c r="AR219" s="35"/>
      <c r="AS219" s="45">
        <f t="shared" si="33"/>
        <v>0</v>
      </c>
      <c r="AT219" s="45"/>
      <c r="AU219" s="35">
        <v>0</v>
      </c>
      <c r="AV219" s="35"/>
      <c r="AW219" s="35">
        <v>0</v>
      </c>
      <c r="AX219" s="35"/>
      <c r="AY219" s="35">
        <f t="shared" si="37"/>
        <v>0</v>
      </c>
      <c r="AZ219" s="35"/>
      <c r="BA219" s="35" t="s">
        <v>254</v>
      </c>
      <c r="BB219" s="55"/>
      <c r="BC219" s="35" t="s">
        <v>89</v>
      </c>
      <c r="BD219" s="35"/>
      <c r="BE219" s="35"/>
      <c r="BF219" s="35"/>
      <c r="BG219" s="35"/>
      <c r="BH219" s="35"/>
      <c r="BI219" s="35"/>
      <c r="BJ219" s="35"/>
      <c r="BK219" s="35"/>
      <c r="BL219" s="35"/>
      <c r="BM219" s="35">
        <f t="shared" si="39"/>
        <v>0</v>
      </c>
      <c r="BN219" s="54" t="s">
        <v>347</v>
      </c>
    </row>
    <row r="220" spans="1:67" ht="12.75" hidden="1" customHeight="1" x14ac:dyDescent="0.2">
      <c r="A220" s="35" t="s">
        <v>159</v>
      </c>
      <c r="C220" s="35" t="s">
        <v>66</v>
      </c>
      <c r="D220" s="35"/>
      <c r="E220" s="35">
        <f t="shared" si="34"/>
        <v>0</v>
      </c>
      <c r="F220" s="35"/>
      <c r="G220" s="35"/>
      <c r="H220" s="35"/>
      <c r="I220" s="35"/>
      <c r="J220" s="35"/>
      <c r="K220" s="35">
        <f t="shared" si="35"/>
        <v>0</v>
      </c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>
        <f t="shared" si="36"/>
        <v>0</v>
      </c>
      <c r="X220" s="35"/>
      <c r="Y220" s="35" t="s">
        <v>159</v>
      </c>
      <c r="Z220" s="55"/>
      <c r="AA220" s="35" t="s">
        <v>66</v>
      </c>
      <c r="AB220" s="35"/>
      <c r="AC220" s="35"/>
      <c r="AD220" s="35"/>
      <c r="AE220" s="35"/>
      <c r="AF220" s="35"/>
      <c r="AG220" s="35"/>
      <c r="AH220" s="35"/>
      <c r="AI220" s="45">
        <f t="shared" si="32"/>
        <v>0</v>
      </c>
      <c r="AJ220" s="45"/>
      <c r="AK220" s="35"/>
      <c r="AL220" s="35"/>
      <c r="AM220" s="35"/>
      <c r="AN220" s="35"/>
      <c r="AO220" s="35"/>
      <c r="AP220" s="35"/>
      <c r="AQ220" s="35"/>
      <c r="AR220" s="35"/>
      <c r="AS220" s="45">
        <f t="shared" si="33"/>
        <v>0</v>
      </c>
      <c r="AT220" s="45"/>
      <c r="AU220" s="35">
        <v>0</v>
      </c>
      <c r="AV220" s="35"/>
      <c r="AW220" s="35">
        <v>0</v>
      </c>
      <c r="AX220" s="35"/>
      <c r="AY220" s="35">
        <f t="shared" si="37"/>
        <v>0</v>
      </c>
      <c r="AZ220" s="35"/>
      <c r="BA220" s="35" t="s">
        <v>159</v>
      </c>
      <c r="BB220" s="55"/>
      <c r="BC220" s="35" t="s">
        <v>66</v>
      </c>
      <c r="BD220" s="35"/>
      <c r="BE220" s="35"/>
      <c r="BF220" s="35"/>
      <c r="BG220" s="35"/>
      <c r="BH220" s="35"/>
      <c r="BI220" s="35"/>
      <c r="BJ220" s="35"/>
      <c r="BK220" s="35"/>
      <c r="BL220" s="35"/>
      <c r="BM220" s="35">
        <f t="shared" si="39"/>
        <v>0</v>
      </c>
      <c r="BN220" s="54" t="s">
        <v>347</v>
      </c>
    </row>
    <row r="221" spans="1:67" ht="12.75" hidden="1" customHeight="1" x14ac:dyDescent="0.2">
      <c r="A221" s="35" t="s">
        <v>255</v>
      </c>
      <c r="C221" s="35" t="s">
        <v>27</v>
      </c>
      <c r="D221" s="35"/>
      <c r="E221" s="35">
        <f t="shared" si="34"/>
        <v>0</v>
      </c>
      <c r="F221" s="35"/>
      <c r="G221" s="35"/>
      <c r="H221" s="35"/>
      <c r="I221" s="35"/>
      <c r="J221" s="35"/>
      <c r="K221" s="35">
        <f t="shared" si="35"/>
        <v>0</v>
      </c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>
        <f t="shared" si="36"/>
        <v>0</v>
      </c>
      <c r="X221" s="35"/>
      <c r="Y221" s="35" t="s">
        <v>255</v>
      </c>
      <c r="Z221" s="55"/>
      <c r="AA221" s="35" t="s">
        <v>27</v>
      </c>
      <c r="AB221" s="35"/>
      <c r="AC221" s="35"/>
      <c r="AD221" s="35"/>
      <c r="AE221" s="35"/>
      <c r="AF221" s="35"/>
      <c r="AG221" s="35"/>
      <c r="AH221" s="35"/>
      <c r="AI221" s="45">
        <f t="shared" si="32"/>
        <v>0</v>
      </c>
      <c r="AJ221" s="45"/>
      <c r="AK221" s="35"/>
      <c r="AL221" s="35"/>
      <c r="AM221" s="35"/>
      <c r="AN221" s="35"/>
      <c r="AO221" s="35"/>
      <c r="AP221" s="35"/>
      <c r="AQ221" s="35"/>
      <c r="AR221" s="35"/>
      <c r="AS221" s="45">
        <f t="shared" si="33"/>
        <v>0</v>
      </c>
      <c r="AT221" s="45"/>
      <c r="AU221" s="35">
        <v>0</v>
      </c>
      <c r="AV221" s="35"/>
      <c r="AW221" s="35">
        <v>0</v>
      </c>
      <c r="AX221" s="35"/>
      <c r="AY221" s="35">
        <f t="shared" si="37"/>
        <v>0</v>
      </c>
      <c r="AZ221" s="35"/>
      <c r="BA221" s="35" t="s">
        <v>255</v>
      </c>
      <c r="BB221" s="55"/>
      <c r="BC221" s="35" t="s">
        <v>27</v>
      </c>
      <c r="BD221" s="35"/>
      <c r="BE221" s="35"/>
      <c r="BF221" s="35"/>
      <c r="BG221" s="35"/>
      <c r="BH221" s="35"/>
      <c r="BI221" s="35"/>
      <c r="BJ221" s="35"/>
      <c r="BK221" s="35"/>
      <c r="BL221" s="35"/>
      <c r="BM221" s="35">
        <f t="shared" si="39"/>
        <v>0</v>
      </c>
      <c r="BN221" s="54" t="s">
        <v>347</v>
      </c>
    </row>
    <row r="222" spans="1:67" ht="12.75" hidden="1" customHeight="1" x14ac:dyDescent="0.2">
      <c r="A222" s="35" t="s">
        <v>256</v>
      </c>
      <c r="C222" s="35" t="s">
        <v>43</v>
      </c>
      <c r="D222" s="35"/>
      <c r="E222" s="35">
        <f t="shared" si="34"/>
        <v>0</v>
      </c>
      <c r="F222" s="35"/>
      <c r="G222" s="35"/>
      <c r="H222" s="35"/>
      <c r="I222" s="35"/>
      <c r="J222" s="35"/>
      <c r="K222" s="35">
        <f t="shared" si="35"/>
        <v>0</v>
      </c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>
        <f t="shared" si="36"/>
        <v>0</v>
      </c>
      <c r="X222" s="35"/>
      <c r="Y222" s="35" t="s">
        <v>256</v>
      </c>
      <c r="Z222" s="55"/>
      <c r="AA222" s="35" t="s">
        <v>43</v>
      </c>
      <c r="AB222" s="35"/>
      <c r="AC222" s="35"/>
      <c r="AD222" s="35"/>
      <c r="AE222" s="35"/>
      <c r="AF222" s="35"/>
      <c r="AG222" s="35"/>
      <c r="AH222" s="35"/>
      <c r="AI222" s="45">
        <f t="shared" si="32"/>
        <v>0</v>
      </c>
      <c r="AJ222" s="45"/>
      <c r="AK222" s="35"/>
      <c r="AL222" s="35"/>
      <c r="AM222" s="35"/>
      <c r="AN222" s="35"/>
      <c r="AO222" s="35"/>
      <c r="AP222" s="35"/>
      <c r="AQ222" s="35"/>
      <c r="AR222" s="35"/>
      <c r="AS222" s="45">
        <f t="shared" si="33"/>
        <v>0</v>
      </c>
      <c r="AT222" s="45"/>
      <c r="AU222" s="35">
        <v>0</v>
      </c>
      <c r="AV222" s="35"/>
      <c r="AW222" s="35">
        <v>0</v>
      </c>
      <c r="AX222" s="35"/>
      <c r="AY222" s="35">
        <f t="shared" si="37"/>
        <v>0</v>
      </c>
      <c r="AZ222" s="35"/>
      <c r="BA222" s="35" t="s">
        <v>256</v>
      </c>
      <c r="BB222" s="55"/>
      <c r="BC222" s="35" t="s">
        <v>43</v>
      </c>
      <c r="BD222" s="35"/>
      <c r="BE222" s="35"/>
      <c r="BF222" s="35"/>
      <c r="BG222" s="35"/>
      <c r="BH222" s="35"/>
      <c r="BI222" s="35"/>
      <c r="BJ222" s="35"/>
      <c r="BK222" s="35"/>
      <c r="BL222" s="35"/>
      <c r="BM222" s="35">
        <f t="shared" si="39"/>
        <v>0</v>
      </c>
      <c r="BN222" s="54" t="s">
        <v>347</v>
      </c>
    </row>
    <row r="223" spans="1:67" ht="12.75" hidden="1" customHeight="1" x14ac:dyDescent="0.2">
      <c r="A223" s="35" t="s">
        <v>257</v>
      </c>
      <c r="C223" s="35" t="s">
        <v>258</v>
      </c>
      <c r="D223" s="35"/>
      <c r="E223" s="35">
        <f t="shared" si="34"/>
        <v>0</v>
      </c>
      <c r="F223" s="35"/>
      <c r="G223" s="35"/>
      <c r="H223" s="35"/>
      <c r="I223" s="35"/>
      <c r="J223" s="35"/>
      <c r="K223" s="35">
        <f t="shared" si="35"/>
        <v>0</v>
      </c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>
        <f t="shared" si="36"/>
        <v>0</v>
      </c>
      <c r="X223" s="35"/>
      <c r="Y223" s="35" t="s">
        <v>257</v>
      </c>
      <c r="Z223" s="55"/>
      <c r="AA223" s="35" t="s">
        <v>258</v>
      </c>
      <c r="AB223" s="35"/>
      <c r="AC223" s="35"/>
      <c r="AD223" s="35"/>
      <c r="AE223" s="35"/>
      <c r="AF223" s="35"/>
      <c r="AG223" s="35"/>
      <c r="AH223" s="35"/>
      <c r="AI223" s="45">
        <f t="shared" si="32"/>
        <v>0</v>
      </c>
      <c r="AJ223" s="45"/>
      <c r="AK223" s="35"/>
      <c r="AL223" s="35"/>
      <c r="AM223" s="35"/>
      <c r="AN223" s="35"/>
      <c r="AO223" s="35"/>
      <c r="AP223" s="35"/>
      <c r="AQ223" s="35"/>
      <c r="AR223" s="35"/>
      <c r="AS223" s="45">
        <f t="shared" si="33"/>
        <v>0</v>
      </c>
      <c r="AT223" s="45"/>
      <c r="AU223" s="35">
        <v>0</v>
      </c>
      <c r="AV223" s="35"/>
      <c r="AW223" s="35">
        <v>0</v>
      </c>
      <c r="AX223" s="35"/>
      <c r="AY223" s="35">
        <f t="shared" si="37"/>
        <v>0</v>
      </c>
      <c r="AZ223" s="35"/>
      <c r="BA223" s="35" t="s">
        <v>257</v>
      </c>
      <c r="BB223" s="55"/>
      <c r="BC223" s="35" t="s">
        <v>258</v>
      </c>
      <c r="BD223" s="35"/>
      <c r="BE223" s="35"/>
      <c r="BF223" s="35"/>
      <c r="BG223" s="35"/>
      <c r="BH223" s="35"/>
      <c r="BI223" s="35"/>
      <c r="BJ223" s="35"/>
      <c r="BK223" s="35"/>
      <c r="BL223" s="35"/>
      <c r="BM223" s="35">
        <f t="shared" si="39"/>
        <v>0</v>
      </c>
      <c r="BN223" s="54" t="s">
        <v>347</v>
      </c>
    </row>
    <row r="224" spans="1:67" ht="12.75" hidden="1" customHeight="1" x14ac:dyDescent="0.2">
      <c r="A224" s="35" t="s">
        <v>259</v>
      </c>
      <c r="C224" s="35" t="s">
        <v>369</v>
      </c>
      <c r="D224" s="35"/>
      <c r="E224" s="35">
        <f t="shared" si="34"/>
        <v>0</v>
      </c>
      <c r="F224" s="35"/>
      <c r="G224" s="35"/>
      <c r="H224" s="35"/>
      <c r="I224" s="35"/>
      <c r="J224" s="35"/>
      <c r="K224" s="35">
        <f t="shared" si="35"/>
        <v>0</v>
      </c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>
        <f t="shared" si="36"/>
        <v>0</v>
      </c>
      <c r="X224" s="35"/>
      <c r="Y224" s="35" t="s">
        <v>259</v>
      </c>
      <c r="Z224" s="55"/>
      <c r="AA224" s="35" t="s">
        <v>369</v>
      </c>
      <c r="AB224" s="35"/>
      <c r="AC224" s="35"/>
      <c r="AD224" s="35"/>
      <c r="AE224" s="35"/>
      <c r="AF224" s="35"/>
      <c r="AG224" s="35"/>
      <c r="AH224" s="35"/>
      <c r="AI224" s="45">
        <f t="shared" si="32"/>
        <v>0</v>
      </c>
      <c r="AJ224" s="45"/>
      <c r="AK224" s="35"/>
      <c r="AL224" s="35"/>
      <c r="AM224" s="35"/>
      <c r="AN224" s="35"/>
      <c r="AO224" s="35"/>
      <c r="AP224" s="35"/>
      <c r="AQ224" s="35"/>
      <c r="AR224" s="35"/>
      <c r="AS224" s="45">
        <f t="shared" si="33"/>
        <v>0</v>
      </c>
      <c r="AT224" s="45"/>
      <c r="AU224" s="35">
        <v>0</v>
      </c>
      <c r="AV224" s="35"/>
      <c r="AW224" s="35">
        <v>0</v>
      </c>
      <c r="AX224" s="35"/>
      <c r="AY224" s="35">
        <f t="shared" si="37"/>
        <v>0</v>
      </c>
      <c r="AZ224" s="35"/>
      <c r="BA224" s="35" t="s">
        <v>259</v>
      </c>
      <c r="BB224" s="55"/>
      <c r="BC224" s="35" t="s">
        <v>369</v>
      </c>
      <c r="BD224" s="35"/>
      <c r="BE224" s="35"/>
      <c r="BF224" s="35"/>
      <c r="BG224" s="35"/>
      <c r="BH224" s="35"/>
      <c r="BI224" s="35"/>
      <c r="BJ224" s="35"/>
      <c r="BK224" s="35"/>
      <c r="BL224" s="35"/>
      <c r="BM224" s="35">
        <f t="shared" si="39"/>
        <v>0</v>
      </c>
      <c r="BN224" s="54" t="s">
        <v>347</v>
      </c>
    </row>
    <row r="225" spans="1:66" ht="12.75" hidden="1" customHeight="1" x14ac:dyDescent="0.2">
      <c r="A225" s="35" t="s">
        <v>261</v>
      </c>
      <c r="C225" s="35" t="s">
        <v>66</v>
      </c>
      <c r="D225" s="35"/>
      <c r="E225" s="35">
        <f t="shared" si="34"/>
        <v>0</v>
      </c>
      <c r="F225" s="35"/>
      <c r="G225" s="35"/>
      <c r="H225" s="35"/>
      <c r="I225" s="35"/>
      <c r="J225" s="35"/>
      <c r="K225" s="35">
        <f t="shared" si="35"/>
        <v>0</v>
      </c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>
        <f t="shared" si="36"/>
        <v>0</v>
      </c>
      <c r="X225" s="35"/>
      <c r="Y225" s="35" t="s">
        <v>261</v>
      </c>
      <c r="Z225" s="55"/>
      <c r="AA225" s="35" t="s">
        <v>66</v>
      </c>
      <c r="AB225" s="35"/>
      <c r="AC225" s="35"/>
      <c r="AD225" s="35"/>
      <c r="AE225" s="35"/>
      <c r="AF225" s="35"/>
      <c r="AG225" s="35"/>
      <c r="AH225" s="35"/>
      <c r="AI225" s="45">
        <f t="shared" si="32"/>
        <v>0</v>
      </c>
      <c r="AJ225" s="45"/>
      <c r="AK225" s="35"/>
      <c r="AL225" s="35"/>
      <c r="AM225" s="35"/>
      <c r="AN225" s="35"/>
      <c r="AO225" s="35"/>
      <c r="AP225" s="35"/>
      <c r="AQ225" s="35"/>
      <c r="AR225" s="35"/>
      <c r="AS225" s="45">
        <f t="shared" si="33"/>
        <v>0</v>
      </c>
      <c r="AT225" s="45"/>
      <c r="AU225" s="35">
        <v>0</v>
      </c>
      <c r="AV225" s="35"/>
      <c r="AW225" s="35">
        <v>0</v>
      </c>
      <c r="AX225" s="35"/>
      <c r="AY225" s="35">
        <f t="shared" si="37"/>
        <v>0</v>
      </c>
      <c r="AZ225" s="35"/>
      <c r="BA225" s="35" t="s">
        <v>261</v>
      </c>
      <c r="BB225" s="55"/>
      <c r="BC225" s="35" t="s">
        <v>66</v>
      </c>
      <c r="BD225" s="35"/>
      <c r="BE225" s="35"/>
      <c r="BF225" s="35"/>
      <c r="BG225" s="35"/>
      <c r="BH225" s="35"/>
      <c r="BI225" s="35"/>
      <c r="BJ225" s="35"/>
      <c r="BK225" s="35"/>
      <c r="BL225" s="35"/>
      <c r="BM225" s="35">
        <f t="shared" si="39"/>
        <v>0</v>
      </c>
      <c r="BN225" s="54" t="s">
        <v>347</v>
      </c>
    </row>
    <row r="226" spans="1:66" ht="12.75" hidden="1" customHeight="1" x14ac:dyDescent="0.2">
      <c r="A226" s="35" t="s">
        <v>262</v>
      </c>
      <c r="C226" s="35" t="s">
        <v>132</v>
      </c>
      <c r="D226" s="35"/>
      <c r="E226" s="35">
        <f t="shared" si="34"/>
        <v>0</v>
      </c>
      <c r="F226" s="35"/>
      <c r="G226" s="35"/>
      <c r="H226" s="35"/>
      <c r="I226" s="35"/>
      <c r="J226" s="35"/>
      <c r="K226" s="35">
        <f t="shared" si="35"/>
        <v>0</v>
      </c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>
        <f t="shared" si="36"/>
        <v>0</v>
      </c>
      <c r="X226" s="35"/>
      <c r="Y226" s="35" t="s">
        <v>262</v>
      </c>
      <c r="Z226" s="55"/>
      <c r="AA226" s="35" t="s">
        <v>132</v>
      </c>
      <c r="AB226" s="35"/>
      <c r="AC226" s="35"/>
      <c r="AD226" s="35"/>
      <c r="AE226" s="35"/>
      <c r="AF226" s="35"/>
      <c r="AG226" s="35"/>
      <c r="AH226" s="35"/>
      <c r="AI226" s="45">
        <f t="shared" si="32"/>
        <v>0</v>
      </c>
      <c r="AJ226" s="45"/>
      <c r="AK226" s="35"/>
      <c r="AL226" s="35"/>
      <c r="AM226" s="35"/>
      <c r="AN226" s="35"/>
      <c r="AO226" s="35"/>
      <c r="AP226" s="35"/>
      <c r="AQ226" s="35"/>
      <c r="AR226" s="35"/>
      <c r="AS226" s="45">
        <f t="shared" si="33"/>
        <v>0</v>
      </c>
      <c r="AT226" s="45"/>
      <c r="AU226" s="35">
        <v>0</v>
      </c>
      <c r="AV226" s="35"/>
      <c r="AW226" s="35">
        <v>0</v>
      </c>
      <c r="AX226" s="35"/>
      <c r="AY226" s="35">
        <f t="shared" si="37"/>
        <v>0</v>
      </c>
      <c r="AZ226" s="35"/>
      <c r="BA226" s="35" t="s">
        <v>262</v>
      </c>
      <c r="BB226" s="55"/>
      <c r="BC226" s="35" t="s">
        <v>132</v>
      </c>
      <c r="BD226" s="35"/>
      <c r="BE226" s="35"/>
      <c r="BF226" s="35"/>
      <c r="BG226" s="35"/>
      <c r="BH226" s="35"/>
      <c r="BI226" s="35"/>
      <c r="BJ226" s="35"/>
      <c r="BK226" s="35"/>
      <c r="BL226" s="35"/>
      <c r="BM226" s="35">
        <f t="shared" si="39"/>
        <v>0</v>
      </c>
      <c r="BN226" s="54" t="s">
        <v>347</v>
      </c>
    </row>
    <row r="227" spans="1:66" ht="12.75" hidden="1" customHeight="1" x14ac:dyDescent="0.2">
      <c r="A227" s="44" t="s">
        <v>512</v>
      </c>
      <c r="B227" s="47"/>
      <c r="C227" s="44" t="s">
        <v>45</v>
      </c>
      <c r="D227" s="35"/>
      <c r="E227" s="35">
        <f t="shared" si="34"/>
        <v>0</v>
      </c>
      <c r="F227" s="35"/>
      <c r="G227" s="35"/>
      <c r="H227" s="35"/>
      <c r="I227" s="35"/>
      <c r="J227" s="35"/>
      <c r="K227" s="35">
        <f t="shared" si="35"/>
        <v>0</v>
      </c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>
        <f t="shared" si="36"/>
        <v>0</v>
      </c>
      <c r="X227" s="35"/>
      <c r="Y227" s="44" t="s">
        <v>512</v>
      </c>
      <c r="AA227" s="44" t="s">
        <v>45</v>
      </c>
      <c r="AB227" s="35"/>
      <c r="AC227" s="35"/>
      <c r="AD227" s="35"/>
      <c r="AE227" s="35"/>
      <c r="AF227" s="35"/>
      <c r="AG227" s="35"/>
      <c r="AH227" s="35"/>
      <c r="AI227" s="45">
        <f t="shared" si="32"/>
        <v>0</v>
      </c>
      <c r="AJ227" s="45"/>
      <c r="AK227" s="35"/>
      <c r="AL227" s="35"/>
      <c r="AM227" s="35"/>
      <c r="AN227" s="35"/>
      <c r="AO227" s="35"/>
      <c r="AP227" s="35"/>
      <c r="AQ227" s="35"/>
      <c r="AR227" s="35"/>
      <c r="AS227" s="45">
        <f t="shared" si="33"/>
        <v>0</v>
      </c>
      <c r="AT227" s="45"/>
      <c r="AU227" s="35">
        <v>0</v>
      </c>
      <c r="AV227" s="35"/>
      <c r="AW227" s="35">
        <v>0</v>
      </c>
      <c r="AX227" s="35"/>
      <c r="AY227" s="35">
        <f t="shared" si="37"/>
        <v>0</v>
      </c>
      <c r="AZ227" s="35"/>
      <c r="BA227" s="44" t="s">
        <v>512</v>
      </c>
      <c r="BC227" s="44" t="s">
        <v>45</v>
      </c>
      <c r="BD227" s="35"/>
      <c r="BE227" s="35"/>
      <c r="BF227" s="35"/>
      <c r="BG227" s="35"/>
      <c r="BH227" s="35"/>
      <c r="BI227" s="35"/>
      <c r="BJ227" s="35"/>
      <c r="BK227" s="35"/>
      <c r="BL227" s="35"/>
      <c r="BM227" s="35">
        <f t="shared" si="39"/>
        <v>0</v>
      </c>
      <c r="BN227" s="54" t="s">
        <v>347</v>
      </c>
    </row>
    <row r="228" spans="1:66" ht="12.75" customHeight="1" x14ac:dyDescent="0.2">
      <c r="A228" s="55" t="s">
        <v>263</v>
      </c>
      <c r="C228" s="55" t="s">
        <v>53</v>
      </c>
      <c r="E228" s="35">
        <f t="shared" si="34"/>
        <v>13101217</v>
      </c>
      <c r="F228" s="35"/>
      <c r="G228" s="35">
        <v>25817977</v>
      </c>
      <c r="H228" s="35"/>
      <c r="I228" s="35">
        <v>38919194</v>
      </c>
      <c r="J228" s="35"/>
      <c r="K228" s="35">
        <f t="shared" si="35"/>
        <v>7648413</v>
      </c>
      <c r="L228" s="35"/>
      <c r="M228" s="35">
        <v>7672284</v>
      </c>
      <c r="N228" s="35"/>
      <c r="O228" s="35">
        <v>15320697</v>
      </c>
      <c r="P228" s="35"/>
      <c r="Q228" s="35">
        <v>15576693</v>
      </c>
      <c r="R228" s="35"/>
      <c r="S228" s="35">
        <v>0</v>
      </c>
      <c r="T228" s="35"/>
      <c r="U228" s="35">
        <v>8021804</v>
      </c>
      <c r="V228" s="35"/>
      <c r="W228" s="35">
        <f t="shared" si="36"/>
        <v>23598497</v>
      </c>
      <c r="Y228" s="55" t="s">
        <v>263</v>
      </c>
      <c r="Z228" s="55"/>
      <c r="AA228" s="55" t="s">
        <v>53</v>
      </c>
      <c r="AC228" s="35">
        <v>28155529</v>
      </c>
      <c r="AD228" s="35"/>
      <c r="AE228" s="35">
        <f>28946379-1410281</f>
        <v>27536098</v>
      </c>
      <c r="AF228" s="35"/>
      <c r="AG228" s="35">
        <v>1410281</v>
      </c>
      <c r="AH228" s="35"/>
      <c r="AI228" s="45">
        <f t="shared" si="32"/>
        <v>-790850</v>
      </c>
      <c r="AJ228" s="45"/>
      <c r="AK228" s="35">
        <v>1493783</v>
      </c>
      <c r="AL228" s="35"/>
      <c r="AM228" s="35">
        <v>0</v>
      </c>
      <c r="AN228" s="35"/>
      <c r="AO228" s="35">
        <v>0</v>
      </c>
      <c r="AP228" s="35"/>
      <c r="AQ228" s="35">
        <v>0</v>
      </c>
      <c r="AR228" s="35"/>
      <c r="AS228" s="45">
        <f t="shared" si="33"/>
        <v>702933</v>
      </c>
      <c r="AT228" s="45"/>
      <c r="AU228" s="35">
        <v>0</v>
      </c>
      <c r="AV228" s="35"/>
      <c r="AW228" s="35">
        <v>0</v>
      </c>
      <c r="AX228" s="35"/>
      <c r="AY228" s="35">
        <f t="shared" si="37"/>
        <v>5452804</v>
      </c>
      <c r="AZ228" s="53"/>
      <c r="BA228" s="55" t="s">
        <v>263</v>
      </c>
      <c r="BB228" s="55"/>
      <c r="BC228" s="55" t="s">
        <v>53</v>
      </c>
      <c r="BE228" s="35">
        <f>253856+30551</f>
        <v>284407</v>
      </c>
      <c r="BF228" s="35"/>
      <c r="BG228" s="35">
        <f>6619243+558632</f>
        <v>7177875</v>
      </c>
      <c r="BH228" s="35"/>
      <c r="BI228" s="35">
        <v>0</v>
      </c>
      <c r="BJ228" s="35"/>
      <c r="BK228" s="35">
        <f>799185+125596</f>
        <v>924781</v>
      </c>
      <c r="BL228" s="35"/>
      <c r="BM228" s="35">
        <f t="shared" si="39"/>
        <v>8387063</v>
      </c>
      <c r="BN228" s="35"/>
    </row>
    <row r="229" spans="1:66" ht="12.75" customHeight="1" x14ac:dyDescent="0.2">
      <c r="A229" s="35" t="s">
        <v>264</v>
      </c>
      <c r="B229" s="55"/>
      <c r="C229" s="35" t="s">
        <v>239</v>
      </c>
      <c r="D229" s="35"/>
      <c r="E229" s="35">
        <f t="shared" si="34"/>
        <v>11281453</v>
      </c>
      <c r="F229" s="35"/>
      <c r="G229" s="35">
        <v>15379057</v>
      </c>
      <c r="H229" s="35"/>
      <c r="I229" s="35">
        <v>26660510</v>
      </c>
      <c r="J229" s="35"/>
      <c r="K229" s="35">
        <f t="shared" si="35"/>
        <v>1319897</v>
      </c>
      <c r="L229" s="35"/>
      <c r="M229" s="35">
        <v>260512</v>
      </c>
      <c r="N229" s="35"/>
      <c r="O229" s="35">
        <v>1580409</v>
      </c>
      <c r="P229" s="35"/>
      <c r="Q229" s="35">
        <v>15205991</v>
      </c>
      <c r="R229" s="35"/>
      <c r="S229" s="35">
        <v>0</v>
      </c>
      <c r="T229" s="35"/>
      <c r="U229" s="35">
        <v>9874110</v>
      </c>
      <c r="V229" s="35"/>
      <c r="W229" s="35">
        <f t="shared" si="36"/>
        <v>25080101</v>
      </c>
      <c r="X229" s="35"/>
      <c r="Y229" s="35" t="s">
        <v>264</v>
      </c>
      <c r="Z229" s="55"/>
      <c r="AA229" s="35" t="s">
        <v>239</v>
      </c>
      <c r="AB229" s="35"/>
      <c r="AC229" s="35">
        <v>14409841</v>
      </c>
      <c r="AD229" s="35"/>
      <c r="AE229" s="35">
        <f>13798345-349647</f>
        <v>13448698</v>
      </c>
      <c r="AF229" s="35"/>
      <c r="AG229" s="35">
        <v>349647</v>
      </c>
      <c r="AH229" s="35"/>
      <c r="AI229" s="45">
        <f t="shared" si="32"/>
        <v>611496</v>
      </c>
      <c r="AJ229" s="45"/>
      <c r="AK229" s="35">
        <v>10579</v>
      </c>
      <c r="AL229" s="35"/>
      <c r="AM229" s="35">
        <v>550000</v>
      </c>
      <c r="AN229" s="35"/>
      <c r="AO229" s="35">
        <v>32997</v>
      </c>
      <c r="AP229" s="35"/>
      <c r="AQ229" s="35">
        <v>0</v>
      </c>
      <c r="AR229" s="35"/>
      <c r="AS229" s="45">
        <f t="shared" si="33"/>
        <v>1139078</v>
      </c>
      <c r="AT229" s="45"/>
      <c r="AU229" s="35">
        <v>0</v>
      </c>
      <c r="AV229" s="35"/>
      <c r="AW229" s="35">
        <v>0</v>
      </c>
      <c r="AX229" s="35"/>
      <c r="AY229" s="35">
        <f t="shared" si="37"/>
        <v>9961556</v>
      </c>
      <c r="AZ229" s="35"/>
      <c r="BA229" s="35" t="s">
        <v>264</v>
      </c>
      <c r="BB229" s="55"/>
      <c r="BC229" s="35" t="s">
        <v>239</v>
      </c>
      <c r="BD229" s="35"/>
      <c r="BE229" s="35">
        <v>0</v>
      </c>
      <c r="BF229" s="35"/>
      <c r="BG229" s="35">
        <v>0</v>
      </c>
      <c r="BH229" s="35"/>
      <c r="BI229" s="35">
        <v>0</v>
      </c>
      <c r="BJ229" s="35"/>
      <c r="BK229" s="35">
        <f>260512+27648</f>
        <v>288160</v>
      </c>
      <c r="BL229" s="35"/>
      <c r="BM229" s="35">
        <f t="shared" si="39"/>
        <v>288160</v>
      </c>
      <c r="BN229" s="54" t="s">
        <v>347</v>
      </c>
    </row>
    <row r="230" spans="1:66" ht="12.75" hidden="1" customHeight="1" x14ac:dyDescent="0.2">
      <c r="A230" s="35" t="s">
        <v>111</v>
      </c>
      <c r="C230" s="44" t="s">
        <v>80</v>
      </c>
      <c r="D230" s="44"/>
      <c r="E230" s="35">
        <f t="shared" si="34"/>
        <v>0</v>
      </c>
      <c r="F230" s="35"/>
      <c r="G230" s="35"/>
      <c r="H230" s="35"/>
      <c r="I230" s="35"/>
      <c r="J230" s="35"/>
      <c r="K230" s="35">
        <f t="shared" si="35"/>
        <v>0</v>
      </c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>
        <f t="shared" si="36"/>
        <v>0</v>
      </c>
      <c r="X230" s="35"/>
      <c r="Y230" s="35" t="s">
        <v>111</v>
      </c>
      <c r="Z230" s="55"/>
      <c r="AA230" s="44" t="s">
        <v>80</v>
      </c>
      <c r="AB230" s="44"/>
      <c r="AC230" s="35"/>
      <c r="AD230" s="35"/>
      <c r="AE230" s="35"/>
      <c r="AF230" s="35"/>
      <c r="AG230" s="35"/>
      <c r="AH230" s="35"/>
      <c r="AI230" s="45">
        <f t="shared" ref="AI230:AI237" si="40">+AC230-AE230-AG230</f>
        <v>0</v>
      </c>
      <c r="AJ230" s="45"/>
      <c r="AK230" s="35"/>
      <c r="AL230" s="35"/>
      <c r="AM230" s="35"/>
      <c r="AN230" s="35"/>
      <c r="AO230" s="35"/>
      <c r="AP230" s="35"/>
      <c r="AQ230" s="35"/>
      <c r="AR230" s="35"/>
      <c r="AS230" s="45">
        <f t="shared" si="33"/>
        <v>0</v>
      </c>
      <c r="AT230" s="45"/>
      <c r="AU230" s="35">
        <v>0</v>
      </c>
      <c r="AV230" s="35"/>
      <c r="AW230" s="35">
        <v>0</v>
      </c>
      <c r="AX230" s="35"/>
      <c r="AY230" s="35">
        <f t="shared" si="37"/>
        <v>0</v>
      </c>
      <c r="AZ230" s="35"/>
      <c r="BA230" s="35" t="s">
        <v>111</v>
      </c>
      <c r="BB230" s="55"/>
      <c r="BC230" s="44" t="s">
        <v>80</v>
      </c>
      <c r="BD230" s="44"/>
      <c r="BE230" s="35"/>
      <c r="BF230" s="35"/>
      <c r="BG230" s="35"/>
      <c r="BH230" s="35"/>
      <c r="BI230" s="35"/>
      <c r="BJ230" s="35"/>
      <c r="BK230" s="35"/>
      <c r="BL230" s="35"/>
      <c r="BM230" s="35">
        <f t="shared" si="39"/>
        <v>0</v>
      </c>
      <c r="BN230" s="54" t="s">
        <v>347</v>
      </c>
    </row>
    <row r="231" spans="1:66" ht="12.75" hidden="1" customHeight="1" x14ac:dyDescent="0.2">
      <c r="A231" s="35" t="s">
        <v>265</v>
      </c>
      <c r="C231" s="44" t="s">
        <v>27</v>
      </c>
      <c r="D231" s="44"/>
      <c r="E231" s="35">
        <f t="shared" si="34"/>
        <v>0</v>
      </c>
      <c r="F231" s="35"/>
      <c r="G231" s="35"/>
      <c r="H231" s="35"/>
      <c r="I231" s="35"/>
      <c r="J231" s="35"/>
      <c r="K231" s="35">
        <f t="shared" si="35"/>
        <v>0</v>
      </c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>
        <f t="shared" si="36"/>
        <v>0</v>
      </c>
      <c r="X231" s="35"/>
      <c r="Y231" s="35" t="s">
        <v>265</v>
      </c>
      <c r="Z231" s="55"/>
      <c r="AA231" s="44" t="s">
        <v>27</v>
      </c>
      <c r="AB231" s="44"/>
      <c r="AC231" s="35"/>
      <c r="AD231" s="35"/>
      <c r="AE231" s="35"/>
      <c r="AF231" s="35"/>
      <c r="AG231" s="35"/>
      <c r="AH231" s="35"/>
      <c r="AI231" s="45">
        <f t="shared" si="40"/>
        <v>0</v>
      </c>
      <c r="AJ231" s="45"/>
      <c r="AK231" s="35"/>
      <c r="AL231" s="35"/>
      <c r="AM231" s="35"/>
      <c r="AN231" s="35"/>
      <c r="AO231" s="35"/>
      <c r="AP231" s="35"/>
      <c r="AQ231" s="35"/>
      <c r="AR231" s="35"/>
      <c r="AS231" s="45">
        <f t="shared" si="33"/>
        <v>0</v>
      </c>
      <c r="AT231" s="45"/>
      <c r="AU231" s="35">
        <v>0</v>
      </c>
      <c r="AV231" s="35"/>
      <c r="AW231" s="35">
        <v>0</v>
      </c>
      <c r="AX231" s="35"/>
      <c r="AY231" s="35">
        <f t="shared" si="37"/>
        <v>0</v>
      </c>
      <c r="AZ231" s="35"/>
      <c r="BA231" s="35" t="s">
        <v>265</v>
      </c>
      <c r="BB231" s="55"/>
      <c r="BC231" s="44" t="s">
        <v>27</v>
      </c>
      <c r="BD231" s="44"/>
      <c r="BE231" s="35"/>
      <c r="BF231" s="35"/>
      <c r="BG231" s="35"/>
      <c r="BH231" s="35"/>
      <c r="BI231" s="35"/>
      <c r="BJ231" s="35"/>
      <c r="BK231" s="35"/>
      <c r="BL231" s="35"/>
      <c r="BM231" s="35">
        <f t="shared" si="39"/>
        <v>0</v>
      </c>
      <c r="BN231" s="54" t="s">
        <v>347</v>
      </c>
    </row>
    <row r="232" spans="1:66" ht="12.75" hidden="1" customHeight="1" x14ac:dyDescent="0.2">
      <c r="A232" s="35" t="s">
        <v>40</v>
      </c>
      <c r="C232" s="47" t="s">
        <v>451</v>
      </c>
      <c r="D232" s="35"/>
      <c r="E232" s="35">
        <f t="shared" si="34"/>
        <v>0</v>
      </c>
      <c r="F232" s="35"/>
      <c r="G232" s="35"/>
      <c r="H232" s="35"/>
      <c r="I232" s="35"/>
      <c r="J232" s="35"/>
      <c r="K232" s="35">
        <f t="shared" si="35"/>
        <v>0</v>
      </c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>
        <f t="shared" si="36"/>
        <v>0</v>
      </c>
      <c r="X232" s="35"/>
      <c r="Y232" s="35" t="s">
        <v>40</v>
      </c>
      <c r="Z232" s="55"/>
      <c r="AA232" s="47" t="s">
        <v>451</v>
      </c>
      <c r="AB232" s="35"/>
      <c r="AC232" s="35"/>
      <c r="AD232" s="35"/>
      <c r="AE232" s="35"/>
      <c r="AF232" s="35"/>
      <c r="AG232" s="35"/>
      <c r="AH232" s="35"/>
      <c r="AI232" s="45">
        <f t="shared" si="40"/>
        <v>0</v>
      </c>
      <c r="AJ232" s="45"/>
      <c r="AK232" s="35"/>
      <c r="AL232" s="35"/>
      <c r="AM232" s="35"/>
      <c r="AN232" s="35"/>
      <c r="AO232" s="35"/>
      <c r="AP232" s="35"/>
      <c r="AQ232" s="35"/>
      <c r="AR232" s="35"/>
      <c r="AS232" s="45">
        <f t="shared" si="33"/>
        <v>0</v>
      </c>
      <c r="AT232" s="45"/>
      <c r="AU232" s="35">
        <v>0</v>
      </c>
      <c r="AV232" s="35"/>
      <c r="AW232" s="35">
        <v>0</v>
      </c>
      <c r="AX232" s="35"/>
      <c r="AY232" s="35">
        <f t="shared" si="37"/>
        <v>0</v>
      </c>
      <c r="AZ232" s="35"/>
      <c r="BA232" s="35" t="s">
        <v>40</v>
      </c>
      <c r="BB232" s="55"/>
      <c r="BC232" s="47" t="s">
        <v>451</v>
      </c>
      <c r="BD232" s="35"/>
      <c r="BE232" s="35"/>
      <c r="BF232" s="35"/>
      <c r="BG232" s="35"/>
      <c r="BH232" s="35"/>
      <c r="BI232" s="35"/>
      <c r="BJ232" s="35"/>
      <c r="BK232" s="35"/>
      <c r="BL232" s="35"/>
      <c r="BM232" s="35">
        <f t="shared" si="39"/>
        <v>0</v>
      </c>
      <c r="BN232" s="54" t="s">
        <v>347</v>
      </c>
    </row>
    <row r="233" spans="1:66" ht="12.75" hidden="1" customHeight="1" x14ac:dyDescent="0.2">
      <c r="A233" s="35" t="s">
        <v>266</v>
      </c>
      <c r="C233" s="35" t="s">
        <v>267</v>
      </c>
      <c r="D233" s="35"/>
      <c r="E233" s="35">
        <f t="shared" si="34"/>
        <v>0</v>
      </c>
      <c r="F233" s="35"/>
      <c r="G233" s="35"/>
      <c r="H233" s="35"/>
      <c r="I233" s="35"/>
      <c r="J233" s="35"/>
      <c r="K233" s="35">
        <f t="shared" si="35"/>
        <v>0</v>
      </c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>
        <f t="shared" si="36"/>
        <v>0</v>
      </c>
      <c r="X233" s="35"/>
      <c r="Y233" s="35" t="s">
        <v>266</v>
      </c>
      <c r="Z233" s="55"/>
      <c r="AA233" s="35" t="s">
        <v>267</v>
      </c>
      <c r="AB233" s="35"/>
      <c r="AC233" s="35"/>
      <c r="AD233" s="35"/>
      <c r="AE233" s="35"/>
      <c r="AF233" s="35"/>
      <c r="AG233" s="35"/>
      <c r="AH233" s="35"/>
      <c r="AI233" s="45">
        <f t="shared" si="40"/>
        <v>0</v>
      </c>
      <c r="AJ233" s="45"/>
      <c r="AK233" s="35"/>
      <c r="AL233" s="35"/>
      <c r="AM233" s="35"/>
      <c r="AN233" s="35"/>
      <c r="AO233" s="35"/>
      <c r="AP233" s="35"/>
      <c r="AQ233" s="35"/>
      <c r="AR233" s="35"/>
      <c r="AS233" s="45">
        <f t="shared" si="33"/>
        <v>0</v>
      </c>
      <c r="AT233" s="45"/>
      <c r="AU233" s="35">
        <v>0</v>
      </c>
      <c r="AV233" s="35"/>
      <c r="AW233" s="35">
        <v>0</v>
      </c>
      <c r="AX233" s="35"/>
      <c r="AY233" s="35">
        <f t="shared" si="37"/>
        <v>0</v>
      </c>
      <c r="AZ233" s="35"/>
      <c r="BA233" s="35" t="s">
        <v>266</v>
      </c>
      <c r="BB233" s="55"/>
      <c r="BC233" s="35" t="s">
        <v>267</v>
      </c>
      <c r="BD233" s="35"/>
      <c r="BE233" s="35"/>
      <c r="BF233" s="35"/>
      <c r="BG233" s="35"/>
      <c r="BH233" s="35"/>
      <c r="BI233" s="35"/>
      <c r="BJ233" s="35"/>
      <c r="BK233" s="35"/>
      <c r="BL233" s="35"/>
      <c r="BM233" s="35">
        <f t="shared" si="39"/>
        <v>0</v>
      </c>
      <c r="BN233" s="54" t="s">
        <v>347</v>
      </c>
    </row>
    <row r="234" spans="1:66" ht="12.75" hidden="1" customHeight="1" x14ac:dyDescent="0.2">
      <c r="A234" s="35" t="s">
        <v>268</v>
      </c>
      <c r="C234" s="35" t="s">
        <v>269</v>
      </c>
      <c r="D234" s="35"/>
      <c r="E234" s="35">
        <f t="shared" si="34"/>
        <v>0</v>
      </c>
      <c r="F234" s="35"/>
      <c r="G234" s="35"/>
      <c r="H234" s="35"/>
      <c r="I234" s="35"/>
      <c r="J234" s="35"/>
      <c r="K234" s="35">
        <f t="shared" si="35"/>
        <v>0</v>
      </c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>
        <f t="shared" si="36"/>
        <v>0</v>
      </c>
      <c r="X234" s="35"/>
      <c r="Y234" s="35" t="s">
        <v>268</v>
      </c>
      <c r="Z234" s="55"/>
      <c r="AA234" s="35" t="s">
        <v>269</v>
      </c>
      <c r="AB234" s="35"/>
      <c r="AC234" s="35"/>
      <c r="AD234" s="35"/>
      <c r="AE234" s="35"/>
      <c r="AF234" s="35"/>
      <c r="AG234" s="35"/>
      <c r="AH234" s="35"/>
      <c r="AI234" s="45">
        <f t="shared" si="40"/>
        <v>0</v>
      </c>
      <c r="AJ234" s="45"/>
      <c r="AK234" s="35"/>
      <c r="AL234" s="35"/>
      <c r="AM234" s="35"/>
      <c r="AN234" s="35"/>
      <c r="AO234" s="35"/>
      <c r="AP234" s="35"/>
      <c r="AQ234" s="35"/>
      <c r="AR234" s="35"/>
      <c r="AS234" s="45">
        <f t="shared" ref="AS234:AS237" si="41">+AI234+AK234+AM234-AO234+AQ234</f>
        <v>0</v>
      </c>
      <c r="AT234" s="45"/>
      <c r="AU234" s="35">
        <v>0</v>
      </c>
      <c r="AV234" s="35"/>
      <c r="AW234" s="35">
        <v>0</v>
      </c>
      <c r="AX234" s="35"/>
      <c r="AY234" s="35">
        <f t="shared" si="37"/>
        <v>0</v>
      </c>
      <c r="AZ234" s="35"/>
      <c r="BA234" s="35" t="s">
        <v>268</v>
      </c>
      <c r="BB234" s="55"/>
      <c r="BC234" s="35" t="s">
        <v>269</v>
      </c>
      <c r="BD234" s="35"/>
      <c r="BE234" s="35"/>
      <c r="BF234" s="35"/>
      <c r="BG234" s="35"/>
      <c r="BH234" s="35"/>
      <c r="BI234" s="35"/>
      <c r="BJ234" s="35"/>
      <c r="BK234" s="35"/>
      <c r="BL234" s="35"/>
      <c r="BM234" s="35">
        <v>0</v>
      </c>
      <c r="BN234" s="54" t="s">
        <v>347</v>
      </c>
    </row>
    <row r="235" spans="1:66" ht="12.75" hidden="1" customHeight="1" x14ac:dyDescent="0.2">
      <c r="A235" s="35" t="s">
        <v>270</v>
      </c>
      <c r="C235" s="35" t="s">
        <v>136</v>
      </c>
      <c r="D235" s="35"/>
      <c r="E235" s="35">
        <f t="shared" ref="E235:E237" si="42">I235-G235</f>
        <v>0</v>
      </c>
      <c r="F235" s="35"/>
      <c r="G235" s="35"/>
      <c r="H235" s="35"/>
      <c r="I235" s="35"/>
      <c r="J235" s="35"/>
      <c r="K235" s="35">
        <f t="shared" ref="K235:K237" si="43">O235-M235</f>
        <v>0</v>
      </c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>
        <f t="shared" ref="W235:W237" si="44">SUM(Q235:U235)</f>
        <v>0</v>
      </c>
      <c r="X235" s="35"/>
      <c r="Y235" s="35" t="s">
        <v>270</v>
      </c>
      <c r="Z235" s="55"/>
      <c r="AA235" s="35" t="s">
        <v>136</v>
      </c>
      <c r="AB235" s="35"/>
      <c r="AC235" s="35"/>
      <c r="AD235" s="35"/>
      <c r="AE235" s="35"/>
      <c r="AF235" s="35"/>
      <c r="AG235" s="35"/>
      <c r="AH235" s="35"/>
      <c r="AI235" s="45">
        <f t="shared" si="40"/>
        <v>0</v>
      </c>
      <c r="AJ235" s="45"/>
      <c r="AK235" s="35"/>
      <c r="AL235" s="35"/>
      <c r="AM235" s="35"/>
      <c r="AN235" s="35"/>
      <c r="AO235" s="35"/>
      <c r="AP235" s="35"/>
      <c r="AQ235" s="35"/>
      <c r="AR235" s="35"/>
      <c r="AS235" s="45">
        <f t="shared" si="41"/>
        <v>0</v>
      </c>
      <c r="AT235" s="45"/>
      <c r="AU235" s="35">
        <v>0</v>
      </c>
      <c r="AV235" s="35"/>
      <c r="AW235" s="35">
        <v>0</v>
      </c>
      <c r="AX235" s="35"/>
      <c r="AY235" s="35">
        <f t="shared" ref="AY235:AY237" si="45">+E235-K235</f>
        <v>0</v>
      </c>
      <c r="AZ235" s="35"/>
      <c r="BA235" s="35" t="s">
        <v>270</v>
      </c>
      <c r="BB235" s="55"/>
      <c r="BC235" s="35" t="s">
        <v>136</v>
      </c>
      <c r="BD235" s="35"/>
      <c r="BE235" s="35"/>
      <c r="BF235" s="35"/>
      <c r="BG235" s="35"/>
      <c r="BH235" s="35"/>
      <c r="BI235" s="35"/>
      <c r="BJ235" s="35"/>
      <c r="BK235" s="35"/>
      <c r="BL235" s="35"/>
      <c r="BM235" s="35">
        <f t="shared" ref="BM235:BM251" si="46">SUM(BE235:BK235)</f>
        <v>0</v>
      </c>
      <c r="BN235" s="54" t="s">
        <v>347</v>
      </c>
    </row>
    <row r="236" spans="1:66" ht="12.75" hidden="1" customHeight="1" x14ac:dyDescent="0.2">
      <c r="A236" s="35" t="s">
        <v>271</v>
      </c>
      <c r="C236" s="35" t="s">
        <v>66</v>
      </c>
      <c r="D236" s="35"/>
      <c r="E236" s="35">
        <f t="shared" si="42"/>
        <v>0</v>
      </c>
      <c r="F236" s="35"/>
      <c r="G236" s="35"/>
      <c r="H236" s="35"/>
      <c r="I236" s="35"/>
      <c r="J236" s="35"/>
      <c r="K236" s="35">
        <f t="shared" si="43"/>
        <v>0</v>
      </c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>
        <f t="shared" si="44"/>
        <v>0</v>
      </c>
      <c r="X236" s="35"/>
      <c r="Y236" s="35" t="s">
        <v>271</v>
      </c>
      <c r="Z236" s="55"/>
      <c r="AA236" s="35" t="s">
        <v>66</v>
      </c>
      <c r="AB236" s="35"/>
      <c r="AC236" s="35"/>
      <c r="AD236" s="35"/>
      <c r="AE236" s="35"/>
      <c r="AF236" s="35"/>
      <c r="AG236" s="35"/>
      <c r="AH236" s="35"/>
      <c r="AI236" s="45">
        <f t="shared" si="40"/>
        <v>0</v>
      </c>
      <c r="AJ236" s="45"/>
      <c r="AK236" s="35"/>
      <c r="AL236" s="35"/>
      <c r="AM236" s="35"/>
      <c r="AN236" s="35"/>
      <c r="AO236" s="35"/>
      <c r="AP236" s="35"/>
      <c r="AQ236" s="35"/>
      <c r="AR236" s="35"/>
      <c r="AS236" s="45">
        <f t="shared" si="41"/>
        <v>0</v>
      </c>
      <c r="AT236" s="45"/>
      <c r="AU236" s="35">
        <v>0</v>
      </c>
      <c r="AV236" s="35"/>
      <c r="AW236" s="35">
        <v>0</v>
      </c>
      <c r="AX236" s="35"/>
      <c r="AY236" s="35">
        <f t="shared" si="45"/>
        <v>0</v>
      </c>
      <c r="AZ236" s="35"/>
      <c r="BA236" s="35" t="s">
        <v>271</v>
      </c>
      <c r="BB236" s="55"/>
      <c r="BC236" s="35" t="s">
        <v>66</v>
      </c>
      <c r="BD236" s="35"/>
      <c r="BE236" s="35"/>
      <c r="BF236" s="35"/>
      <c r="BG236" s="35"/>
      <c r="BH236" s="35"/>
      <c r="BI236" s="35"/>
      <c r="BJ236" s="35"/>
      <c r="BK236" s="35"/>
      <c r="BL236" s="35"/>
      <c r="BM236" s="35">
        <f t="shared" si="46"/>
        <v>0</v>
      </c>
      <c r="BN236" s="54" t="s">
        <v>347</v>
      </c>
    </row>
    <row r="237" spans="1:66" ht="12.75" customHeight="1" x14ac:dyDescent="0.2">
      <c r="A237" s="35" t="s">
        <v>272</v>
      </c>
      <c r="C237" s="35" t="s">
        <v>43</v>
      </c>
      <c r="D237" s="35"/>
      <c r="E237" s="35">
        <f t="shared" si="42"/>
        <v>30251656</v>
      </c>
      <c r="F237" s="35"/>
      <c r="G237" s="35">
        <v>58091996</v>
      </c>
      <c r="H237" s="35"/>
      <c r="I237" s="35">
        <v>88343652</v>
      </c>
      <c r="J237" s="35"/>
      <c r="K237" s="35">
        <f t="shared" si="43"/>
        <v>6227435</v>
      </c>
      <c r="L237" s="35"/>
      <c r="M237" s="35">
        <v>26897522</v>
      </c>
      <c r="N237" s="35"/>
      <c r="O237" s="35">
        <v>33124957</v>
      </c>
      <c r="P237" s="35"/>
      <c r="Q237" s="35">
        <v>32273531</v>
      </c>
      <c r="R237" s="35"/>
      <c r="S237" s="35">
        <v>0</v>
      </c>
      <c r="T237" s="35"/>
      <c r="U237" s="35">
        <v>22945164</v>
      </c>
      <c r="V237" s="35"/>
      <c r="W237" s="35">
        <f t="shared" si="44"/>
        <v>55218695</v>
      </c>
      <c r="X237" s="35"/>
      <c r="Y237" s="35" t="s">
        <v>272</v>
      </c>
      <c r="Z237" s="55"/>
      <c r="AA237" s="35" t="s">
        <v>43</v>
      </c>
      <c r="AB237" s="35"/>
      <c r="AC237" s="35">
        <v>45196030</v>
      </c>
      <c r="AD237" s="35"/>
      <c r="AE237" s="35">
        <f>40347752-2258934</f>
        <v>38088818</v>
      </c>
      <c r="AF237" s="35"/>
      <c r="AG237" s="35">
        <v>2258934</v>
      </c>
      <c r="AH237" s="35"/>
      <c r="AI237" s="45">
        <f t="shared" si="40"/>
        <v>4848278</v>
      </c>
      <c r="AJ237" s="45"/>
      <c r="AK237" s="35">
        <f>-1523539+5993</f>
        <v>-1517546</v>
      </c>
      <c r="AL237" s="35"/>
      <c r="AM237" s="35">
        <v>0</v>
      </c>
      <c r="AN237" s="35"/>
      <c r="AO237" s="35">
        <v>0</v>
      </c>
      <c r="AP237" s="35"/>
      <c r="AQ237" s="35">
        <v>0</v>
      </c>
      <c r="AR237" s="35"/>
      <c r="AS237" s="45">
        <f t="shared" si="41"/>
        <v>3330732</v>
      </c>
      <c r="AT237" s="45"/>
      <c r="AU237" s="35">
        <v>0</v>
      </c>
      <c r="AV237" s="35"/>
      <c r="AW237" s="35">
        <v>0</v>
      </c>
      <c r="AX237" s="35"/>
      <c r="AY237" s="35">
        <f t="shared" si="45"/>
        <v>24024221</v>
      </c>
      <c r="AZ237" s="35"/>
      <c r="BA237" s="35" t="s">
        <v>272</v>
      </c>
      <c r="BB237" s="55"/>
      <c r="BC237" s="35" t="s">
        <v>43</v>
      </c>
      <c r="BD237" s="35"/>
      <c r="BE237" s="35">
        <f>26709059+1299925</f>
        <v>28008984</v>
      </c>
      <c r="BF237" s="35"/>
      <c r="BG237" s="35">
        <v>0</v>
      </c>
      <c r="BH237" s="35"/>
      <c r="BI237" s="35">
        <v>0</v>
      </c>
      <c r="BJ237" s="35"/>
      <c r="BK237" s="35">
        <f>188463+282877</f>
        <v>471340</v>
      </c>
      <c r="BL237" s="35"/>
      <c r="BM237" s="35">
        <f t="shared" si="46"/>
        <v>28480324</v>
      </c>
      <c r="BN237" s="54" t="s">
        <v>347</v>
      </c>
    </row>
    <row r="238" spans="1:66" ht="12.75" hidden="1" customHeight="1" x14ac:dyDescent="0.2">
      <c r="A238" s="35" t="s">
        <v>273</v>
      </c>
      <c r="C238" s="35" t="s">
        <v>27</v>
      </c>
      <c r="D238" s="35"/>
      <c r="E238" s="35">
        <f t="shared" ref="E238:E251" si="47">I238-G238</f>
        <v>0</v>
      </c>
      <c r="F238" s="35"/>
      <c r="G238" s="35">
        <v>0</v>
      </c>
      <c r="H238" s="35"/>
      <c r="I238" s="35">
        <v>0</v>
      </c>
      <c r="J238" s="35"/>
      <c r="K238" s="35">
        <f t="shared" ref="K238:K251" si="48">O238-M238</f>
        <v>0</v>
      </c>
      <c r="L238" s="35"/>
      <c r="M238" s="35">
        <v>0</v>
      </c>
      <c r="N238" s="35"/>
      <c r="O238" s="35">
        <v>0</v>
      </c>
      <c r="P238" s="35"/>
      <c r="Q238" s="35">
        <v>0</v>
      </c>
      <c r="R238" s="35"/>
      <c r="S238" s="35">
        <v>0</v>
      </c>
      <c r="T238" s="35"/>
      <c r="U238" s="35">
        <v>0</v>
      </c>
      <c r="V238" s="35"/>
      <c r="W238" s="35">
        <f t="shared" ref="W238:W251" si="49">SUM(Q238:U238)</f>
        <v>0</v>
      </c>
      <c r="X238" s="35"/>
      <c r="Y238" s="35" t="s">
        <v>273</v>
      </c>
      <c r="Z238" s="55"/>
      <c r="AA238" s="35" t="s">
        <v>27</v>
      </c>
      <c r="AB238" s="35"/>
      <c r="AC238" s="35">
        <v>0</v>
      </c>
      <c r="AD238" s="35"/>
      <c r="AE238" s="35">
        <v>0</v>
      </c>
      <c r="AF238" s="35"/>
      <c r="AG238" s="35">
        <v>0</v>
      </c>
      <c r="AH238" s="35"/>
      <c r="AI238" s="45">
        <f>+AC238-AE238-AG238</f>
        <v>0</v>
      </c>
      <c r="AJ238" s="45"/>
      <c r="AK238" s="35">
        <v>0</v>
      </c>
      <c r="AL238" s="35"/>
      <c r="AM238" s="35">
        <v>0</v>
      </c>
      <c r="AN238" s="35"/>
      <c r="AO238" s="35">
        <v>0</v>
      </c>
      <c r="AP238" s="35"/>
      <c r="AQ238" s="35">
        <v>0</v>
      </c>
      <c r="AR238" s="35"/>
      <c r="AS238" s="45">
        <f t="shared" ref="AS238:AS243" si="50">+AI238+AK238+AM238-AO238+AQ238</f>
        <v>0</v>
      </c>
      <c r="AT238" s="45"/>
      <c r="AU238" s="35">
        <v>0</v>
      </c>
      <c r="AV238" s="35"/>
      <c r="AW238" s="35">
        <v>0</v>
      </c>
      <c r="AX238" s="35"/>
      <c r="AY238" s="35">
        <f t="shared" ref="AY238:AY241" si="51">+E238-K238</f>
        <v>0</v>
      </c>
      <c r="AZ238" s="35"/>
      <c r="BA238" s="35" t="s">
        <v>273</v>
      </c>
      <c r="BB238" s="55"/>
      <c r="BC238" s="35" t="s">
        <v>27</v>
      </c>
      <c r="BD238" s="35"/>
      <c r="BE238" s="35"/>
      <c r="BF238" s="35"/>
      <c r="BG238" s="35"/>
      <c r="BH238" s="35"/>
      <c r="BI238" s="35"/>
      <c r="BJ238" s="35"/>
      <c r="BK238" s="35"/>
      <c r="BL238" s="35"/>
      <c r="BM238" s="35">
        <f t="shared" si="46"/>
        <v>0</v>
      </c>
      <c r="BN238" s="54" t="s">
        <v>347</v>
      </c>
    </row>
    <row r="239" spans="1:66" ht="12.75" hidden="1" customHeight="1" x14ac:dyDescent="0.2">
      <c r="A239" s="35" t="s">
        <v>274</v>
      </c>
      <c r="C239" s="35" t="s">
        <v>43</v>
      </c>
      <c r="D239" s="35"/>
      <c r="E239" s="35">
        <f t="shared" si="47"/>
        <v>0</v>
      </c>
      <c r="F239" s="35"/>
      <c r="G239" s="35">
        <v>0</v>
      </c>
      <c r="H239" s="35"/>
      <c r="I239" s="35">
        <v>0</v>
      </c>
      <c r="J239" s="35"/>
      <c r="K239" s="35">
        <f t="shared" si="48"/>
        <v>0</v>
      </c>
      <c r="L239" s="35"/>
      <c r="M239" s="35">
        <v>0</v>
      </c>
      <c r="N239" s="35"/>
      <c r="O239" s="35">
        <v>0</v>
      </c>
      <c r="P239" s="35"/>
      <c r="Q239" s="35">
        <v>0</v>
      </c>
      <c r="R239" s="35"/>
      <c r="S239" s="35">
        <v>0</v>
      </c>
      <c r="T239" s="35"/>
      <c r="U239" s="35">
        <v>0</v>
      </c>
      <c r="V239" s="35"/>
      <c r="W239" s="35">
        <f t="shared" si="49"/>
        <v>0</v>
      </c>
      <c r="X239" s="35"/>
      <c r="Y239" s="35" t="s">
        <v>274</v>
      </c>
      <c r="Z239" s="55"/>
      <c r="AA239" s="35" t="s">
        <v>43</v>
      </c>
      <c r="AB239" s="35"/>
      <c r="AC239" s="35">
        <v>0</v>
      </c>
      <c r="AD239" s="35"/>
      <c r="AE239" s="35">
        <v>0</v>
      </c>
      <c r="AF239" s="35"/>
      <c r="AG239" s="35">
        <v>0</v>
      </c>
      <c r="AH239" s="35"/>
      <c r="AI239" s="45">
        <v>0</v>
      </c>
      <c r="AJ239" s="45"/>
      <c r="AK239" s="35">
        <v>0</v>
      </c>
      <c r="AL239" s="35"/>
      <c r="AM239" s="35">
        <v>0</v>
      </c>
      <c r="AN239" s="35"/>
      <c r="AO239" s="35">
        <v>0</v>
      </c>
      <c r="AP239" s="35"/>
      <c r="AQ239" s="35">
        <v>0</v>
      </c>
      <c r="AR239" s="35"/>
      <c r="AS239" s="45">
        <f t="shared" si="50"/>
        <v>0</v>
      </c>
      <c r="AT239" s="45"/>
      <c r="AU239" s="35">
        <v>0</v>
      </c>
      <c r="AV239" s="35"/>
      <c r="AW239" s="35">
        <v>0</v>
      </c>
      <c r="AX239" s="35"/>
      <c r="AY239" s="35">
        <f t="shared" si="51"/>
        <v>0</v>
      </c>
      <c r="AZ239" s="35"/>
      <c r="BA239" s="35" t="s">
        <v>274</v>
      </c>
      <c r="BB239" s="55"/>
      <c r="BC239" s="35" t="s">
        <v>43</v>
      </c>
      <c r="BD239" s="35"/>
      <c r="BE239" s="35"/>
      <c r="BF239" s="35"/>
      <c r="BG239" s="35"/>
      <c r="BH239" s="35"/>
      <c r="BI239" s="35"/>
      <c r="BJ239" s="35"/>
      <c r="BK239" s="35"/>
      <c r="BL239" s="35"/>
      <c r="BM239" s="35">
        <f t="shared" si="46"/>
        <v>0</v>
      </c>
      <c r="BN239" s="54" t="s">
        <v>347</v>
      </c>
    </row>
    <row r="240" spans="1:66" ht="12.75" hidden="1" customHeight="1" x14ac:dyDescent="0.2">
      <c r="A240" s="35" t="s">
        <v>275</v>
      </c>
      <c r="C240" s="35" t="s">
        <v>92</v>
      </c>
      <c r="D240" s="35"/>
      <c r="E240" s="35">
        <f t="shared" si="47"/>
        <v>0</v>
      </c>
      <c r="F240" s="35"/>
      <c r="G240" s="35">
        <v>0</v>
      </c>
      <c r="H240" s="35"/>
      <c r="I240" s="35">
        <v>0</v>
      </c>
      <c r="J240" s="35"/>
      <c r="K240" s="35">
        <f t="shared" si="48"/>
        <v>0</v>
      </c>
      <c r="L240" s="35"/>
      <c r="M240" s="35">
        <v>0</v>
      </c>
      <c r="N240" s="35"/>
      <c r="O240" s="35">
        <v>0</v>
      </c>
      <c r="P240" s="35"/>
      <c r="Q240" s="35">
        <v>0</v>
      </c>
      <c r="R240" s="35"/>
      <c r="S240" s="35">
        <v>0</v>
      </c>
      <c r="T240" s="35"/>
      <c r="U240" s="35">
        <v>0</v>
      </c>
      <c r="V240" s="35"/>
      <c r="W240" s="35">
        <f t="shared" si="49"/>
        <v>0</v>
      </c>
      <c r="X240" s="35"/>
      <c r="Y240" s="35" t="s">
        <v>275</v>
      </c>
      <c r="Z240" s="55"/>
      <c r="AA240" s="35" t="s">
        <v>92</v>
      </c>
      <c r="AB240" s="35"/>
      <c r="AC240" s="35">
        <v>0</v>
      </c>
      <c r="AD240" s="35"/>
      <c r="AE240" s="35">
        <v>0</v>
      </c>
      <c r="AF240" s="35"/>
      <c r="AG240" s="35">
        <v>0</v>
      </c>
      <c r="AH240" s="35"/>
      <c r="AI240" s="45">
        <f t="shared" ref="AI240:AI247" si="52">+AC240-AE240-AG240</f>
        <v>0</v>
      </c>
      <c r="AJ240" s="45"/>
      <c r="AK240" s="35">
        <v>0</v>
      </c>
      <c r="AL240" s="35"/>
      <c r="AM240" s="35">
        <v>0</v>
      </c>
      <c r="AN240" s="35"/>
      <c r="AO240" s="35">
        <v>0</v>
      </c>
      <c r="AP240" s="35"/>
      <c r="AQ240" s="35">
        <v>0</v>
      </c>
      <c r="AR240" s="35"/>
      <c r="AS240" s="45">
        <f t="shared" si="50"/>
        <v>0</v>
      </c>
      <c r="AT240" s="45"/>
      <c r="AU240" s="35">
        <v>0</v>
      </c>
      <c r="AV240" s="35"/>
      <c r="AW240" s="35">
        <v>0</v>
      </c>
      <c r="AX240" s="35"/>
      <c r="AY240" s="35">
        <f t="shared" si="51"/>
        <v>0</v>
      </c>
      <c r="AZ240" s="35"/>
      <c r="BA240" s="35" t="s">
        <v>275</v>
      </c>
      <c r="BB240" s="55"/>
      <c r="BC240" s="35" t="s">
        <v>92</v>
      </c>
      <c r="BD240" s="35"/>
      <c r="BE240" s="35"/>
      <c r="BF240" s="35"/>
      <c r="BG240" s="35"/>
      <c r="BH240" s="35"/>
      <c r="BI240" s="35"/>
      <c r="BJ240" s="35"/>
      <c r="BK240" s="35"/>
      <c r="BL240" s="35"/>
      <c r="BM240" s="35">
        <f t="shared" si="46"/>
        <v>0</v>
      </c>
      <c r="BN240" s="54" t="s">
        <v>347</v>
      </c>
    </row>
    <row r="241" spans="1:67" ht="12.75" hidden="1" customHeight="1" x14ac:dyDescent="0.2">
      <c r="A241" s="35" t="s">
        <v>276</v>
      </c>
      <c r="C241" s="35" t="s">
        <v>38</v>
      </c>
      <c r="D241" s="35"/>
      <c r="E241" s="35">
        <f t="shared" si="47"/>
        <v>0</v>
      </c>
      <c r="F241" s="35"/>
      <c r="G241" s="35"/>
      <c r="H241" s="35"/>
      <c r="I241" s="35"/>
      <c r="J241" s="35"/>
      <c r="K241" s="35">
        <f t="shared" si="48"/>
        <v>0</v>
      </c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>
        <f t="shared" si="49"/>
        <v>0</v>
      </c>
      <c r="X241" s="35"/>
      <c r="Y241" s="35" t="s">
        <v>276</v>
      </c>
      <c r="Z241" s="55"/>
      <c r="AA241" s="35" t="s">
        <v>38</v>
      </c>
      <c r="AB241" s="35"/>
      <c r="AC241" s="35"/>
      <c r="AD241" s="35"/>
      <c r="AE241" s="35"/>
      <c r="AF241" s="35"/>
      <c r="AG241" s="35"/>
      <c r="AH241" s="35"/>
      <c r="AI241" s="45">
        <f t="shared" si="52"/>
        <v>0</v>
      </c>
      <c r="AJ241" s="45"/>
      <c r="AK241" s="35"/>
      <c r="AL241" s="35"/>
      <c r="AM241" s="35"/>
      <c r="AN241" s="35"/>
      <c r="AO241" s="35"/>
      <c r="AP241" s="35"/>
      <c r="AQ241" s="35"/>
      <c r="AR241" s="35"/>
      <c r="AS241" s="45">
        <f t="shared" si="50"/>
        <v>0</v>
      </c>
      <c r="AT241" s="45"/>
      <c r="AU241" s="35">
        <v>0</v>
      </c>
      <c r="AV241" s="35"/>
      <c r="AW241" s="35">
        <v>0</v>
      </c>
      <c r="AX241" s="35"/>
      <c r="AY241" s="35">
        <f t="shared" si="51"/>
        <v>0</v>
      </c>
      <c r="AZ241" s="35"/>
      <c r="BA241" s="35" t="s">
        <v>276</v>
      </c>
      <c r="BB241" s="55"/>
      <c r="BC241" s="35" t="s">
        <v>38</v>
      </c>
      <c r="BD241" s="35"/>
      <c r="BE241" s="35"/>
      <c r="BF241" s="35"/>
      <c r="BG241" s="35"/>
      <c r="BH241" s="35"/>
      <c r="BI241" s="35"/>
      <c r="BJ241" s="35"/>
      <c r="BK241" s="35"/>
      <c r="BL241" s="35"/>
      <c r="BM241" s="35">
        <f t="shared" si="46"/>
        <v>0</v>
      </c>
      <c r="BN241" s="54" t="s">
        <v>347</v>
      </c>
      <c r="BO241" s="35" t="s">
        <v>366</v>
      </c>
    </row>
    <row r="242" spans="1:67" ht="12.75" hidden="1" customHeight="1" x14ac:dyDescent="0.2">
      <c r="A242" s="35" t="s">
        <v>277</v>
      </c>
      <c r="C242" s="35" t="s">
        <v>92</v>
      </c>
      <c r="D242" s="35"/>
      <c r="E242" s="35">
        <f t="shared" si="47"/>
        <v>0</v>
      </c>
      <c r="F242" s="35"/>
      <c r="G242" s="35">
        <v>0</v>
      </c>
      <c r="H242" s="35"/>
      <c r="I242" s="35">
        <v>0</v>
      </c>
      <c r="J242" s="35"/>
      <c r="K242" s="35">
        <f t="shared" si="48"/>
        <v>0</v>
      </c>
      <c r="L242" s="35"/>
      <c r="M242" s="35">
        <v>0</v>
      </c>
      <c r="N242" s="35"/>
      <c r="O242" s="35">
        <v>0</v>
      </c>
      <c r="P242" s="35"/>
      <c r="Q242" s="35">
        <v>0</v>
      </c>
      <c r="R242" s="35"/>
      <c r="S242" s="35">
        <v>0</v>
      </c>
      <c r="T242" s="35"/>
      <c r="U242" s="35">
        <v>0</v>
      </c>
      <c r="V242" s="35"/>
      <c r="W242" s="35">
        <f t="shared" si="49"/>
        <v>0</v>
      </c>
      <c r="X242" s="35"/>
      <c r="Y242" s="35" t="s">
        <v>277</v>
      </c>
      <c r="Z242" s="55"/>
      <c r="AA242" s="35" t="s">
        <v>92</v>
      </c>
      <c r="AB242" s="35"/>
      <c r="AC242" s="35">
        <v>0</v>
      </c>
      <c r="AD242" s="35"/>
      <c r="AE242" s="35">
        <v>0</v>
      </c>
      <c r="AF242" s="35"/>
      <c r="AG242" s="35">
        <v>0</v>
      </c>
      <c r="AH242" s="35"/>
      <c r="AI242" s="45">
        <f t="shared" si="52"/>
        <v>0</v>
      </c>
      <c r="AJ242" s="45"/>
      <c r="AK242" s="35">
        <v>0</v>
      </c>
      <c r="AL242" s="35"/>
      <c r="AM242" s="35">
        <v>0</v>
      </c>
      <c r="AN242" s="35"/>
      <c r="AO242" s="35">
        <v>0</v>
      </c>
      <c r="AP242" s="35"/>
      <c r="AQ242" s="35">
        <v>0</v>
      </c>
      <c r="AR242" s="35"/>
      <c r="AS242" s="45">
        <f t="shared" si="50"/>
        <v>0</v>
      </c>
      <c r="AT242" s="45"/>
      <c r="AU242" s="35">
        <v>0</v>
      </c>
      <c r="AV242" s="35"/>
      <c r="AW242" s="35">
        <v>0</v>
      </c>
      <c r="AX242" s="35"/>
      <c r="AY242" s="35">
        <f t="shared" ref="AY242:AY251" si="53">+E242-K242</f>
        <v>0</v>
      </c>
      <c r="AZ242" s="35"/>
      <c r="BA242" s="35" t="s">
        <v>277</v>
      </c>
      <c r="BB242" s="55"/>
      <c r="BC242" s="35" t="s">
        <v>92</v>
      </c>
      <c r="BD242" s="35"/>
      <c r="BE242" s="35"/>
      <c r="BF242" s="35"/>
      <c r="BG242" s="35"/>
      <c r="BH242" s="35"/>
      <c r="BI242" s="35"/>
      <c r="BJ242" s="35"/>
      <c r="BK242" s="35"/>
      <c r="BL242" s="35"/>
      <c r="BM242" s="35">
        <f t="shared" si="46"/>
        <v>0</v>
      </c>
      <c r="BN242" s="54" t="s">
        <v>347</v>
      </c>
    </row>
    <row r="243" spans="1:67" ht="12.75" hidden="1" customHeight="1" x14ac:dyDescent="0.2">
      <c r="A243" s="35" t="s">
        <v>278</v>
      </c>
      <c r="C243" s="35" t="s">
        <v>92</v>
      </c>
      <c r="D243" s="35"/>
      <c r="E243" s="35">
        <f t="shared" si="47"/>
        <v>0</v>
      </c>
      <c r="F243" s="35"/>
      <c r="G243" s="35"/>
      <c r="H243" s="35"/>
      <c r="I243" s="35"/>
      <c r="J243" s="35"/>
      <c r="K243" s="35">
        <f t="shared" si="48"/>
        <v>0</v>
      </c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>
        <f t="shared" si="49"/>
        <v>0</v>
      </c>
      <c r="X243" s="35"/>
      <c r="Y243" s="35" t="s">
        <v>278</v>
      </c>
      <c r="Z243" s="55"/>
      <c r="AA243" s="35" t="s">
        <v>92</v>
      </c>
      <c r="AB243" s="35"/>
      <c r="AC243" s="35"/>
      <c r="AD243" s="35"/>
      <c r="AE243" s="35"/>
      <c r="AF243" s="35"/>
      <c r="AG243" s="35"/>
      <c r="AH243" s="35"/>
      <c r="AI243" s="45">
        <f t="shared" si="52"/>
        <v>0</v>
      </c>
      <c r="AJ243" s="45"/>
      <c r="AK243" s="35"/>
      <c r="AL243" s="35"/>
      <c r="AM243" s="35"/>
      <c r="AN243" s="35"/>
      <c r="AO243" s="35"/>
      <c r="AP243" s="35"/>
      <c r="AQ243" s="35"/>
      <c r="AR243" s="35"/>
      <c r="AS243" s="45">
        <f t="shared" si="50"/>
        <v>0</v>
      </c>
      <c r="AT243" s="45"/>
      <c r="AU243" s="35">
        <v>0</v>
      </c>
      <c r="AV243" s="35"/>
      <c r="AW243" s="35">
        <v>0</v>
      </c>
      <c r="AX243" s="35"/>
      <c r="AY243" s="35">
        <f t="shared" si="53"/>
        <v>0</v>
      </c>
      <c r="AZ243" s="35"/>
      <c r="BA243" s="35" t="s">
        <v>278</v>
      </c>
      <c r="BB243" s="55"/>
      <c r="BC243" s="35" t="s">
        <v>92</v>
      </c>
      <c r="BD243" s="35"/>
      <c r="BE243" s="35"/>
      <c r="BF243" s="35"/>
      <c r="BG243" s="35"/>
      <c r="BH243" s="35"/>
      <c r="BI243" s="35"/>
      <c r="BJ243" s="35"/>
      <c r="BK243" s="35"/>
      <c r="BL243" s="35"/>
      <c r="BM243" s="35">
        <f t="shared" si="46"/>
        <v>0</v>
      </c>
      <c r="BN243" s="54" t="s">
        <v>347</v>
      </c>
    </row>
    <row r="244" spans="1:67" ht="12.75" hidden="1" customHeight="1" x14ac:dyDescent="0.2">
      <c r="A244" s="35" t="s">
        <v>279</v>
      </c>
      <c r="C244" s="35" t="s">
        <v>92</v>
      </c>
      <c r="D244" s="35"/>
      <c r="E244" s="35">
        <f t="shared" si="47"/>
        <v>0</v>
      </c>
      <c r="F244" s="35"/>
      <c r="G244" s="35">
        <v>0</v>
      </c>
      <c r="H244" s="35"/>
      <c r="I244" s="35">
        <v>0</v>
      </c>
      <c r="J244" s="35"/>
      <c r="K244" s="35">
        <f t="shared" si="48"/>
        <v>0</v>
      </c>
      <c r="L244" s="35"/>
      <c r="M244" s="35">
        <v>0</v>
      </c>
      <c r="N244" s="35"/>
      <c r="O244" s="35">
        <v>0</v>
      </c>
      <c r="P244" s="35"/>
      <c r="Q244" s="35">
        <v>0</v>
      </c>
      <c r="R244" s="35"/>
      <c r="S244" s="35">
        <v>0</v>
      </c>
      <c r="T244" s="35"/>
      <c r="U244" s="35">
        <v>0</v>
      </c>
      <c r="V244" s="35"/>
      <c r="W244" s="35">
        <f t="shared" si="49"/>
        <v>0</v>
      </c>
      <c r="X244" s="35"/>
      <c r="Y244" s="35" t="s">
        <v>279</v>
      </c>
      <c r="Z244" s="55"/>
      <c r="AA244" s="35" t="s">
        <v>92</v>
      </c>
      <c r="AB244" s="35"/>
      <c r="AC244" s="35">
        <v>0</v>
      </c>
      <c r="AD244" s="35"/>
      <c r="AE244" s="35">
        <v>0</v>
      </c>
      <c r="AF244" s="35"/>
      <c r="AG244" s="35">
        <v>0</v>
      </c>
      <c r="AH244" s="35"/>
      <c r="AI244" s="45">
        <f t="shared" si="52"/>
        <v>0</v>
      </c>
      <c r="AJ244" s="45"/>
      <c r="AK244" s="35">
        <v>0</v>
      </c>
      <c r="AL244" s="35"/>
      <c r="AM244" s="35">
        <v>0</v>
      </c>
      <c r="AN244" s="35"/>
      <c r="AO244" s="35">
        <v>0</v>
      </c>
      <c r="AP244" s="35"/>
      <c r="AQ244" s="35">
        <v>0</v>
      </c>
      <c r="AR244" s="35"/>
      <c r="AS244" s="45">
        <v>0</v>
      </c>
      <c r="AT244" s="45"/>
      <c r="AU244" s="35">
        <v>0</v>
      </c>
      <c r="AV244" s="35"/>
      <c r="AW244" s="35">
        <v>0</v>
      </c>
      <c r="AX244" s="35"/>
      <c r="AY244" s="35">
        <f t="shared" si="53"/>
        <v>0</v>
      </c>
      <c r="AZ244" s="35"/>
      <c r="BA244" s="35" t="s">
        <v>279</v>
      </c>
      <c r="BB244" s="55"/>
      <c r="BC244" s="35" t="s">
        <v>92</v>
      </c>
      <c r="BD244" s="35"/>
      <c r="BE244" s="35"/>
      <c r="BF244" s="35"/>
      <c r="BG244" s="35"/>
      <c r="BH244" s="35"/>
      <c r="BI244" s="35"/>
      <c r="BJ244" s="35"/>
      <c r="BK244" s="35"/>
      <c r="BL244" s="35"/>
      <c r="BM244" s="35">
        <f t="shared" si="46"/>
        <v>0</v>
      </c>
      <c r="BN244" s="54" t="s">
        <v>347</v>
      </c>
      <c r="BO244" s="55" t="s">
        <v>367</v>
      </c>
    </row>
    <row r="245" spans="1:67" ht="12.75" hidden="1" customHeight="1" x14ac:dyDescent="0.2">
      <c r="A245" s="35" t="s">
        <v>280</v>
      </c>
      <c r="C245" s="35" t="s">
        <v>281</v>
      </c>
      <c r="D245" s="35"/>
      <c r="E245" s="35">
        <f t="shared" si="47"/>
        <v>0</v>
      </c>
      <c r="F245" s="35"/>
      <c r="G245" s="35">
        <v>0</v>
      </c>
      <c r="H245" s="35"/>
      <c r="I245" s="35">
        <v>0</v>
      </c>
      <c r="J245" s="35"/>
      <c r="K245" s="35">
        <f t="shared" si="48"/>
        <v>0</v>
      </c>
      <c r="L245" s="35"/>
      <c r="M245" s="35">
        <v>0</v>
      </c>
      <c r="N245" s="35"/>
      <c r="O245" s="35">
        <v>0</v>
      </c>
      <c r="P245" s="35"/>
      <c r="Q245" s="35">
        <v>0</v>
      </c>
      <c r="R245" s="35"/>
      <c r="S245" s="35">
        <v>0</v>
      </c>
      <c r="T245" s="35"/>
      <c r="U245" s="35">
        <v>0</v>
      </c>
      <c r="V245" s="35"/>
      <c r="W245" s="35">
        <f t="shared" si="49"/>
        <v>0</v>
      </c>
      <c r="X245" s="35"/>
      <c r="Y245" s="35" t="s">
        <v>280</v>
      </c>
      <c r="Z245" s="55"/>
      <c r="AA245" s="35" t="s">
        <v>281</v>
      </c>
      <c r="AB245" s="35"/>
      <c r="AC245" s="35">
        <v>0</v>
      </c>
      <c r="AD245" s="35"/>
      <c r="AE245" s="35">
        <v>0</v>
      </c>
      <c r="AF245" s="35"/>
      <c r="AG245" s="35">
        <v>0</v>
      </c>
      <c r="AH245" s="35"/>
      <c r="AI245" s="45">
        <f t="shared" si="52"/>
        <v>0</v>
      </c>
      <c r="AJ245" s="45"/>
      <c r="AK245" s="35">
        <v>0</v>
      </c>
      <c r="AL245" s="35"/>
      <c r="AM245" s="35">
        <v>0</v>
      </c>
      <c r="AN245" s="35"/>
      <c r="AO245" s="35">
        <v>0</v>
      </c>
      <c r="AP245" s="35"/>
      <c r="AQ245" s="35">
        <v>0</v>
      </c>
      <c r="AR245" s="35"/>
      <c r="AS245" s="45">
        <f t="shared" ref="AS245:AS251" si="54">+AI245+AK245+AM245-AO245+AQ245</f>
        <v>0</v>
      </c>
      <c r="AT245" s="45"/>
      <c r="AU245" s="35">
        <v>0</v>
      </c>
      <c r="AV245" s="35"/>
      <c r="AW245" s="35">
        <v>0</v>
      </c>
      <c r="AX245" s="35"/>
      <c r="AY245" s="35">
        <f t="shared" si="53"/>
        <v>0</v>
      </c>
      <c r="AZ245" s="35"/>
      <c r="BA245" s="35" t="s">
        <v>280</v>
      </c>
      <c r="BB245" s="55"/>
      <c r="BC245" s="35" t="s">
        <v>281</v>
      </c>
      <c r="BD245" s="35"/>
      <c r="BE245" s="35"/>
      <c r="BF245" s="35"/>
      <c r="BG245" s="35"/>
      <c r="BH245" s="35"/>
      <c r="BI245" s="35"/>
      <c r="BJ245" s="35"/>
      <c r="BK245" s="35"/>
      <c r="BL245" s="35"/>
      <c r="BM245" s="35">
        <f t="shared" si="46"/>
        <v>0</v>
      </c>
      <c r="BN245" s="54" t="s">
        <v>347</v>
      </c>
      <c r="BO245" s="55" t="s">
        <v>367</v>
      </c>
    </row>
    <row r="246" spans="1:67" ht="12.75" hidden="1" customHeight="1" x14ac:dyDescent="0.2">
      <c r="A246" s="35" t="s">
        <v>282</v>
      </c>
      <c r="C246" s="35" t="s">
        <v>199</v>
      </c>
      <c r="D246" s="35"/>
      <c r="E246" s="35">
        <f t="shared" si="47"/>
        <v>0</v>
      </c>
      <c r="F246" s="35"/>
      <c r="G246" s="35"/>
      <c r="H246" s="35"/>
      <c r="I246" s="35"/>
      <c r="J246" s="35"/>
      <c r="K246" s="35">
        <f t="shared" si="48"/>
        <v>0</v>
      </c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>
        <f t="shared" si="49"/>
        <v>0</v>
      </c>
      <c r="X246" s="35"/>
      <c r="Y246" s="35" t="s">
        <v>282</v>
      </c>
      <c r="Z246" s="55"/>
      <c r="AA246" s="35" t="s">
        <v>199</v>
      </c>
      <c r="AB246" s="35"/>
      <c r="AC246" s="35"/>
      <c r="AD246" s="35"/>
      <c r="AE246" s="35"/>
      <c r="AF246" s="35"/>
      <c r="AG246" s="35"/>
      <c r="AH246" s="35"/>
      <c r="AI246" s="45">
        <f t="shared" si="52"/>
        <v>0</v>
      </c>
      <c r="AJ246" s="45"/>
      <c r="AK246" s="35"/>
      <c r="AL246" s="35"/>
      <c r="AM246" s="35"/>
      <c r="AN246" s="35"/>
      <c r="AO246" s="35"/>
      <c r="AP246" s="35"/>
      <c r="AQ246" s="35"/>
      <c r="AR246" s="35"/>
      <c r="AS246" s="45">
        <f t="shared" si="54"/>
        <v>0</v>
      </c>
      <c r="AT246" s="45"/>
      <c r="AU246" s="35">
        <v>0</v>
      </c>
      <c r="AV246" s="35"/>
      <c r="AW246" s="35">
        <v>0</v>
      </c>
      <c r="AX246" s="35"/>
      <c r="AY246" s="35">
        <f t="shared" si="53"/>
        <v>0</v>
      </c>
      <c r="AZ246" s="35"/>
      <c r="BA246" s="35" t="s">
        <v>282</v>
      </c>
      <c r="BB246" s="55"/>
      <c r="BC246" s="35" t="s">
        <v>199</v>
      </c>
      <c r="BD246" s="35"/>
      <c r="BE246" s="35"/>
      <c r="BF246" s="35"/>
      <c r="BG246" s="35"/>
      <c r="BH246" s="35"/>
      <c r="BI246" s="35"/>
      <c r="BJ246" s="35"/>
      <c r="BK246" s="35"/>
      <c r="BL246" s="35"/>
      <c r="BM246" s="35">
        <f t="shared" si="46"/>
        <v>0</v>
      </c>
      <c r="BN246" s="54" t="s">
        <v>347</v>
      </c>
    </row>
    <row r="247" spans="1:67" ht="12.75" hidden="1" customHeight="1" x14ac:dyDescent="0.2">
      <c r="A247" s="35" t="s">
        <v>283</v>
      </c>
      <c r="C247" s="35" t="s">
        <v>43</v>
      </c>
      <c r="D247" s="35"/>
      <c r="E247" s="35">
        <f t="shared" si="47"/>
        <v>0</v>
      </c>
      <c r="F247" s="35"/>
      <c r="G247" s="35">
        <v>0</v>
      </c>
      <c r="H247" s="35"/>
      <c r="I247" s="35">
        <v>0</v>
      </c>
      <c r="J247" s="35"/>
      <c r="K247" s="35">
        <f t="shared" si="48"/>
        <v>0</v>
      </c>
      <c r="L247" s="35"/>
      <c r="M247" s="35">
        <v>0</v>
      </c>
      <c r="N247" s="35"/>
      <c r="O247" s="35">
        <v>0</v>
      </c>
      <c r="P247" s="35"/>
      <c r="Q247" s="35">
        <v>0</v>
      </c>
      <c r="R247" s="35"/>
      <c r="S247" s="35">
        <v>0</v>
      </c>
      <c r="T247" s="35"/>
      <c r="U247" s="35">
        <v>0</v>
      </c>
      <c r="V247" s="35"/>
      <c r="W247" s="35">
        <f t="shared" si="49"/>
        <v>0</v>
      </c>
      <c r="X247" s="35"/>
      <c r="Y247" s="35" t="s">
        <v>283</v>
      </c>
      <c r="Z247" s="55"/>
      <c r="AA247" s="35" t="s">
        <v>43</v>
      </c>
      <c r="AB247" s="35"/>
      <c r="AC247" s="35">
        <v>0</v>
      </c>
      <c r="AD247" s="35"/>
      <c r="AE247" s="35">
        <v>0</v>
      </c>
      <c r="AF247" s="35"/>
      <c r="AG247" s="35">
        <v>0</v>
      </c>
      <c r="AH247" s="35"/>
      <c r="AI247" s="45">
        <f t="shared" si="52"/>
        <v>0</v>
      </c>
      <c r="AJ247" s="45"/>
      <c r="AK247" s="35">
        <v>0</v>
      </c>
      <c r="AL247" s="35"/>
      <c r="AM247" s="35">
        <v>0</v>
      </c>
      <c r="AN247" s="35"/>
      <c r="AO247" s="35">
        <v>0</v>
      </c>
      <c r="AP247" s="35"/>
      <c r="AQ247" s="35">
        <v>0</v>
      </c>
      <c r="AR247" s="35"/>
      <c r="AS247" s="45">
        <f t="shared" si="54"/>
        <v>0</v>
      </c>
      <c r="AT247" s="45"/>
      <c r="AU247" s="35">
        <v>0</v>
      </c>
      <c r="AV247" s="35"/>
      <c r="AW247" s="35">
        <v>0</v>
      </c>
      <c r="AX247" s="35"/>
      <c r="AY247" s="35">
        <f t="shared" si="53"/>
        <v>0</v>
      </c>
      <c r="AZ247" s="35"/>
      <c r="BA247" s="35" t="s">
        <v>283</v>
      </c>
      <c r="BB247" s="55"/>
      <c r="BC247" s="35" t="s">
        <v>43</v>
      </c>
      <c r="BD247" s="35"/>
      <c r="BE247" s="35"/>
      <c r="BF247" s="35"/>
      <c r="BG247" s="35"/>
      <c r="BH247" s="35"/>
      <c r="BI247" s="35"/>
      <c r="BJ247" s="35"/>
      <c r="BK247" s="35"/>
      <c r="BL247" s="35"/>
      <c r="BM247" s="35">
        <f t="shared" si="46"/>
        <v>0</v>
      </c>
      <c r="BN247" s="54" t="s">
        <v>347</v>
      </c>
      <c r="BO247" s="55" t="s">
        <v>367</v>
      </c>
    </row>
    <row r="248" spans="1:67" ht="12.75" hidden="1" customHeight="1" x14ac:dyDescent="0.2">
      <c r="A248" s="35" t="s">
        <v>284</v>
      </c>
      <c r="C248" s="35" t="s">
        <v>45</v>
      </c>
      <c r="D248" s="35"/>
      <c r="E248" s="35">
        <f t="shared" si="47"/>
        <v>0</v>
      </c>
      <c r="F248" s="35"/>
      <c r="G248" s="35">
        <v>0</v>
      </c>
      <c r="H248" s="35"/>
      <c r="I248" s="35">
        <v>0</v>
      </c>
      <c r="J248" s="35"/>
      <c r="K248" s="35">
        <f t="shared" si="48"/>
        <v>0</v>
      </c>
      <c r="L248" s="35"/>
      <c r="M248" s="35">
        <v>0</v>
      </c>
      <c r="N248" s="35"/>
      <c r="O248" s="35">
        <v>0</v>
      </c>
      <c r="P248" s="35"/>
      <c r="Q248" s="35">
        <v>0</v>
      </c>
      <c r="R248" s="35"/>
      <c r="S248" s="35">
        <v>0</v>
      </c>
      <c r="T248" s="35"/>
      <c r="U248" s="35">
        <v>0</v>
      </c>
      <c r="V248" s="35"/>
      <c r="W248" s="35">
        <f t="shared" si="49"/>
        <v>0</v>
      </c>
      <c r="X248" s="35"/>
      <c r="Y248" s="35" t="s">
        <v>284</v>
      </c>
      <c r="Z248" s="55"/>
      <c r="AA248" s="35" t="s">
        <v>45</v>
      </c>
      <c r="AB248" s="35"/>
      <c r="AC248" s="35">
        <v>0</v>
      </c>
      <c r="AD248" s="35"/>
      <c r="AE248" s="35">
        <v>0</v>
      </c>
      <c r="AF248" s="35"/>
      <c r="AG248" s="35">
        <v>0</v>
      </c>
      <c r="AH248" s="35"/>
      <c r="AI248" s="45">
        <v>0</v>
      </c>
      <c r="AJ248" s="45"/>
      <c r="AK248" s="35">
        <v>0</v>
      </c>
      <c r="AL248" s="35"/>
      <c r="AM248" s="35">
        <v>0</v>
      </c>
      <c r="AN248" s="35"/>
      <c r="AO248" s="35">
        <v>0</v>
      </c>
      <c r="AP248" s="35"/>
      <c r="AQ248" s="35">
        <v>0</v>
      </c>
      <c r="AR248" s="35"/>
      <c r="AS248" s="45">
        <f t="shared" si="54"/>
        <v>0</v>
      </c>
      <c r="AT248" s="45"/>
      <c r="AU248" s="35">
        <v>0</v>
      </c>
      <c r="AV248" s="35"/>
      <c r="AW248" s="35">
        <v>0</v>
      </c>
      <c r="AX248" s="35"/>
      <c r="AY248" s="35">
        <f t="shared" si="53"/>
        <v>0</v>
      </c>
      <c r="AZ248" s="35"/>
      <c r="BA248" s="35" t="s">
        <v>284</v>
      </c>
      <c r="BB248" s="55"/>
      <c r="BC248" s="35" t="s">
        <v>45</v>
      </c>
      <c r="BD248" s="35"/>
      <c r="BE248" s="35"/>
      <c r="BF248" s="35"/>
      <c r="BG248" s="35"/>
      <c r="BH248" s="35"/>
      <c r="BI248" s="35"/>
      <c r="BJ248" s="35"/>
      <c r="BK248" s="35"/>
      <c r="BL248" s="35"/>
      <c r="BM248" s="35">
        <f t="shared" si="46"/>
        <v>0</v>
      </c>
      <c r="BN248" s="54" t="s">
        <v>347</v>
      </c>
    </row>
    <row r="249" spans="1:67" ht="12.75" hidden="1" customHeight="1" x14ac:dyDescent="0.2">
      <c r="A249" s="35" t="s">
        <v>285</v>
      </c>
      <c r="C249" s="35" t="s">
        <v>30</v>
      </c>
      <c r="D249" s="35"/>
      <c r="E249" s="35">
        <f t="shared" si="47"/>
        <v>0</v>
      </c>
      <c r="F249" s="35"/>
      <c r="G249" s="35">
        <v>0</v>
      </c>
      <c r="H249" s="35"/>
      <c r="I249" s="35">
        <v>0</v>
      </c>
      <c r="J249" s="35"/>
      <c r="K249" s="35">
        <f t="shared" si="48"/>
        <v>0</v>
      </c>
      <c r="L249" s="35"/>
      <c r="M249" s="35">
        <v>0</v>
      </c>
      <c r="N249" s="35"/>
      <c r="O249" s="35">
        <v>0</v>
      </c>
      <c r="P249" s="35"/>
      <c r="Q249" s="35">
        <v>0</v>
      </c>
      <c r="R249" s="35"/>
      <c r="S249" s="35">
        <v>0</v>
      </c>
      <c r="T249" s="35"/>
      <c r="U249" s="35">
        <v>0</v>
      </c>
      <c r="V249" s="35"/>
      <c r="W249" s="35">
        <f t="shared" si="49"/>
        <v>0</v>
      </c>
      <c r="X249" s="35"/>
      <c r="Y249" s="35" t="s">
        <v>285</v>
      </c>
      <c r="Z249" s="55"/>
      <c r="AA249" s="35" t="s">
        <v>30</v>
      </c>
      <c r="AB249" s="35"/>
      <c r="AC249" s="35">
        <v>0</v>
      </c>
      <c r="AD249" s="35"/>
      <c r="AE249" s="35">
        <v>0</v>
      </c>
      <c r="AF249" s="35"/>
      <c r="AG249" s="35">
        <v>0</v>
      </c>
      <c r="AH249" s="35"/>
      <c r="AI249" s="45">
        <f>+AC249-AE249-AG249</f>
        <v>0</v>
      </c>
      <c r="AJ249" s="45"/>
      <c r="AK249" s="35">
        <v>0</v>
      </c>
      <c r="AL249" s="35"/>
      <c r="AM249" s="35">
        <v>0</v>
      </c>
      <c r="AN249" s="35"/>
      <c r="AO249" s="35">
        <v>0</v>
      </c>
      <c r="AP249" s="35"/>
      <c r="AQ249" s="35">
        <v>0</v>
      </c>
      <c r="AR249" s="35"/>
      <c r="AS249" s="45">
        <f t="shared" si="54"/>
        <v>0</v>
      </c>
      <c r="AT249" s="45"/>
      <c r="AU249" s="35">
        <v>0</v>
      </c>
      <c r="AV249" s="35"/>
      <c r="AW249" s="35">
        <v>0</v>
      </c>
      <c r="AX249" s="35"/>
      <c r="AY249" s="35">
        <f t="shared" si="53"/>
        <v>0</v>
      </c>
      <c r="AZ249" s="35"/>
      <c r="BA249" s="35" t="s">
        <v>285</v>
      </c>
      <c r="BB249" s="55"/>
      <c r="BC249" s="35" t="s">
        <v>30</v>
      </c>
      <c r="BD249" s="35"/>
      <c r="BE249" s="35"/>
      <c r="BF249" s="35"/>
      <c r="BG249" s="35"/>
      <c r="BH249" s="35"/>
      <c r="BI249" s="35"/>
      <c r="BJ249" s="35"/>
      <c r="BK249" s="35"/>
      <c r="BL249" s="35"/>
      <c r="BM249" s="35">
        <f t="shared" si="46"/>
        <v>0</v>
      </c>
      <c r="BN249" s="54" t="s">
        <v>347</v>
      </c>
    </row>
    <row r="250" spans="1:67" ht="12.75" hidden="1" customHeight="1" x14ac:dyDescent="0.2">
      <c r="A250" s="35" t="s">
        <v>286</v>
      </c>
      <c r="C250" s="35" t="s">
        <v>61</v>
      </c>
      <c r="D250" s="35"/>
      <c r="E250" s="35">
        <f t="shared" si="47"/>
        <v>0</v>
      </c>
      <c r="F250" s="35"/>
      <c r="G250" s="35"/>
      <c r="H250" s="35"/>
      <c r="I250" s="35"/>
      <c r="J250" s="35"/>
      <c r="K250" s="35">
        <f t="shared" si="48"/>
        <v>0</v>
      </c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>
        <f t="shared" si="49"/>
        <v>0</v>
      </c>
      <c r="X250" s="35"/>
      <c r="Y250" s="35" t="s">
        <v>286</v>
      </c>
      <c r="Z250" s="55"/>
      <c r="AA250" s="35" t="s">
        <v>61</v>
      </c>
      <c r="AB250" s="35"/>
      <c r="AC250" s="35"/>
      <c r="AD250" s="35"/>
      <c r="AE250" s="35"/>
      <c r="AF250" s="35"/>
      <c r="AG250" s="35"/>
      <c r="AH250" s="35"/>
      <c r="AI250" s="45">
        <f>+AC250-AE250-AG250</f>
        <v>0</v>
      </c>
      <c r="AJ250" s="45"/>
      <c r="AK250" s="35"/>
      <c r="AL250" s="35"/>
      <c r="AM250" s="35"/>
      <c r="AN250" s="35"/>
      <c r="AO250" s="35"/>
      <c r="AP250" s="35"/>
      <c r="AQ250" s="35"/>
      <c r="AR250" s="35"/>
      <c r="AS250" s="45">
        <f t="shared" si="54"/>
        <v>0</v>
      </c>
      <c r="AT250" s="45"/>
      <c r="AU250" s="35">
        <v>0</v>
      </c>
      <c r="AV250" s="35"/>
      <c r="AW250" s="35">
        <v>0</v>
      </c>
      <c r="AX250" s="35"/>
      <c r="AY250" s="35">
        <f t="shared" si="53"/>
        <v>0</v>
      </c>
      <c r="AZ250" s="35"/>
      <c r="BA250" s="35" t="s">
        <v>286</v>
      </c>
      <c r="BB250" s="55"/>
      <c r="BC250" s="35" t="s">
        <v>61</v>
      </c>
      <c r="BD250" s="35"/>
      <c r="BE250" s="35"/>
      <c r="BF250" s="35"/>
      <c r="BG250" s="35"/>
      <c r="BH250" s="35"/>
      <c r="BI250" s="35"/>
      <c r="BJ250" s="35"/>
      <c r="BK250" s="35"/>
      <c r="BL250" s="35"/>
      <c r="BM250" s="35">
        <f t="shared" si="46"/>
        <v>0</v>
      </c>
      <c r="BN250" s="54" t="s">
        <v>347</v>
      </c>
    </row>
    <row r="251" spans="1:67" ht="12.75" hidden="1" customHeight="1" x14ac:dyDescent="0.2">
      <c r="A251" s="35" t="s">
        <v>287</v>
      </c>
      <c r="C251" s="35" t="s">
        <v>288</v>
      </c>
      <c r="D251" s="35"/>
      <c r="E251" s="35">
        <f t="shared" si="47"/>
        <v>0</v>
      </c>
      <c r="F251" s="35"/>
      <c r="G251" s="35">
        <v>0</v>
      </c>
      <c r="H251" s="35"/>
      <c r="I251" s="35">
        <v>0</v>
      </c>
      <c r="J251" s="35"/>
      <c r="K251" s="35">
        <f t="shared" si="48"/>
        <v>0</v>
      </c>
      <c r="L251" s="35"/>
      <c r="M251" s="35">
        <v>0</v>
      </c>
      <c r="N251" s="35"/>
      <c r="O251" s="35">
        <v>0</v>
      </c>
      <c r="P251" s="35"/>
      <c r="Q251" s="35">
        <v>0</v>
      </c>
      <c r="R251" s="35"/>
      <c r="S251" s="35">
        <v>0</v>
      </c>
      <c r="T251" s="35"/>
      <c r="U251" s="35">
        <v>0</v>
      </c>
      <c r="V251" s="35"/>
      <c r="W251" s="35">
        <f t="shared" si="49"/>
        <v>0</v>
      </c>
      <c r="X251" s="35"/>
      <c r="Y251" s="35" t="s">
        <v>287</v>
      </c>
      <c r="Z251" s="55"/>
      <c r="AA251" s="35" t="s">
        <v>288</v>
      </c>
      <c r="AB251" s="35"/>
      <c r="AC251" s="35">
        <v>0</v>
      </c>
      <c r="AD251" s="35"/>
      <c r="AE251" s="35">
        <v>0</v>
      </c>
      <c r="AF251" s="35"/>
      <c r="AG251" s="35">
        <v>0</v>
      </c>
      <c r="AH251" s="35"/>
      <c r="AI251" s="45">
        <f>+AC251-AE251-AG251</f>
        <v>0</v>
      </c>
      <c r="AJ251" s="45"/>
      <c r="AK251" s="35">
        <v>0</v>
      </c>
      <c r="AL251" s="35"/>
      <c r="AM251" s="35">
        <v>0</v>
      </c>
      <c r="AN251" s="35"/>
      <c r="AO251" s="35">
        <v>0</v>
      </c>
      <c r="AP251" s="35"/>
      <c r="AQ251" s="35">
        <v>0</v>
      </c>
      <c r="AR251" s="35"/>
      <c r="AS251" s="45">
        <f t="shared" si="54"/>
        <v>0</v>
      </c>
      <c r="AT251" s="45"/>
      <c r="AU251" s="35">
        <v>0</v>
      </c>
      <c r="AV251" s="35"/>
      <c r="AW251" s="35">
        <v>0</v>
      </c>
      <c r="AX251" s="35"/>
      <c r="AY251" s="35">
        <f t="shared" si="53"/>
        <v>0</v>
      </c>
      <c r="AZ251" s="35"/>
      <c r="BA251" s="35" t="s">
        <v>287</v>
      </c>
      <c r="BB251" s="55"/>
      <c r="BC251" s="35" t="s">
        <v>288</v>
      </c>
      <c r="BD251" s="35"/>
      <c r="BE251" s="35"/>
      <c r="BF251" s="35"/>
      <c r="BG251" s="35"/>
      <c r="BH251" s="35"/>
      <c r="BI251" s="35"/>
      <c r="BJ251" s="35"/>
      <c r="BK251" s="35"/>
      <c r="BL251" s="35"/>
      <c r="BM251" s="35">
        <f t="shared" si="46"/>
        <v>0</v>
      </c>
      <c r="BN251" s="54" t="s">
        <v>347</v>
      </c>
    </row>
    <row r="252" spans="1:67" ht="12.75" customHeight="1" x14ac:dyDescent="0.2"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5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B252" s="5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</row>
    <row r="253" spans="1:67" ht="12.75" customHeight="1" x14ac:dyDescent="0.2"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5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B253" s="5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</row>
    <row r="254" spans="1:67" ht="12.75" customHeight="1" x14ac:dyDescent="0.2"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5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B254" s="5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</row>
    <row r="255" spans="1:67" ht="12.75" customHeight="1" x14ac:dyDescent="0.2"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5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B255" s="5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</row>
    <row r="256" spans="1:67" ht="12.75" customHeight="1" x14ac:dyDescent="0.2"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5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B256" s="5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</row>
    <row r="257" spans="5:66" ht="12.75" customHeight="1" x14ac:dyDescent="0.2"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5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B257" s="5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</row>
    <row r="258" spans="5:66" ht="12.75" customHeight="1" x14ac:dyDescent="0.2"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5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B258" s="5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</row>
    <row r="259" spans="5:66" ht="12.75" customHeight="1" x14ac:dyDescent="0.2"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5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B259" s="5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</row>
    <row r="260" spans="5:66" ht="12.75" customHeight="1" x14ac:dyDescent="0.2"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5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B260" s="5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</row>
    <row r="261" spans="5:66" ht="12.75" customHeight="1" x14ac:dyDescent="0.2"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5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B261" s="5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</row>
    <row r="262" spans="5:66" ht="12.75" customHeight="1" x14ac:dyDescent="0.2"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5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B262" s="5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</row>
    <row r="263" spans="5:66" ht="12.75" customHeight="1" x14ac:dyDescent="0.2"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5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B263" s="5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</row>
    <row r="264" spans="5:66" ht="12.75" customHeight="1" x14ac:dyDescent="0.2"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5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B264" s="5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</row>
    <row r="265" spans="5:66" ht="12.75" customHeight="1" x14ac:dyDescent="0.2"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5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B265" s="5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</row>
    <row r="266" spans="5:66" ht="12.75" customHeight="1" x14ac:dyDescent="0.2"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5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B266" s="5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</row>
    <row r="267" spans="5:66" ht="12.75" customHeight="1" x14ac:dyDescent="0.2"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5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B267" s="5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</row>
    <row r="268" spans="5:66" ht="12.75" customHeight="1" x14ac:dyDescent="0.2"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5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B268" s="5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</row>
    <row r="269" spans="5:66" ht="12.75" customHeight="1" x14ac:dyDescent="0.2"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5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B269" s="5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</row>
    <row r="270" spans="5:66" ht="12.75" customHeight="1" x14ac:dyDescent="0.2"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Z270" s="5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B270" s="5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</row>
    <row r="271" spans="5:66" ht="12.75" customHeight="1" x14ac:dyDescent="0.2"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Z271" s="5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B271" s="5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</row>
    <row r="272" spans="5:66" ht="12.75" customHeight="1" x14ac:dyDescent="0.2"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Z272" s="5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B272" s="5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</row>
    <row r="273" spans="5:66" ht="12.75" customHeight="1" x14ac:dyDescent="0.2"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Z273" s="5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B273" s="5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</row>
    <row r="274" spans="5:66" ht="12.75" customHeight="1" x14ac:dyDescent="0.2">
      <c r="Z274" s="55"/>
      <c r="BB274" s="55"/>
      <c r="BE274" s="45"/>
      <c r="BG274" s="45"/>
      <c r="BI274" s="45"/>
      <c r="BK274" s="45"/>
    </row>
    <row r="275" spans="5:66" ht="12.75" customHeight="1" x14ac:dyDescent="0.2">
      <c r="Z275" s="55"/>
      <c r="BB275" s="55"/>
      <c r="BE275" s="45"/>
      <c r="BG275" s="45"/>
      <c r="BI275" s="45"/>
      <c r="BK275" s="45"/>
    </row>
    <row r="276" spans="5:66" ht="12.75" customHeight="1" x14ac:dyDescent="0.2">
      <c r="Z276" s="55"/>
      <c r="BB276" s="55"/>
      <c r="BE276" s="45"/>
      <c r="BG276" s="45"/>
      <c r="BI276" s="45"/>
      <c r="BK276" s="45"/>
    </row>
    <row r="277" spans="5:66" ht="12.75" customHeight="1" x14ac:dyDescent="0.2">
      <c r="Z277" s="55"/>
      <c r="BB277" s="55"/>
      <c r="BE277" s="45"/>
      <c r="BG277" s="45"/>
      <c r="BI277" s="45"/>
      <c r="BK277" s="45"/>
    </row>
    <row r="278" spans="5:66" ht="12.75" customHeight="1" x14ac:dyDescent="0.2">
      <c r="Z278" s="55"/>
      <c r="BB278" s="55"/>
      <c r="BE278" s="45"/>
      <c r="BG278" s="45"/>
      <c r="BI278" s="45"/>
      <c r="BK278" s="45"/>
    </row>
    <row r="279" spans="5:66" ht="12.75" customHeight="1" x14ac:dyDescent="0.2">
      <c r="Z279" s="55"/>
      <c r="BB279" s="55"/>
      <c r="BE279" s="45"/>
      <c r="BG279" s="45"/>
      <c r="BI279" s="45"/>
      <c r="BK279" s="45"/>
    </row>
    <row r="280" spans="5:66" ht="12.75" customHeight="1" x14ac:dyDescent="0.2">
      <c r="Z280" s="55"/>
      <c r="BB280" s="55"/>
      <c r="BE280" s="45"/>
      <c r="BG280" s="45"/>
      <c r="BI280" s="45"/>
      <c r="BK280" s="45"/>
    </row>
    <row r="281" spans="5:66" ht="12.75" customHeight="1" x14ac:dyDescent="0.2">
      <c r="Z281" s="55"/>
      <c r="BB281" s="55"/>
      <c r="BE281" s="45"/>
      <c r="BG281" s="45"/>
      <c r="BI281" s="45"/>
      <c r="BK281" s="45"/>
    </row>
    <row r="282" spans="5:66" ht="12.75" customHeight="1" x14ac:dyDescent="0.2">
      <c r="Z282" s="55"/>
      <c r="BB282" s="55"/>
      <c r="BE282" s="45"/>
      <c r="BG282" s="45"/>
      <c r="BI282" s="45"/>
      <c r="BK282" s="45"/>
    </row>
    <row r="283" spans="5:66" ht="12.75" customHeight="1" x14ac:dyDescent="0.2">
      <c r="Z283" s="55"/>
      <c r="BB283" s="55"/>
      <c r="BE283" s="45"/>
      <c r="BG283" s="45"/>
      <c r="BI283" s="45"/>
      <c r="BK283" s="45"/>
    </row>
    <row r="284" spans="5:66" ht="12.75" customHeight="1" x14ac:dyDescent="0.2">
      <c r="Z284" s="55"/>
      <c r="BB284" s="55"/>
      <c r="BE284" s="45"/>
      <c r="BG284" s="45"/>
      <c r="BI284" s="45"/>
      <c r="BK284" s="45"/>
    </row>
    <row r="285" spans="5:66" ht="12.75" customHeight="1" x14ac:dyDescent="0.2">
      <c r="Z285" s="55"/>
      <c r="BB285" s="55"/>
      <c r="BE285" s="45"/>
      <c r="BG285" s="45"/>
      <c r="BI285" s="45"/>
      <c r="BK285" s="45"/>
    </row>
    <row r="286" spans="5:66" ht="12.75" customHeight="1" x14ac:dyDescent="0.2">
      <c r="Z286" s="55"/>
      <c r="BB286" s="55"/>
      <c r="BE286" s="45"/>
      <c r="BG286" s="45"/>
      <c r="BI286" s="45"/>
      <c r="BK286" s="45"/>
    </row>
    <row r="287" spans="5:66" ht="12.75" customHeight="1" x14ac:dyDescent="0.2">
      <c r="Z287" s="55"/>
      <c r="BB287" s="55"/>
      <c r="BE287" s="45"/>
      <c r="BG287" s="45"/>
      <c r="BI287" s="45"/>
      <c r="BK287" s="45"/>
    </row>
    <row r="288" spans="5:66" ht="12.75" customHeight="1" x14ac:dyDescent="0.2">
      <c r="Z288" s="55"/>
      <c r="BB288" s="55"/>
      <c r="BE288" s="45"/>
      <c r="BG288" s="45"/>
      <c r="BI288" s="45"/>
      <c r="BK288" s="45"/>
    </row>
    <row r="289" spans="26:63" ht="12.75" customHeight="1" x14ac:dyDescent="0.2">
      <c r="Z289" s="55"/>
      <c r="BB289" s="55"/>
      <c r="BE289" s="45"/>
      <c r="BG289" s="45"/>
      <c r="BI289" s="45"/>
      <c r="BK289" s="45"/>
    </row>
    <row r="290" spans="26:63" ht="12.75" customHeight="1" x14ac:dyDescent="0.2">
      <c r="Z290" s="55"/>
      <c r="BB290" s="55"/>
      <c r="BE290" s="45"/>
      <c r="BG290" s="45"/>
      <c r="BI290" s="45"/>
      <c r="BK290" s="45"/>
    </row>
    <row r="291" spans="26:63" ht="12.75" customHeight="1" x14ac:dyDescent="0.2">
      <c r="Z291" s="55"/>
      <c r="BB291" s="55"/>
      <c r="BE291" s="45"/>
      <c r="BG291" s="45"/>
      <c r="BI291" s="45"/>
      <c r="BK291" s="45"/>
    </row>
    <row r="292" spans="26:63" ht="12.75" customHeight="1" x14ac:dyDescent="0.2">
      <c r="Z292" s="55"/>
      <c r="BB292" s="55"/>
      <c r="BE292" s="45"/>
      <c r="BG292" s="45"/>
      <c r="BI292" s="45"/>
      <c r="BK292" s="45"/>
    </row>
    <row r="293" spans="26:63" ht="12.75" customHeight="1" x14ac:dyDescent="0.2">
      <c r="Z293" s="55"/>
      <c r="BB293" s="55"/>
      <c r="BE293" s="45"/>
      <c r="BG293" s="45"/>
      <c r="BI293" s="45"/>
      <c r="BK293" s="45"/>
    </row>
    <row r="294" spans="26:63" ht="12.75" customHeight="1" x14ac:dyDescent="0.2">
      <c r="Z294" s="55"/>
      <c r="BB294" s="55"/>
      <c r="BE294" s="45"/>
      <c r="BG294" s="45"/>
      <c r="BI294" s="45"/>
      <c r="BK294" s="45"/>
    </row>
    <row r="295" spans="26:63" ht="12.75" customHeight="1" x14ac:dyDescent="0.2">
      <c r="Z295" s="55"/>
      <c r="BB295" s="55"/>
      <c r="BE295" s="45"/>
      <c r="BG295" s="45"/>
      <c r="BI295" s="45"/>
      <c r="BK295" s="45"/>
    </row>
    <row r="296" spans="26:63" ht="12.75" customHeight="1" x14ac:dyDescent="0.2">
      <c r="Z296" s="55"/>
      <c r="BB296" s="55"/>
      <c r="BE296" s="45"/>
      <c r="BG296" s="45"/>
      <c r="BI296" s="45"/>
      <c r="BK296" s="45"/>
    </row>
    <row r="297" spans="26:63" ht="12.75" customHeight="1" x14ac:dyDescent="0.2">
      <c r="Z297" s="55"/>
      <c r="BB297" s="55"/>
      <c r="BE297" s="45"/>
      <c r="BG297" s="45"/>
      <c r="BI297" s="45"/>
      <c r="BK297" s="45"/>
    </row>
    <row r="298" spans="26:63" ht="12.75" customHeight="1" x14ac:dyDescent="0.2">
      <c r="Z298" s="55"/>
      <c r="BB298" s="55"/>
      <c r="BE298" s="45"/>
      <c r="BG298" s="45"/>
      <c r="BI298" s="45"/>
      <c r="BK298" s="45"/>
    </row>
    <row r="299" spans="26:63" ht="12.75" customHeight="1" x14ac:dyDescent="0.2">
      <c r="Z299" s="55"/>
      <c r="BB299" s="55"/>
      <c r="BE299" s="45"/>
      <c r="BG299" s="45"/>
      <c r="BI299" s="45"/>
      <c r="BK299" s="45"/>
    </row>
    <row r="300" spans="26:63" ht="12.75" customHeight="1" x14ac:dyDescent="0.2">
      <c r="Z300" s="55"/>
      <c r="BB300" s="55"/>
      <c r="BE300" s="45"/>
      <c r="BG300" s="45"/>
      <c r="BI300" s="45"/>
      <c r="BK300" s="45"/>
    </row>
    <row r="301" spans="26:63" ht="12.75" customHeight="1" x14ac:dyDescent="0.2">
      <c r="Z301" s="55"/>
      <c r="BB301" s="55"/>
      <c r="BE301" s="45"/>
      <c r="BG301" s="45"/>
      <c r="BI301" s="45"/>
      <c r="BK301" s="45"/>
    </row>
    <row r="302" spans="26:63" ht="12.75" customHeight="1" x14ac:dyDescent="0.2">
      <c r="Z302" s="55"/>
      <c r="BB302" s="55"/>
      <c r="BE302" s="45"/>
      <c r="BG302" s="45"/>
      <c r="BI302" s="45"/>
      <c r="BK302" s="45"/>
    </row>
    <row r="303" spans="26:63" ht="12.75" customHeight="1" x14ac:dyDescent="0.2">
      <c r="Z303" s="55"/>
      <c r="BB303" s="55"/>
      <c r="BE303" s="45"/>
      <c r="BG303" s="45"/>
      <c r="BI303" s="45"/>
      <c r="BK303" s="45"/>
    </row>
    <row r="304" spans="26:63" ht="12.75" customHeight="1" x14ac:dyDescent="0.2">
      <c r="Z304" s="55"/>
      <c r="BB304" s="55"/>
      <c r="BE304" s="45"/>
      <c r="BG304" s="45"/>
      <c r="BI304" s="45"/>
      <c r="BK304" s="45"/>
    </row>
    <row r="305" spans="26:63" ht="12.75" customHeight="1" x14ac:dyDescent="0.2">
      <c r="Z305" s="55"/>
      <c r="BB305" s="55"/>
      <c r="BE305" s="45"/>
      <c r="BG305" s="45"/>
      <c r="BI305" s="45"/>
      <c r="BK305" s="45"/>
    </row>
    <row r="306" spans="26:63" ht="12.75" customHeight="1" x14ac:dyDescent="0.2">
      <c r="Z306" s="55"/>
      <c r="BB306" s="55"/>
      <c r="BE306" s="45"/>
      <c r="BG306" s="45"/>
      <c r="BI306" s="45"/>
      <c r="BK306" s="45"/>
    </row>
    <row r="307" spans="26:63" ht="12.75" customHeight="1" x14ac:dyDescent="0.2">
      <c r="Z307" s="55"/>
      <c r="BB307" s="55"/>
      <c r="BE307" s="45"/>
      <c r="BG307" s="45"/>
      <c r="BI307" s="45"/>
      <c r="BK307" s="45"/>
    </row>
    <row r="308" spans="26:63" ht="12.75" customHeight="1" x14ac:dyDescent="0.2">
      <c r="Z308" s="55"/>
      <c r="BB308" s="55"/>
      <c r="BE308" s="45"/>
      <c r="BG308" s="45"/>
      <c r="BI308" s="45"/>
      <c r="BK308" s="45"/>
    </row>
    <row r="309" spans="26:63" ht="12.75" customHeight="1" x14ac:dyDescent="0.2">
      <c r="Z309" s="55"/>
      <c r="BB309" s="55"/>
      <c r="BE309" s="45"/>
      <c r="BG309" s="45"/>
      <c r="BI309" s="45"/>
      <c r="BK309" s="45"/>
    </row>
    <row r="310" spans="26:63" ht="12.75" customHeight="1" x14ac:dyDescent="0.2">
      <c r="Z310" s="55"/>
      <c r="BB310" s="55"/>
      <c r="BE310" s="45"/>
      <c r="BG310" s="45"/>
      <c r="BI310" s="45"/>
      <c r="BK310" s="45"/>
    </row>
    <row r="311" spans="26:63" ht="12.75" customHeight="1" x14ac:dyDescent="0.2">
      <c r="Z311" s="55"/>
      <c r="BB311" s="55"/>
      <c r="BE311" s="45"/>
      <c r="BG311" s="45"/>
      <c r="BI311" s="45"/>
      <c r="BK311" s="45"/>
    </row>
    <row r="312" spans="26:63" ht="12.75" customHeight="1" x14ac:dyDescent="0.2">
      <c r="Z312" s="55"/>
      <c r="BB312" s="55"/>
      <c r="BE312" s="45"/>
      <c r="BG312" s="45"/>
      <c r="BI312" s="45"/>
      <c r="BK312" s="45"/>
    </row>
    <row r="313" spans="26:63" ht="12.75" customHeight="1" x14ac:dyDescent="0.2">
      <c r="Z313" s="55"/>
      <c r="BB313" s="55"/>
      <c r="BE313" s="45"/>
      <c r="BG313" s="45"/>
      <c r="BI313" s="45"/>
      <c r="BK313" s="45"/>
    </row>
    <row r="314" spans="26:63" ht="12.75" customHeight="1" x14ac:dyDescent="0.2">
      <c r="Z314" s="55"/>
      <c r="BB314" s="55"/>
      <c r="BE314" s="45"/>
      <c r="BG314" s="45"/>
      <c r="BI314" s="45"/>
      <c r="BK314" s="45"/>
    </row>
    <row r="315" spans="26:63" ht="12.75" customHeight="1" x14ac:dyDescent="0.2">
      <c r="Z315" s="55"/>
      <c r="BB315" s="55"/>
    </row>
    <row r="316" spans="26:63" ht="12.75" customHeight="1" x14ac:dyDescent="0.2">
      <c r="Z316" s="55"/>
      <c r="BB316" s="55"/>
    </row>
    <row r="317" spans="26:63" ht="12.75" customHeight="1" x14ac:dyDescent="0.2">
      <c r="Z317" s="55"/>
      <c r="BB317" s="55"/>
    </row>
    <row r="318" spans="26:63" ht="12.75" customHeight="1" x14ac:dyDescent="0.2">
      <c r="Z318" s="55"/>
      <c r="BB318" s="55"/>
    </row>
  </sheetData>
  <mergeCells count="1">
    <mergeCell ref="Q6:U6"/>
  </mergeCells>
  <phoneticPr fontId="4" type="noConversion"/>
  <pageMargins left="0.75" right="0.75" top="0.5" bottom="0.5" header="0" footer="0.25"/>
  <pageSetup scale="94" firstPageNumber="130" pageOrder="overThenDown" orientation="portrait" useFirstPageNumber="1" r:id="rId1"/>
  <headerFooter alignWithMargins="0">
    <oddFooter>&amp;C&amp;"Times New Roman,Regular"&amp;11&amp;P</oddFooter>
  </headerFooter>
  <colBreaks count="2" manualBreakCount="2">
    <brk id="13" min="10" max="232" man="1"/>
    <brk id="38" min="10" max="23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07"/>
  <sheetViews>
    <sheetView view="pageBreakPreview" zoomScaleNormal="100" zoomScaleSheetLayoutView="100" workbookViewId="0">
      <pane xSplit="3" ySplit="8" topLeftCell="D9" activePane="bottomRight" state="frozen"/>
      <selection pane="topRight" activeCell="D1" sqref="D1"/>
      <selection pane="bottomLeft" activeCell="A10" sqref="A10"/>
      <selection pane="bottomRight" activeCell="C5" sqref="C5"/>
    </sheetView>
  </sheetViews>
  <sheetFormatPr defaultColWidth="9.140625" defaultRowHeight="12.75" customHeight="1" x14ac:dyDescent="0.2"/>
  <cols>
    <col min="1" max="1" width="18.42578125" style="57" customWidth="1"/>
    <col min="2" max="2" width="1.7109375" customWidth="1"/>
    <col min="3" max="3" width="11.28515625" style="57" customWidth="1"/>
    <col min="4" max="4" width="1.7109375" style="57" customWidth="1"/>
    <col min="5" max="5" width="12.140625" style="57" bestFit="1" customWidth="1"/>
    <col min="6" max="6" width="1.7109375" style="57" customWidth="1"/>
    <col min="7" max="7" width="11.7109375" style="57" customWidth="1"/>
    <col min="8" max="8" width="1.7109375" style="57" customWidth="1"/>
    <col min="9" max="9" width="11.7109375" style="57" customWidth="1"/>
    <col min="10" max="10" width="1.7109375" style="57" customWidth="1"/>
    <col min="11" max="11" width="11.7109375" style="57" customWidth="1"/>
    <col min="12" max="12" width="1.7109375" style="57" customWidth="1"/>
    <col min="13" max="13" width="11.7109375" style="57" customWidth="1"/>
    <col min="14" max="14" width="1.7109375" style="57" customWidth="1"/>
    <col min="15" max="15" width="11.7109375" style="57" customWidth="1"/>
    <col min="16" max="16" width="1.7109375" style="57" customWidth="1"/>
    <col min="17" max="17" width="12.140625" style="57" bestFit="1" customWidth="1"/>
    <col min="18" max="18" width="1.7109375" style="57" customWidth="1"/>
    <col min="19" max="19" width="12.85546875" style="57" bestFit="1" customWidth="1"/>
    <col min="20" max="20" width="1.7109375" style="57" customWidth="1"/>
    <col min="21" max="21" width="12.140625" style="2" bestFit="1" customWidth="1"/>
    <col min="22" max="22" width="1.7109375" style="57" customWidth="1"/>
    <col min="23" max="23" width="11.85546875" style="2" bestFit="1" customWidth="1"/>
    <col min="24" max="24" width="1.7109375" style="57" customWidth="1"/>
    <col min="25" max="25" width="13.140625" style="57" bestFit="1" customWidth="1"/>
    <col min="26" max="26" width="1.7109375" style="57" customWidth="1"/>
    <col min="27" max="27" width="13.28515625" style="57" bestFit="1" customWidth="1"/>
    <col min="28" max="28" width="1.7109375" style="57" customWidth="1"/>
    <col min="29" max="30" width="11.5703125" style="57" bestFit="1" customWidth="1"/>
    <col min="31" max="16384" width="9.140625" style="57"/>
  </cols>
  <sheetData>
    <row r="1" spans="1:25" s="69" customFormat="1" ht="12.75" customHeight="1" x14ac:dyDescent="0.2">
      <c r="A1" s="20" t="s">
        <v>421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"/>
      <c r="U1" s="1"/>
      <c r="W1" s="1"/>
    </row>
    <row r="2" spans="1:25" s="69" customFormat="1" ht="12.75" customHeight="1" x14ac:dyDescent="0.2">
      <c r="A2" s="20" t="s">
        <v>500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1"/>
      <c r="U2" s="1"/>
      <c r="W2" s="1"/>
    </row>
    <row r="3" spans="1:25" ht="12.75" customHeight="1" x14ac:dyDescent="0.2">
      <c r="A3" s="22" t="s">
        <v>289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2"/>
    </row>
    <row r="4" spans="1:25" ht="12.75" customHeight="1" x14ac:dyDescent="0.2">
      <c r="A4" s="22" t="s">
        <v>484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</row>
    <row r="5" spans="1:25" ht="12.75" customHeight="1" x14ac:dyDescent="0.2">
      <c r="A5" s="22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2"/>
    </row>
    <row r="6" spans="1:25" s="71" customFormat="1" ht="12.75" customHeight="1" x14ac:dyDescent="0.2">
      <c r="A6" s="6"/>
      <c r="C6" s="6"/>
      <c r="D6" s="6"/>
      <c r="E6" s="6" t="s">
        <v>296</v>
      </c>
      <c r="F6" s="6"/>
      <c r="G6" s="6" t="s">
        <v>328</v>
      </c>
      <c r="H6" s="6"/>
      <c r="I6" s="6"/>
      <c r="J6" s="6"/>
      <c r="K6" s="6"/>
      <c r="L6" s="6"/>
      <c r="M6" s="6"/>
      <c r="N6" s="6"/>
      <c r="O6" s="6"/>
      <c r="P6" s="6"/>
      <c r="Q6" s="6" t="s">
        <v>376</v>
      </c>
      <c r="R6" s="6"/>
      <c r="S6" s="6" t="s">
        <v>6</v>
      </c>
      <c r="T6" s="3"/>
      <c r="U6" s="3" t="s">
        <v>440</v>
      </c>
      <c r="W6" s="3"/>
    </row>
    <row r="7" spans="1:25" s="71" customFormat="1" ht="12.75" customHeight="1" x14ac:dyDescent="0.2">
      <c r="A7" s="6"/>
      <c r="C7" s="6"/>
      <c r="D7" s="6"/>
      <c r="E7" s="6" t="s">
        <v>356</v>
      </c>
      <c r="F7" s="6"/>
      <c r="G7" s="6" t="s">
        <v>377</v>
      </c>
      <c r="H7" s="6"/>
      <c r="I7" s="6" t="s">
        <v>378</v>
      </c>
      <c r="J7" s="6"/>
      <c r="K7" s="6" t="s">
        <v>363</v>
      </c>
      <c r="L7" s="6"/>
      <c r="M7" s="6" t="s">
        <v>4</v>
      </c>
      <c r="N7" s="6"/>
      <c r="O7" s="6" t="s">
        <v>379</v>
      </c>
      <c r="P7" s="6"/>
      <c r="Q7" s="6" t="s">
        <v>294</v>
      </c>
      <c r="R7" s="6"/>
      <c r="S7" s="6" t="s">
        <v>352</v>
      </c>
      <c r="T7" s="3"/>
      <c r="U7" s="3" t="s">
        <v>441</v>
      </c>
      <c r="W7" s="3" t="s">
        <v>324</v>
      </c>
    </row>
    <row r="8" spans="1:25" s="106" customFormat="1" ht="12.75" customHeight="1" x14ac:dyDescent="0.2">
      <c r="A8" s="7" t="s">
        <v>8</v>
      </c>
      <c r="C8" s="7" t="s">
        <v>9</v>
      </c>
      <c r="D8" s="8"/>
      <c r="E8" s="78" t="s">
        <v>362</v>
      </c>
      <c r="F8" s="8"/>
      <c r="G8" s="78" t="s">
        <v>362</v>
      </c>
      <c r="H8" s="8"/>
      <c r="I8" s="78" t="s">
        <v>380</v>
      </c>
      <c r="J8" s="8"/>
      <c r="K8" s="78" t="s">
        <v>381</v>
      </c>
      <c r="L8" s="8"/>
      <c r="M8" s="78" t="s">
        <v>382</v>
      </c>
      <c r="N8" s="8"/>
      <c r="O8" s="78" t="s">
        <v>383</v>
      </c>
      <c r="P8" s="8"/>
      <c r="Q8" s="78" t="s">
        <v>364</v>
      </c>
      <c r="R8" s="8"/>
      <c r="S8" s="78" t="s">
        <v>364</v>
      </c>
      <c r="T8" s="81"/>
      <c r="U8" s="7" t="s">
        <v>442</v>
      </c>
      <c r="W8" s="81" t="s">
        <v>436</v>
      </c>
    </row>
    <row r="9" spans="1:25" s="65" customFormat="1" ht="12.75" customHeight="1" x14ac:dyDescent="0.2">
      <c r="A9" s="35"/>
      <c r="B9" s="51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44"/>
      <c r="U9" s="44"/>
      <c r="W9" s="44"/>
    </row>
    <row r="10" spans="1:25" s="35" customFormat="1" ht="12.75" hidden="1" customHeight="1" x14ac:dyDescent="0.2">
      <c r="A10" s="35" t="s">
        <v>12</v>
      </c>
      <c r="C10" s="35" t="s">
        <v>13</v>
      </c>
      <c r="E10" s="35">
        <f>240483180</f>
        <v>240483180</v>
      </c>
      <c r="G10" s="35">
        <v>11240502</v>
      </c>
      <c r="I10" s="35">
        <v>63268700</v>
      </c>
      <c r="K10" s="35">
        <f>10706454+5689471+4475878</f>
        <v>20871803</v>
      </c>
      <c r="M10" s="35">
        <v>0</v>
      </c>
      <c r="O10" s="35">
        <v>0</v>
      </c>
      <c r="Q10" s="35">
        <f>50835000+234095000+27165000+27165000</f>
        <v>339260000</v>
      </c>
      <c r="S10" s="35">
        <f t="shared" ref="S10:S74" si="0">SUM(E10:Q10)</f>
        <v>675124185</v>
      </c>
      <c r="U10" s="35">
        <f>7149430+70526740</f>
        <v>77676170</v>
      </c>
      <c r="W10" s="35">
        <f>+S10-'Stmt net assets'!O10-U10</f>
        <v>-134768624</v>
      </c>
      <c r="Y10" s="35" t="s">
        <v>503</v>
      </c>
    </row>
    <row r="11" spans="1:25" s="65" customFormat="1" ht="12.75" customHeight="1" x14ac:dyDescent="0.2">
      <c r="A11" s="35" t="s">
        <v>14</v>
      </c>
      <c r="B11" s="51"/>
      <c r="C11" s="35" t="s">
        <v>15</v>
      </c>
      <c r="D11" s="35"/>
      <c r="E11" s="68">
        <v>735000</v>
      </c>
      <c r="F11" s="68"/>
      <c r="G11" s="68">
        <v>195000</v>
      </c>
      <c r="H11" s="68"/>
      <c r="I11" s="68">
        <v>0</v>
      </c>
      <c r="J11" s="68"/>
      <c r="K11" s="68">
        <v>304960</v>
      </c>
      <c r="L11" s="68"/>
      <c r="M11" s="68">
        <v>0</v>
      </c>
      <c r="N11" s="68"/>
      <c r="O11" s="68">
        <v>2607831</v>
      </c>
      <c r="P11" s="68"/>
      <c r="Q11" s="68">
        <v>356156</v>
      </c>
      <c r="R11" s="68"/>
      <c r="S11" s="68">
        <f>SUM(E11:Q11)</f>
        <v>4198947</v>
      </c>
      <c r="T11" s="46"/>
      <c r="U11" s="68">
        <v>919384</v>
      </c>
      <c r="W11" s="44">
        <f>+S11-'Stmt net assets'!O11-U11</f>
        <v>0</v>
      </c>
    </row>
    <row r="12" spans="1:25" s="65" customFormat="1" ht="12.75" customHeight="1" x14ac:dyDescent="0.2">
      <c r="A12" s="35" t="s">
        <v>16</v>
      </c>
      <c r="B12" s="51"/>
      <c r="C12" s="35" t="s">
        <v>17</v>
      </c>
      <c r="D12" s="35"/>
      <c r="E12" s="48">
        <v>2622147</v>
      </c>
      <c r="F12" s="48"/>
      <c r="G12" s="48">
        <v>0</v>
      </c>
      <c r="H12" s="48"/>
      <c r="I12" s="48">
        <v>0</v>
      </c>
      <c r="J12" s="48"/>
      <c r="K12" s="48">
        <v>501958</v>
      </c>
      <c r="L12" s="48"/>
      <c r="M12" s="48">
        <v>0</v>
      </c>
      <c r="N12" s="48"/>
      <c r="O12" s="48">
        <v>506706</v>
      </c>
      <c r="P12" s="48"/>
      <c r="Q12" s="48">
        <v>0</v>
      </c>
      <c r="R12" s="48"/>
      <c r="S12" s="48">
        <f t="shared" ref="S12:S69" si="1">SUM(E12:Q12)</f>
        <v>3630811</v>
      </c>
      <c r="T12" s="44"/>
      <c r="U12" s="48">
        <v>341124</v>
      </c>
      <c r="W12" s="44">
        <f>+S12-'Stmt net assets'!O12-U12</f>
        <v>0</v>
      </c>
    </row>
    <row r="13" spans="1:25" s="65" customFormat="1" ht="12.75" customHeight="1" x14ac:dyDescent="0.2">
      <c r="A13" s="35" t="s">
        <v>18</v>
      </c>
      <c r="B13" s="51"/>
      <c r="C13" s="35" t="s">
        <v>18</v>
      </c>
      <c r="D13" s="35"/>
      <c r="E13" s="48">
        <f>1997000+600000</f>
        <v>2597000</v>
      </c>
      <c r="F13" s="48"/>
      <c r="G13" s="48">
        <v>0</v>
      </c>
      <c r="H13" s="48"/>
      <c r="I13" s="48">
        <v>0</v>
      </c>
      <c r="J13" s="48"/>
      <c r="K13" s="48">
        <v>267702</v>
      </c>
      <c r="L13" s="48"/>
      <c r="M13" s="48">
        <v>0</v>
      </c>
      <c r="N13" s="48"/>
      <c r="O13" s="48">
        <v>684400</v>
      </c>
      <c r="P13" s="48"/>
      <c r="Q13" s="48">
        <v>0</v>
      </c>
      <c r="R13" s="48"/>
      <c r="S13" s="48">
        <f t="shared" si="1"/>
        <v>3549102</v>
      </c>
      <c r="T13" s="44"/>
      <c r="U13" s="48">
        <v>424894</v>
      </c>
      <c r="W13" s="44">
        <f>+S13-'Stmt net assets'!O13-U13</f>
        <v>0</v>
      </c>
    </row>
    <row r="14" spans="1:25" s="125" customFormat="1" ht="12.75" hidden="1" customHeight="1" x14ac:dyDescent="0.2">
      <c r="A14" s="126" t="s">
        <v>19</v>
      </c>
      <c r="B14" s="124"/>
      <c r="C14" s="126" t="s">
        <v>19</v>
      </c>
      <c r="D14" s="126"/>
      <c r="E14" s="130">
        <v>319257</v>
      </c>
      <c r="F14" s="130"/>
      <c r="G14" s="130">
        <v>83151</v>
      </c>
      <c r="H14" s="130"/>
      <c r="I14" s="130">
        <v>0</v>
      </c>
      <c r="J14" s="130"/>
      <c r="K14" s="130">
        <v>0</v>
      </c>
      <c r="L14" s="130"/>
      <c r="M14" s="130">
        <v>0</v>
      </c>
      <c r="N14" s="130"/>
      <c r="O14" s="130">
        <v>2447145</v>
      </c>
      <c r="P14" s="130"/>
      <c r="Q14" s="130">
        <v>478903</v>
      </c>
      <c r="R14" s="130"/>
      <c r="S14" s="130">
        <f t="shared" si="1"/>
        <v>3328456</v>
      </c>
      <c r="T14" s="121"/>
      <c r="U14" s="130">
        <v>1410981</v>
      </c>
      <c r="W14" s="121">
        <f>+S14-'Stmt net assets'!O14-U14</f>
        <v>0</v>
      </c>
      <c r="Y14" s="121" t="s">
        <v>502</v>
      </c>
    </row>
    <row r="15" spans="1:25" s="65" customFormat="1" ht="12.75" customHeight="1" x14ac:dyDescent="0.2">
      <c r="A15" s="35" t="s">
        <v>20</v>
      </c>
      <c r="B15" s="51"/>
      <c r="C15" s="35" t="s">
        <v>20</v>
      </c>
      <c r="D15" s="35"/>
      <c r="E15" s="48">
        <f>2320000+54871</f>
        <v>2374871</v>
      </c>
      <c r="F15" s="48"/>
      <c r="G15" s="48">
        <v>0</v>
      </c>
      <c r="H15" s="48"/>
      <c r="I15" s="48">
        <f>270000</f>
        <v>270000</v>
      </c>
      <c r="J15" s="48"/>
      <c r="K15" s="48">
        <v>0</v>
      </c>
      <c r="L15" s="48"/>
      <c r="M15" s="48">
        <v>0</v>
      </c>
      <c r="N15" s="48"/>
      <c r="O15" s="48">
        <v>1123688</v>
      </c>
      <c r="P15" s="48"/>
      <c r="Q15" s="48">
        <v>4174</v>
      </c>
      <c r="R15" s="48"/>
      <c r="S15" s="48">
        <f t="shared" si="1"/>
        <v>3772733</v>
      </c>
      <c r="T15" s="44"/>
      <c r="U15" s="48">
        <v>1415389</v>
      </c>
      <c r="W15" s="44">
        <f>+S15-'Stmt net assets'!O15-U15</f>
        <v>0</v>
      </c>
    </row>
    <row r="16" spans="1:25" s="65" customFormat="1" ht="12.75" customHeight="1" x14ac:dyDescent="0.2">
      <c r="A16" s="35" t="s">
        <v>21</v>
      </c>
      <c r="B16" s="51"/>
      <c r="C16" s="35" t="s">
        <v>22</v>
      </c>
      <c r="D16" s="35"/>
      <c r="E16" s="48">
        <f>8476407+130838-159327</f>
        <v>8447918</v>
      </c>
      <c r="F16" s="48"/>
      <c r="G16" s="48">
        <v>0</v>
      </c>
      <c r="H16" s="48"/>
      <c r="I16" s="48">
        <v>0</v>
      </c>
      <c r="J16" s="48"/>
      <c r="K16" s="48">
        <v>384712</v>
      </c>
      <c r="L16" s="48"/>
      <c r="M16" s="48">
        <v>82217</v>
      </c>
      <c r="N16" s="48"/>
      <c r="O16" s="48">
        <v>896468</v>
      </c>
      <c r="P16" s="48"/>
      <c r="Q16" s="48">
        <v>0</v>
      </c>
      <c r="R16" s="48"/>
      <c r="S16" s="48">
        <f t="shared" si="1"/>
        <v>9811315</v>
      </c>
      <c r="T16" s="44"/>
      <c r="U16" s="48">
        <v>726120</v>
      </c>
      <c r="W16" s="44">
        <f>+S16-'Stmt net assets'!O16-U16</f>
        <v>0</v>
      </c>
    </row>
    <row r="17" spans="1:25" s="125" customFormat="1" ht="12.75" customHeight="1" x14ac:dyDescent="0.2">
      <c r="A17" s="35" t="s">
        <v>23</v>
      </c>
      <c r="B17" s="51"/>
      <c r="C17" s="35" t="s">
        <v>17</v>
      </c>
      <c r="D17" s="35"/>
      <c r="E17" s="48">
        <v>47348171</v>
      </c>
      <c r="F17" s="48"/>
      <c r="G17" s="48">
        <v>2657553</v>
      </c>
      <c r="H17" s="48"/>
      <c r="I17" s="48">
        <v>0</v>
      </c>
      <c r="J17" s="48"/>
      <c r="K17" s="48">
        <v>182336</v>
      </c>
      <c r="L17" s="48"/>
      <c r="M17" s="48">
        <v>0</v>
      </c>
      <c r="N17" s="48"/>
      <c r="O17" s="48">
        <v>1971963</v>
      </c>
      <c r="P17" s="48"/>
      <c r="Q17" s="48">
        <v>0</v>
      </c>
      <c r="R17" s="48"/>
      <c r="S17" s="48">
        <f t="shared" si="1"/>
        <v>52160023</v>
      </c>
      <c r="T17" s="44"/>
      <c r="U17" s="48">
        <v>2212306</v>
      </c>
      <c r="W17" s="121">
        <f>+S17-'Stmt net assets'!O17-U17</f>
        <v>0</v>
      </c>
    </row>
    <row r="18" spans="1:25" s="65" customFormat="1" ht="12.75" customHeight="1" x14ac:dyDescent="0.2">
      <c r="A18" s="35" t="s">
        <v>24</v>
      </c>
      <c r="B18" s="51"/>
      <c r="C18" s="35" t="s">
        <v>17</v>
      </c>
      <c r="D18" s="35"/>
      <c r="E18" s="48">
        <v>9063612</v>
      </c>
      <c r="F18" s="48"/>
      <c r="G18" s="48">
        <v>2055283</v>
      </c>
      <c r="H18" s="48"/>
      <c r="I18" s="48">
        <f>1073610+40000</f>
        <v>1113610</v>
      </c>
      <c r="J18" s="48"/>
      <c r="K18" s="48">
        <v>83333</v>
      </c>
      <c r="L18" s="48"/>
      <c r="M18" s="48">
        <v>7821</v>
      </c>
      <c r="N18" s="48"/>
      <c r="O18" s="48">
        <v>1566142</v>
      </c>
      <c r="P18" s="48"/>
      <c r="Q18" s="48">
        <f>697655+94418</f>
        <v>792073</v>
      </c>
      <c r="R18" s="48"/>
      <c r="S18" s="48">
        <f t="shared" ref="S18" si="2">SUM(E18:Q18)</f>
        <v>14681874</v>
      </c>
      <c r="T18" s="44"/>
      <c r="U18" s="48">
        <v>1710439</v>
      </c>
      <c r="W18" s="44">
        <f>+S18-'Stmt net assets'!O18-U18</f>
        <v>0</v>
      </c>
    </row>
    <row r="19" spans="1:25" s="65" customFormat="1" ht="12.75" customHeight="1" x14ac:dyDescent="0.2">
      <c r="A19" s="35" t="s">
        <v>25</v>
      </c>
      <c r="B19" s="51"/>
      <c r="C19" s="35" t="s">
        <v>13</v>
      </c>
      <c r="D19" s="35"/>
      <c r="E19" s="48">
        <v>3524427</v>
      </c>
      <c r="F19" s="48"/>
      <c r="G19" s="48">
        <v>50841</v>
      </c>
      <c r="H19" s="48"/>
      <c r="I19" s="48">
        <v>0</v>
      </c>
      <c r="J19" s="48"/>
      <c r="K19" s="48">
        <f>635000+137791</f>
        <v>772791</v>
      </c>
      <c r="L19" s="48"/>
      <c r="M19" s="48">
        <v>234272</v>
      </c>
      <c r="N19" s="48"/>
      <c r="O19" s="48">
        <v>3223983</v>
      </c>
      <c r="P19" s="48"/>
      <c r="Q19" s="48">
        <v>0</v>
      </c>
      <c r="R19" s="48"/>
      <c r="S19" s="48">
        <f t="shared" si="1"/>
        <v>7806314</v>
      </c>
      <c r="T19" s="44"/>
      <c r="U19" s="48">
        <v>1966405</v>
      </c>
      <c r="W19" s="44">
        <f>+S19-'Stmt net assets'!O19-U19</f>
        <v>0</v>
      </c>
    </row>
    <row r="20" spans="1:25" s="65" customFormat="1" ht="12.75" customHeight="1" x14ac:dyDescent="0.2">
      <c r="A20" s="35" t="s">
        <v>26</v>
      </c>
      <c r="B20" s="51"/>
      <c r="C20" s="35" t="s">
        <v>27</v>
      </c>
      <c r="D20" s="35"/>
      <c r="E20" s="48">
        <f>8615000+43600</f>
        <v>8658600</v>
      </c>
      <c r="F20" s="48"/>
      <c r="G20" s="48">
        <v>0</v>
      </c>
      <c r="H20" s="48"/>
      <c r="I20" s="48">
        <v>0</v>
      </c>
      <c r="J20" s="48"/>
      <c r="K20" s="48">
        <v>0</v>
      </c>
      <c r="L20" s="48"/>
      <c r="M20" s="48">
        <v>0</v>
      </c>
      <c r="N20" s="48"/>
      <c r="O20" s="48">
        <f>82067+1164436</f>
        <v>1246503</v>
      </c>
      <c r="P20" s="48"/>
      <c r="Q20" s="48">
        <v>0</v>
      </c>
      <c r="R20" s="48"/>
      <c r="S20" s="48">
        <f t="shared" si="1"/>
        <v>9905103</v>
      </c>
      <c r="T20" s="44"/>
      <c r="U20" s="48">
        <v>1637668</v>
      </c>
      <c r="W20" s="44">
        <f>+S20-'Stmt net assets'!O20-U20</f>
        <v>0</v>
      </c>
    </row>
    <row r="21" spans="1:25" s="65" customFormat="1" ht="12.75" customHeight="1" x14ac:dyDescent="0.2">
      <c r="A21" s="35" t="s">
        <v>28</v>
      </c>
      <c r="B21" s="51"/>
      <c r="C21" s="35" t="s">
        <v>27</v>
      </c>
      <c r="D21" s="35"/>
      <c r="E21" s="48">
        <v>19458844</v>
      </c>
      <c r="F21" s="48"/>
      <c r="G21" s="48">
        <v>615000</v>
      </c>
      <c r="H21" s="48"/>
      <c r="I21" s="48">
        <v>0</v>
      </c>
      <c r="J21" s="48"/>
      <c r="K21" s="48">
        <v>0</v>
      </c>
      <c r="L21" s="48"/>
      <c r="M21" s="48">
        <v>0</v>
      </c>
      <c r="N21" s="48"/>
      <c r="O21" s="48">
        <v>2548437</v>
      </c>
      <c r="P21" s="48"/>
      <c r="Q21" s="48">
        <v>0</v>
      </c>
      <c r="R21" s="48"/>
      <c r="S21" s="48">
        <f t="shared" si="1"/>
        <v>22622281</v>
      </c>
      <c r="T21" s="44"/>
      <c r="U21" s="48">
        <v>2639993</v>
      </c>
      <c r="W21" s="44">
        <f>+S21-'Stmt net assets'!O21-U21</f>
        <v>0</v>
      </c>
      <c r="Y21" s="44"/>
    </row>
    <row r="22" spans="1:25" s="65" customFormat="1" ht="12.75" customHeight="1" x14ac:dyDescent="0.2">
      <c r="A22" s="35" t="s">
        <v>29</v>
      </c>
      <c r="B22" s="51"/>
      <c r="C22" s="35" t="s">
        <v>30</v>
      </c>
      <c r="D22" s="35"/>
      <c r="E22" s="48">
        <v>4410102</v>
      </c>
      <c r="F22" s="48"/>
      <c r="G22" s="48">
        <v>3293150</v>
      </c>
      <c r="H22" s="48"/>
      <c r="I22" s="48">
        <v>0</v>
      </c>
      <c r="J22" s="48"/>
      <c r="K22" s="48">
        <v>0</v>
      </c>
      <c r="L22" s="48"/>
      <c r="M22" s="48">
        <v>200118</v>
      </c>
      <c r="N22" s="48"/>
      <c r="O22" s="48">
        <v>1022209</v>
      </c>
      <c r="P22" s="48"/>
      <c r="Q22" s="48">
        <v>0</v>
      </c>
      <c r="R22" s="48"/>
      <c r="S22" s="48">
        <f t="shared" si="1"/>
        <v>8925579</v>
      </c>
      <c r="T22" s="44"/>
      <c r="U22" s="48">
        <v>1777148</v>
      </c>
      <c r="W22" s="44">
        <f>+S22-'Stmt net assets'!O22-U22</f>
        <v>0</v>
      </c>
    </row>
    <row r="23" spans="1:25" s="65" customFormat="1" ht="12.75" customHeight="1" x14ac:dyDescent="0.2">
      <c r="A23" s="35" t="s">
        <v>31</v>
      </c>
      <c r="B23" s="51"/>
      <c r="C23" s="35" t="s">
        <v>27</v>
      </c>
      <c r="D23" s="35"/>
      <c r="E23" s="48">
        <v>11392905</v>
      </c>
      <c r="F23" s="48"/>
      <c r="G23" s="48">
        <v>240000</v>
      </c>
      <c r="H23" s="48"/>
      <c r="I23" s="48">
        <v>0</v>
      </c>
      <c r="J23" s="48"/>
      <c r="K23" s="48">
        <v>807359</v>
      </c>
      <c r="L23" s="48"/>
      <c r="M23" s="48">
        <v>12915</v>
      </c>
      <c r="N23" s="48"/>
      <c r="O23" s="48">
        <v>1336297</v>
      </c>
      <c r="P23" s="48"/>
      <c r="Q23" s="48">
        <v>181428</v>
      </c>
      <c r="R23" s="48"/>
      <c r="S23" s="48">
        <f t="shared" si="1"/>
        <v>13970904</v>
      </c>
      <c r="T23" s="44"/>
      <c r="U23" s="48">
        <v>1402523</v>
      </c>
      <c r="W23" s="44">
        <f>+S23-'Stmt net assets'!O23-U23</f>
        <v>0</v>
      </c>
    </row>
    <row r="24" spans="1:25" s="65" customFormat="1" ht="12.75" customHeight="1" x14ac:dyDescent="0.2">
      <c r="A24" s="35" t="s">
        <v>32</v>
      </c>
      <c r="B24" s="51"/>
      <c r="C24" s="35" t="s">
        <v>27</v>
      </c>
      <c r="D24" s="35"/>
      <c r="E24" s="48">
        <v>2736900</v>
      </c>
      <c r="F24" s="48"/>
      <c r="G24" s="48">
        <v>0</v>
      </c>
      <c r="H24" s="48"/>
      <c r="I24" s="48">
        <v>0</v>
      </c>
      <c r="J24" s="48"/>
      <c r="K24" s="48">
        <v>223853</v>
      </c>
      <c r="L24" s="48"/>
      <c r="M24" s="48">
        <v>334996</v>
      </c>
      <c r="N24" s="48"/>
      <c r="O24" s="48">
        <v>1793762</v>
      </c>
      <c r="P24" s="48"/>
      <c r="Q24" s="48">
        <v>877204</v>
      </c>
      <c r="R24" s="48"/>
      <c r="S24" s="48">
        <f t="shared" si="1"/>
        <v>5966715</v>
      </c>
      <c r="T24" s="44"/>
      <c r="U24" s="48">
        <v>1883668</v>
      </c>
      <c r="W24" s="44">
        <f>+S24-'Stmt net assets'!O24-U24</f>
        <v>0</v>
      </c>
    </row>
    <row r="25" spans="1:25" s="65" customFormat="1" ht="12.75" customHeight="1" x14ac:dyDescent="0.2">
      <c r="A25" s="35" t="s">
        <v>34</v>
      </c>
      <c r="B25" s="51"/>
      <c r="C25" s="35" t="s">
        <v>30</v>
      </c>
      <c r="D25" s="35"/>
      <c r="E25" s="48">
        <v>0</v>
      </c>
      <c r="F25" s="48"/>
      <c r="G25" s="48">
        <v>0</v>
      </c>
      <c r="H25" s="48"/>
      <c r="I25" s="48">
        <v>0</v>
      </c>
      <c r="J25" s="48"/>
      <c r="K25" s="48">
        <v>0</v>
      </c>
      <c r="L25" s="48"/>
      <c r="M25" s="48">
        <v>0</v>
      </c>
      <c r="N25" s="48"/>
      <c r="O25" s="48">
        <v>194248</v>
      </c>
      <c r="P25" s="48"/>
      <c r="Q25" s="48">
        <v>0</v>
      </c>
      <c r="R25" s="48"/>
      <c r="S25" s="48">
        <f t="shared" si="1"/>
        <v>194248</v>
      </c>
      <c r="T25" s="44"/>
      <c r="U25" s="48">
        <v>96788</v>
      </c>
      <c r="W25" s="44">
        <f>+S25-'Stmt net assets'!O25-U25</f>
        <v>0</v>
      </c>
    </row>
    <row r="26" spans="1:25" s="65" customFormat="1" ht="12.75" customHeight="1" x14ac:dyDescent="0.2">
      <c r="A26" s="35" t="s">
        <v>35</v>
      </c>
      <c r="B26" s="51"/>
      <c r="C26" s="35" t="s">
        <v>36</v>
      </c>
      <c r="D26" s="35"/>
      <c r="E26" s="48">
        <v>0</v>
      </c>
      <c r="F26" s="48"/>
      <c r="G26" s="48">
        <v>20000</v>
      </c>
      <c r="H26" s="48"/>
      <c r="I26" s="48">
        <v>0</v>
      </c>
      <c r="J26" s="48"/>
      <c r="K26" s="48">
        <v>225000</v>
      </c>
      <c r="L26" s="48"/>
      <c r="M26" s="48">
        <v>0</v>
      </c>
      <c r="N26" s="48"/>
      <c r="O26" s="48">
        <v>1136631</v>
      </c>
      <c r="P26" s="48"/>
      <c r="Q26" s="48">
        <f>17150+581820+275000</f>
        <v>873970</v>
      </c>
      <c r="R26" s="48"/>
      <c r="S26" s="48">
        <f t="shared" si="1"/>
        <v>2255601</v>
      </c>
      <c r="T26" s="44"/>
      <c r="U26" s="48">
        <v>613541</v>
      </c>
      <c r="W26" s="44">
        <f>+S26-'Stmt net assets'!O26-U26</f>
        <v>0</v>
      </c>
    </row>
    <row r="27" spans="1:25" s="65" customFormat="1" ht="12.75" customHeight="1" x14ac:dyDescent="0.2">
      <c r="A27" s="35" t="s">
        <v>37</v>
      </c>
      <c r="B27" s="51"/>
      <c r="C27" s="35" t="s">
        <v>38</v>
      </c>
      <c r="D27" s="35"/>
      <c r="E27" s="48">
        <v>0</v>
      </c>
      <c r="F27" s="48"/>
      <c r="G27" s="48">
        <v>1050000</v>
      </c>
      <c r="H27" s="48"/>
      <c r="I27" s="48">
        <v>0</v>
      </c>
      <c r="J27" s="48"/>
      <c r="K27" s="48">
        <v>0</v>
      </c>
      <c r="L27" s="48"/>
      <c r="M27" s="48">
        <v>102786</v>
      </c>
      <c r="N27" s="48"/>
      <c r="O27" s="48">
        <v>492108</v>
      </c>
      <c r="P27" s="48"/>
      <c r="Q27" s="48">
        <v>0</v>
      </c>
      <c r="R27" s="48"/>
      <c r="S27" s="48">
        <f t="shared" si="1"/>
        <v>1644894</v>
      </c>
      <c r="T27" s="44"/>
      <c r="U27" s="48">
        <v>269426</v>
      </c>
      <c r="W27" s="44">
        <f>+S27-'Stmt net assets'!O27-U27</f>
        <v>0</v>
      </c>
    </row>
    <row r="28" spans="1:25" s="65" customFormat="1" ht="12.75" customHeight="1" x14ac:dyDescent="0.2">
      <c r="A28" s="35" t="s">
        <v>39</v>
      </c>
      <c r="B28" s="51"/>
      <c r="C28" s="35" t="s">
        <v>40</v>
      </c>
      <c r="D28" s="35"/>
      <c r="E28" s="48">
        <v>0</v>
      </c>
      <c r="F28" s="48"/>
      <c r="G28" s="48">
        <v>0</v>
      </c>
      <c r="H28" s="48"/>
      <c r="I28" s="48">
        <v>0</v>
      </c>
      <c r="J28" s="48"/>
      <c r="K28" s="48">
        <v>0</v>
      </c>
      <c r="L28" s="48"/>
      <c r="M28" s="48">
        <v>809970</v>
      </c>
      <c r="N28" s="48"/>
      <c r="O28" s="48">
        <v>31558</v>
      </c>
      <c r="P28" s="48"/>
      <c r="Q28" s="48">
        <v>19241</v>
      </c>
      <c r="R28" s="48"/>
      <c r="S28" s="48">
        <f t="shared" si="1"/>
        <v>860769</v>
      </c>
      <c r="T28" s="44"/>
      <c r="U28" s="48">
        <v>127909</v>
      </c>
      <c r="W28" s="44">
        <f>+S28-'Stmt net assets'!O28-U28</f>
        <v>0</v>
      </c>
    </row>
    <row r="29" spans="1:25" s="65" customFormat="1" ht="12.75" customHeight="1" x14ac:dyDescent="0.2">
      <c r="A29" s="35" t="s">
        <v>41</v>
      </c>
      <c r="B29" s="51"/>
      <c r="C29" s="35" t="s">
        <v>27</v>
      </c>
      <c r="D29" s="35"/>
      <c r="E29" s="48">
        <f>9410000+84886</f>
        <v>9494886</v>
      </c>
      <c r="F29" s="48"/>
      <c r="G29" s="48">
        <v>0</v>
      </c>
      <c r="H29" s="48"/>
      <c r="I29" s="48">
        <v>4810000</v>
      </c>
      <c r="J29" s="48"/>
      <c r="K29" s="48">
        <v>1943695</v>
      </c>
      <c r="L29" s="48"/>
      <c r="M29" s="48">
        <v>263112</v>
      </c>
      <c r="N29" s="48"/>
      <c r="O29" s="48">
        <v>1162852</v>
      </c>
      <c r="P29" s="48"/>
      <c r="Q29" s="48">
        <f>218239+270000</f>
        <v>488239</v>
      </c>
      <c r="R29" s="48"/>
      <c r="S29" s="48">
        <f t="shared" si="1"/>
        <v>18162784</v>
      </c>
      <c r="T29" s="44"/>
      <c r="U29" s="48">
        <v>6444824</v>
      </c>
      <c r="W29" s="44">
        <f>+S29-'Stmt net assets'!O29-U29</f>
        <v>0</v>
      </c>
    </row>
    <row r="30" spans="1:25" s="65" customFormat="1" ht="12.75" customHeight="1" x14ac:dyDescent="0.2">
      <c r="A30" s="35" t="s">
        <v>42</v>
      </c>
      <c r="B30" s="51"/>
      <c r="C30" s="35" t="s">
        <v>43</v>
      </c>
      <c r="D30" s="35"/>
      <c r="E30" s="48">
        <v>18321457</v>
      </c>
      <c r="F30" s="48"/>
      <c r="G30" s="48">
        <v>0</v>
      </c>
      <c r="H30" s="48"/>
      <c r="I30" s="48">
        <v>0</v>
      </c>
      <c r="J30" s="48"/>
      <c r="K30" s="48">
        <v>2398832</v>
      </c>
      <c r="L30" s="48"/>
      <c r="M30" s="48">
        <v>48303</v>
      </c>
      <c r="N30" s="48"/>
      <c r="O30" s="48">
        <v>332834</v>
      </c>
      <c r="P30" s="48"/>
      <c r="Q30" s="48">
        <v>351052</v>
      </c>
      <c r="R30" s="48"/>
      <c r="S30" s="48">
        <f t="shared" si="1"/>
        <v>21452478</v>
      </c>
      <c r="T30" s="44"/>
      <c r="U30" s="48">
        <v>1154797</v>
      </c>
      <c r="W30" s="44">
        <f>+S30-'Stmt net assets'!O30-U30</f>
        <v>0</v>
      </c>
    </row>
    <row r="31" spans="1:25" s="65" customFormat="1" ht="12.75" customHeight="1" x14ac:dyDescent="0.2">
      <c r="A31" s="35" t="s">
        <v>44</v>
      </c>
      <c r="B31" s="51"/>
      <c r="C31" s="35" t="s">
        <v>45</v>
      </c>
      <c r="D31" s="35"/>
      <c r="E31" s="48">
        <v>32968847</v>
      </c>
      <c r="F31" s="48"/>
      <c r="G31" s="48">
        <v>0</v>
      </c>
      <c r="H31" s="48"/>
      <c r="I31" s="48">
        <v>0</v>
      </c>
      <c r="J31" s="48"/>
      <c r="K31" s="48">
        <f>17463634+2002948</f>
        <v>19466582</v>
      </c>
      <c r="L31" s="48"/>
      <c r="M31" s="48">
        <v>0</v>
      </c>
      <c r="N31" s="48"/>
      <c r="O31" s="48">
        <v>1691202</v>
      </c>
      <c r="P31" s="48"/>
      <c r="Q31" s="48">
        <v>0</v>
      </c>
      <c r="R31" s="48"/>
      <c r="S31" s="48">
        <f t="shared" si="1"/>
        <v>54126631</v>
      </c>
      <c r="T31" s="44"/>
      <c r="U31" s="48">
        <v>4034526</v>
      </c>
      <c r="W31" s="44">
        <f>+S31-'Stmt net assets'!O31-U31</f>
        <v>0</v>
      </c>
    </row>
    <row r="32" spans="1:25" s="65" customFormat="1" ht="12.75" customHeight="1" x14ac:dyDescent="0.2">
      <c r="A32" s="35" t="s">
        <v>46</v>
      </c>
      <c r="B32" s="51"/>
      <c r="C32" s="35" t="s">
        <v>47</v>
      </c>
      <c r="D32" s="35"/>
      <c r="E32" s="48">
        <v>7328132</v>
      </c>
      <c r="F32" s="48"/>
      <c r="G32" s="48">
        <v>0</v>
      </c>
      <c r="H32" s="48"/>
      <c r="I32" s="48">
        <v>3500000</v>
      </c>
      <c r="J32" s="48"/>
      <c r="K32" s="48">
        <v>19276341</v>
      </c>
      <c r="L32" s="48"/>
      <c r="M32" s="48">
        <v>97859</v>
      </c>
      <c r="N32" s="48"/>
      <c r="O32" s="48">
        <v>1586618</v>
      </c>
      <c r="P32" s="48"/>
      <c r="Q32" s="48">
        <v>0</v>
      </c>
      <c r="R32" s="48"/>
      <c r="S32" s="48">
        <f t="shared" si="1"/>
        <v>31788950</v>
      </c>
      <c r="T32" s="44"/>
      <c r="U32" s="48">
        <v>5419451</v>
      </c>
      <c r="W32" s="44">
        <f>+S32-'Stmt net assets'!O32-U32</f>
        <v>0</v>
      </c>
    </row>
    <row r="33" spans="1:25" s="65" customFormat="1" ht="12.75" customHeight="1" x14ac:dyDescent="0.2">
      <c r="A33" s="35" t="s">
        <v>48</v>
      </c>
      <c r="B33" s="51"/>
      <c r="C33" s="35" t="s">
        <v>27</v>
      </c>
      <c r="D33" s="35"/>
      <c r="E33" s="48">
        <v>7854564</v>
      </c>
      <c r="F33" s="48"/>
      <c r="G33" s="48">
        <v>2851828</v>
      </c>
      <c r="H33" s="48"/>
      <c r="I33" s="48">
        <v>0</v>
      </c>
      <c r="J33" s="48"/>
      <c r="K33" s="48">
        <v>493759</v>
      </c>
      <c r="L33" s="48"/>
      <c r="M33" s="48">
        <v>0</v>
      </c>
      <c r="N33" s="48"/>
      <c r="O33" s="48">
        <v>839391</v>
      </c>
      <c r="P33" s="48"/>
      <c r="Q33" s="48">
        <v>0</v>
      </c>
      <c r="R33" s="48"/>
      <c r="S33" s="48">
        <f t="shared" si="1"/>
        <v>12039542</v>
      </c>
      <c r="T33" s="44"/>
      <c r="U33" s="48">
        <v>1431500</v>
      </c>
      <c r="W33" s="44">
        <f>+S33-'Stmt net assets'!O33-U33</f>
        <v>0</v>
      </c>
    </row>
    <row r="34" spans="1:25" s="65" customFormat="1" ht="12.75" customHeight="1" x14ac:dyDescent="0.2">
      <c r="A34" s="35" t="s">
        <v>49</v>
      </c>
      <c r="B34" s="51"/>
      <c r="C34" s="35" t="s">
        <v>27</v>
      </c>
      <c r="D34" s="35"/>
      <c r="E34" s="48">
        <v>4823164</v>
      </c>
      <c r="F34" s="48"/>
      <c r="G34" s="48">
        <v>2255615</v>
      </c>
      <c r="H34" s="48"/>
      <c r="I34" s="48">
        <v>0</v>
      </c>
      <c r="J34" s="48"/>
      <c r="K34" s="48">
        <f>1201183+150000+107565</f>
        <v>1458748</v>
      </c>
      <c r="L34" s="48"/>
      <c r="M34" s="48">
        <v>144160</v>
      </c>
      <c r="N34" s="48"/>
      <c r="O34" s="48">
        <v>1315723</v>
      </c>
      <c r="P34" s="48"/>
      <c r="Q34" s="48">
        <v>0</v>
      </c>
      <c r="R34" s="48"/>
      <c r="S34" s="48">
        <f t="shared" si="1"/>
        <v>9997410</v>
      </c>
      <c r="T34" s="44"/>
      <c r="U34" s="48">
        <v>1698476</v>
      </c>
      <c r="W34" s="44">
        <f>+S34-'Stmt net assets'!O34-U34</f>
        <v>0</v>
      </c>
    </row>
    <row r="35" spans="1:25" s="65" customFormat="1" ht="12.75" customHeight="1" x14ac:dyDescent="0.2">
      <c r="A35" s="35" t="s">
        <v>50</v>
      </c>
      <c r="B35" s="51"/>
      <c r="C35" s="35" t="s">
        <v>27</v>
      </c>
      <c r="D35" s="35"/>
      <c r="E35" s="48">
        <f>2765000+25729</f>
        <v>2790729</v>
      </c>
      <c r="F35" s="48"/>
      <c r="G35" s="48">
        <v>0</v>
      </c>
      <c r="H35" s="48"/>
      <c r="I35" s="48">
        <v>0</v>
      </c>
      <c r="J35" s="48"/>
      <c r="K35" s="48">
        <f>1803132+118139</f>
        <v>1921271</v>
      </c>
      <c r="L35" s="48"/>
      <c r="M35" s="48">
        <v>2403</v>
      </c>
      <c r="N35" s="48"/>
      <c r="O35" s="48">
        <f>389000+313824+2189892</f>
        <v>2892716</v>
      </c>
      <c r="P35" s="48"/>
      <c r="Q35" s="48">
        <v>0</v>
      </c>
      <c r="R35" s="48"/>
      <c r="S35" s="48">
        <f t="shared" si="1"/>
        <v>7607119</v>
      </c>
      <c r="T35" s="44"/>
      <c r="U35" s="48">
        <v>1509210</v>
      </c>
      <c r="W35" s="44">
        <f>+S35-'Stmt net assets'!O35-U35</f>
        <v>0</v>
      </c>
    </row>
    <row r="36" spans="1:25" s="65" customFormat="1" ht="12.75" customHeight="1" x14ac:dyDescent="0.2">
      <c r="A36" s="35" t="s">
        <v>51</v>
      </c>
      <c r="B36" s="51"/>
      <c r="C36" s="35" t="s">
        <v>27</v>
      </c>
      <c r="D36" s="35"/>
      <c r="E36" s="48">
        <v>4775606</v>
      </c>
      <c r="F36" s="48"/>
      <c r="G36" s="48">
        <v>0</v>
      </c>
      <c r="H36" s="48"/>
      <c r="I36" s="48">
        <v>0</v>
      </c>
      <c r="J36" s="48"/>
      <c r="K36" s="48">
        <v>192395</v>
      </c>
      <c r="L36" s="48"/>
      <c r="M36" s="48">
        <v>1747417</v>
      </c>
      <c r="N36" s="48"/>
      <c r="O36" s="48">
        <v>1407993</v>
      </c>
      <c r="P36" s="48"/>
      <c r="Q36" s="48">
        <f>47840+6928474</f>
        <v>6976314</v>
      </c>
      <c r="R36" s="48"/>
      <c r="S36" s="48">
        <f t="shared" si="1"/>
        <v>15099725</v>
      </c>
      <c r="T36" s="44"/>
      <c r="U36" s="48">
        <v>914503</v>
      </c>
      <c r="W36" s="44">
        <f>+S36-'Stmt net assets'!O36-U36</f>
        <v>0</v>
      </c>
    </row>
    <row r="37" spans="1:25" s="65" customFormat="1" ht="12.75" customHeight="1" x14ac:dyDescent="0.2">
      <c r="A37" s="35" t="s">
        <v>462</v>
      </c>
      <c r="B37" s="51"/>
      <c r="C37" s="35" t="s">
        <v>66</v>
      </c>
      <c r="D37" s="35"/>
      <c r="E37" s="48">
        <v>0</v>
      </c>
      <c r="F37" s="48"/>
      <c r="G37" s="48">
        <v>0</v>
      </c>
      <c r="H37" s="48"/>
      <c r="I37" s="48">
        <f>400000+933000</f>
        <v>1333000</v>
      </c>
      <c r="J37" s="48"/>
      <c r="K37" s="48">
        <v>13781</v>
      </c>
      <c r="L37" s="48"/>
      <c r="M37" s="48">
        <f>8530+75157</f>
        <v>83687</v>
      </c>
      <c r="N37" s="48"/>
      <c r="O37" s="48">
        <v>120949</v>
      </c>
      <c r="P37" s="48"/>
      <c r="Q37" s="48">
        <v>0</v>
      </c>
      <c r="R37" s="48"/>
      <c r="S37" s="48">
        <f t="shared" si="1"/>
        <v>1551417</v>
      </c>
      <c r="T37" s="44"/>
      <c r="U37" s="48">
        <v>525922</v>
      </c>
      <c r="W37" s="44">
        <f>+S37-'Stmt net assets'!O37-U37</f>
        <v>0</v>
      </c>
    </row>
    <row r="38" spans="1:25" s="65" customFormat="1" ht="12.75" customHeight="1" x14ac:dyDescent="0.2">
      <c r="A38" s="35" t="s">
        <v>52</v>
      </c>
      <c r="B38" s="51"/>
      <c r="C38" s="35" t="s">
        <v>53</v>
      </c>
      <c r="D38" s="35"/>
      <c r="E38" s="48">
        <v>4462830</v>
      </c>
      <c r="F38" s="48"/>
      <c r="G38" s="48">
        <v>1597631</v>
      </c>
      <c r="H38" s="48"/>
      <c r="I38" s="48">
        <v>0</v>
      </c>
      <c r="J38" s="48"/>
      <c r="K38" s="48">
        <v>426030</v>
      </c>
      <c r="L38" s="48"/>
      <c r="M38" s="48">
        <v>105195</v>
      </c>
      <c r="N38" s="48"/>
      <c r="O38" s="48">
        <v>443758</v>
      </c>
      <c r="P38" s="48"/>
      <c r="Q38" s="48">
        <v>0</v>
      </c>
      <c r="R38" s="48"/>
      <c r="S38" s="48">
        <f t="shared" si="1"/>
        <v>7035444</v>
      </c>
      <c r="T38" s="44"/>
      <c r="U38" s="48">
        <v>606780</v>
      </c>
      <c r="W38" s="44">
        <f>+S38-'Stmt net assets'!O38-U38</f>
        <v>0</v>
      </c>
    </row>
    <row r="39" spans="1:25" s="65" customFormat="1" ht="12.75" customHeight="1" x14ac:dyDescent="0.2">
      <c r="A39" s="35" t="s">
        <v>54</v>
      </c>
      <c r="B39" s="51"/>
      <c r="C39" s="35" t="s">
        <v>55</v>
      </c>
      <c r="D39" s="35"/>
      <c r="E39" s="48">
        <v>5094917</v>
      </c>
      <c r="F39" s="48"/>
      <c r="G39" s="48">
        <v>0</v>
      </c>
      <c r="H39" s="48"/>
      <c r="I39" s="48">
        <v>1000000</v>
      </c>
      <c r="J39" s="48"/>
      <c r="K39" s="48">
        <v>0</v>
      </c>
      <c r="L39" s="48"/>
      <c r="M39" s="48">
        <v>0</v>
      </c>
      <c r="N39" s="48"/>
      <c r="O39" s="48">
        <v>1052853</v>
      </c>
      <c r="P39" s="48"/>
      <c r="Q39" s="48">
        <v>0</v>
      </c>
      <c r="R39" s="48"/>
      <c r="S39" s="48">
        <f t="shared" si="1"/>
        <v>7147770</v>
      </c>
      <c r="T39" s="44"/>
      <c r="U39" s="48">
        <v>1460355</v>
      </c>
      <c r="W39" s="44">
        <f>+S39-'Stmt net assets'!O39-U39</f>
        <v>0</v>
      </c>
    </row>
    <row r="40" spans="1:25" s="65" customFormat="1" ht="12.75" customHeight="1" x14ac:dyDescent="0.2">
      <c r="A40" s="35" t="s">
        <v>56</v>
      </c>
      <c r="B40" s="51"/>
      <c r="C40" s="35" t="s">
        <v>57</v>
      </c>
      <c r="D40" s="35"/>
      <c r="E40" s="48">
        <v>0</v>
      </c>
      <c r="F40" s="48"/>
      <c r="G40" s="48">
        <v>91000</v>
      </c>
      <c r="H40" s="48"/>
      <c r="I40" s="48">
        <v>0</v>
      </c>
      <c r="J40" s="48"/>
      <c r="K40" s="48">
        <v>172000</v>
      </c>
      <c r="L40" s="48"/>
      <c r="M40" s="48">
        <v>4379</v>
      </c>
      <c r="N40" s="48"/>
      <c r="O40" s="48">
        <v>620806</v>
      </c>
      <c r="P40" s="48"/>
      <c r="Q40" s="48">
        <f>131060+149632</f>
        <v>280692</v>
      </c>
      <c r="R40" s="48"/>
      <c r="S40" s="48">
        <f t="shared" si="1"/>
        <v>1168877</v>
      </c>
      <c r="T40" s="44"/>
      <c r="U40" s="48">
        <v>128548</v>
      </c>
      <c r="W40" s="44">
        <f>+S40-'Stmt net assets'!O40-U40</f>
        <v>0</v>
      </c>
    </row>
    <row r="41" spans="1:25" s="65" customFormat="1" ht="12.75" customHeight="1" x14ac:dyDescent="0.2">
      <c r="A41" s="35" t="s">
        <v>58</v>
      </c>
      <c r="B41" s="51"/>
      <c r="C41" s="35" t="s">
        <v>59</v>
      </c>
      <c r="D41" s="35"/>
      <c r="E41" s="48">
        <v>3982556</v>
      </c>
      <c r="F41" s="48"/>
      <c r="G41" s="48">
        <v>0</v>
      </c>
      <c r="H41" s="48"/>
      <c r="I41" s="48">
        <v>0</v>
      </c>
      <c r="J41" s="48"/>
      <c r="K41" s="48">
        <v>9950</v>
      </c>
      <c r="L41" s="48"/>
      <c r="M41" s="48">
        <v>187050</v>
      </c>
      <c r="N41" s="48"/>
      <c r="O41" s="48">
        <v>719393</v>
      </c>
      <c r="P41" s="48"/>
      <c r="Q41" s="48">
        <v>468501</v>
      </c>
      <c r="R41" s="48"/>
      <c r="S41" s="48">
        <f t="shared" si="1"/>
        <v>5367450</v>
      </c>
      <c r="T41" s="44"/>
      <c r="U41" s="48">
        <v>239105</v>
      </c>
      <c r="W41" s="44">
        <f>+S41-'Stmt net assets'!O41-U41</f>
        <v>0</v>
      </c>
    </row>
    <row r="42" spans="1:25" s="65" customFormat="1" ht="12.75" customHeight="1" x14ac:dyDescent="0.2">
      <c r="A42" s="44" t="s">
        <v>476</v>
      </c>
      <c r="B42" s="51"/>
      <c r="C42" s="35" t="s">
        <v>15</v>
      </c>
      <c r="D42" s="35"/>
      <c r="E42" s="48">
        <v>1153916</v>
      </c>
      <c r="F42" s="48"/>
      <c r="G42" s="48">
        <v>0</v>
      </c>
      <c r="H42" s="48"/>
      <c r="I42" s="48">
        <v>0</v>
      </c>
      <c r="J42" s="48"/>
      <c r="K42" s="48">
        <v>0</v>
      </c>
      <c r="L42" s="48"/>
      <c r="M42" s="48">
        <v>0</v>
      </c>
      <c r="N42" s="48"/>
      <c r="O42" s="48">
        <v>76298</v>
      </c>
      <c r="P42" s="48"/>
      <c r="Q42" s="48">
        <v>0</v>
      </c>
      <c r="R42" s="48"/>
      <c r="S42" s="48">
        <f t="shared" si="1"/>
        <v>1230214</v>
      </c>
      <c r="T42" s="44"/>
      <c r="U42" s="48">
        <v>60000</v>
      </c>
      <c r="W42" s="44">
        <f>+S42-'Stmt net assets'!O42-U42</f>
        <v>0</v>
      </c>
    </row>
    <row r="43" spans="1:25" s="65" customFormat="1" ht="12.75" customHeight="1" x14ac:dyDescent="0.2">
      <c r="A43" s="44" t="s">
        <v>504</v>
      </c>
      <c r="B43" s="47"/>
      <c r="C43" s="44" t="s">
        <v>43</v>
      </c>
      <c r="D43" s="35"/>
      <c r="E43" s="48">
        <f>6205000-7818</f>
        <v>6197182</v>
      </c>
      <c r="F43" s="48"/>
      <c r="G43" s="48">
        <v>0</v>
      </c>
      <c r="H43" s="48"/>
      <c r="I43" s="48">
        <v>1700000</v>
      </c>
      <c r="J43" s="48"/>
      <c r="K43" s="48">
        <v>2258982</v>
      </c>
      <c r="L43" s="48"/>
      <c r="M43" s="48">
        <f>57968+45505</f>
        <v>103473</v>
      </c>
      <c r="N43" s="48"/>
      <c r="O43" s="48">
        <v>225838</v>
      </c>
      <c r="P43" s="48"/>
      <c r="Q43" s="48">
        <v>0</v>
      </c>
      <c r="R43" s="48"/>
      <c r="S43" s="48">
        <f t="shared" ref="S43" si="3">SUM(E43:Q43)</f>
        <v>10485475</v>
      </c>
      <c r="T43" s="44"/>
      <c r="U43" s="48">
        <v>2516305</v>
      </c>
      <c r="W43" s="44">
        <f>+S43-'Stmt net assets'!O43-U43</f>
        <v>0</v>
      </c>
    </row>
    <row r="44" spans="1:25" s="65" customFormat="1" ht="12.75" customHeight="1" x14ac:dyDescent="0.2">
      <c r="A44" s="35" t="s">
        <v>60</v>
      </c>
      <c r="B44" s="51"/>
      <c r="C44" s="35" t="s">
        <v>61</v>
      </c>
      <c r="D44" s="35"/>
      <c r="E44" s="48">
        <v>1000000</v>
      </c>
      <c r="F44" s="48"/>
      <c r="G44" s="48">
        <v>0</v>
      </c>
      <c r="H44" s="48"/>
      <c r="I44" s="48">
        <v>0</v>
      </c>
      <c r="J44" s="48"/>
      <c r="K44" s="48">
        <v>144271</v>
      </c>
      <c r="L44" s="48"/>
      <c r="M44" s="48">
        <v>0</v>
      </c>
      <c r="N44" s="48"/>
      <c r="O44" s="48">
        <v>171981</v>
      </c>
      <c r="P44" s="48"/>
      <c r="Q44" s="48">
        <v>0</v>
      </c>
      <c r="R44" s="48"/>
      <c r="S44" s="48">
        <f t="shared" si="1"/>
        <v>1316252</v>
      </c>
      <c r="T44" s="44"/>
      <c r="U44" s="48">
        <v>277330</v>
      </c>
      <c r="W44" s="44">
        <f>+S44-'Stmt net assets'!O44-U44</f>
        <v>0</v>
      </c>
    </row>
    <row r="45" spans="1:25" s="65" customFormat="1" ht="12.75" hidden="1" customHeight="1" x14ac:dyDescent="0.2">
      <c r="A45" s="44" t="s">
        <v>62</v>
      </c>
      <c r="B45" s="51"/>
      <c r="C45" s="35" t="s">
        <v>15</v>
      </c>
      <c r="D45" s="35"/>
      <c r="E45" s="48">
        <v>13835411</v>
      </c>
      <c r="F45" s="48"/>
      <c r="G45" s="48">
        <v>0</v>
      </c>
      <c r="H45" s="48"/>
      <c r="I45" s="48">
        <v>0</v>
      </c>
      <c r="J45" s="48"/>
      <c r="K45" s="48">
        <f>812122+633005+39100+559826+51353</f>
        <v>2095406</v>
      </c>
      <c r="L45" s="48"/>
      <c r="M45" s="48">
        <v>424800</v>
      </c>
      <c r="N45" s="48"/>
      <c r="O45" s="48">
        <v>7084936</v>
      </c>
      <c r="P45" s="48"/>
      <c r="Q45" s="48">
        <v>0</v>
      </c>
      <c r="R45" s="48"/>
      <c r="S45" s="48">
        <f t="shared" si="1"/>
        <v>23440553</v>
      </c>
      <c r="T45" s="44"/>
      <c r="U45" s="48">
        <v>3845156</v>
      </c>
      <c r="W45" s="44">
        <f>+S45-'Stmt net assets'!O45-U45</f>
        <v>-1225893</v>
      </c>
      <c r="Y45" s="121" t="s">
        <v>503</v>
      </c>
    </row>
    <row r="46" spans="1:25" s="125" customFormat="1" ht="12.75" hidden="1" customHeight="1" x14ac:dyDescent="0.2">
      <c r="A46" s="126" t="s">
        <v>485</v>
      </c>
      <c r="B46" s="124"/>
      <c r="C46" s="126" t="s">
        <v>111</v>
      </c>
      <c r="D46" s="126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>
        <f t="shared" si="1"/>
        <v>0</v>
      </c>
      <c r="T46" s="121"/>
      <c r="U46" s="130"/>
      <c r="W46" s="121">
        <f>+S46-'Stmt net assets'!O46-U46</f>
        <v>0</v>
      </c>
      <c r="Y46" s="121" t="s">
        <v>505</v>
      </c>
    </row>
    <row r="47" spans="1:25" s="65" customFormat="1" ht="12.75" customHeight="1" x14ac:dyDescent="0.2">
      <c r="A47" s="35" t="s">
        <v>63</v>
      </c>
      <c r="B47" s="51"/>
      <c r="C47" s="35" t="s">
        <v>64</v>
      </c>
      <c r="D47" s="35"/>
      <c r="E47" s="48">
        <v>2883070</v>
      </c>
      <c r="F47" s="48"/>
      <c r="G47" s="48">
        <v>0</v>
      </c>
      <c r="H47" s="48"/>
      <c r="I47" s="48">
        <f>1100000+1350000</f>
        <v>2450000</v>
      </c>
      <c r="J47" s="48"/>
      <c r="K47" s="48">
        <f>137465+508735</f>
        <v>646200</v>
      </c>
      <c r="L47" s="48"/>
      <c r="M47" s="48">
        <v>0</v>
      </c>
      <c r="N47" s="48"/>
      <c r="O47" s="48">
        <v>411656</v>
      </c>
      <c r="P47" s="48"/>
      <c r="Q47" s="48">
        <v>0</v>
      </c>
      <c r="R47" s="48"/>
      <c r="S47" s="48">
        <f t="shared" si="1"/>
        <v>6390926</v>
      </c>
      <c r="T47" s="44"/>
      <c r="U47" s="48">
        <v>526570</v>
      </c>
      <c r="W47" s="44">
        <f>+S47-'Stmt net assets'!O47-U47</f>
        <v>0</v>
      </c>
    </row>
    <row r="48" spans="1:25" s="65" customFormat="1" ht="12.75" customHeight="1" x14ac:dyDescent="0.2">
      <c r="A48" s="35" t="s">
        <v>65</v>
      </c>
      <c r="B48" s="51"/>
      <c r="C48" s="35" t="s">
        <v>66</v>
      </c>
      <c r="D48" s="35"/>
      <c r="E48" s="48">
        <v>559734</v>
      </c>
      <c r="F48" s="48"/>
      <c r="G48" s="48">
        <v>6105000</v>
      </c>
      <c r="H48" s="48"/>
      <c r="I48" s="48">
        <v>718303</v>
      </c>
      <c r="J48" s="48"/>
      <c r="K48" s="48">
        <v>0</v>
      </c>
      <c r="L48" s="48"/>
      <c r="M48" s="48">
        <v>0</v>
      </c>
      <c r="N48" s="48"/>
      <c r="O48" s="48">
        <v>698250</v>
      </c>
      <c r="P48" s="48"/>
      <c r="Q48" s="48">
        <v>0</v>
      </c>
      <c r="R48" s="48"/>
      <c r="S48" s="48">
        <f t="shared" si="1"/>
        <v>8081287</v>
      </c>
      <c r="T48" s="44"/>
      <c r="U48" s="48">
        <v>610728</v>
      </c>
      <c r="W48" s="44">
        <f>+S48-'Stmt net assets'!O48-U48</f>
        <v>0</v>
      </c>
    </row>
    <row r="49" spans="1:25" s="65" customFormat="1" ht="12.75" customHeight="1" x14ac:dyDescent="0.2">
      <c r="A49" s="64" t="s">
        <v>67</v>
      </c>
      <c r="B49" s="66"/>
      <c r="C49" s="64" t="s">
        <v>375</v>
      </c>
      <c r="D49" s="64"/>
      <c r="E49" s="48">
        <v>740000</v>
      </c>
      <c r="F49" s="48"/>
      <c r="G49" s="48">
        <v>0</v>
      </c>
      <c r="H49" s="48"/>
      <c r="I49" s="48">
        <v>0</v>
      </c>
      <c r="J49" s="48"/>
      <c r="K49" s="48">
        <v>984736</v>
      </c>
      <c r="L49" s="48"/>
      <c r="M49" s="48">
        <v>0</v>
      </c>
      <c r="N49" s="48"/>
      <c r="O49" s="48">
        <v>532933</v>
      </c>
      <c r="P49" s="48"/>
      <c r="Q49" s="48">
        <v>0</v>
      </c>
      <c r="R49" s="48"/>
      <c r="S49" s="48">
        <f t="shared" si="1"/>
        <v>2257669</v>
      </c>
      <c r="T49" s="44"/>
      <c r="U49" s="48">
        <v>466372</v>
      </c>
      <c r="W49" s="44">
        <f>+S49-'Stmt net assets'!O49-U49</f>
        <v>0</v>
      </c>
      <c r="Y49" s="147"/>
    </row>
    <row r="50" spans="1:25" s="65" customFormat="1" ht="12.75" customHeight="1" x14ac:dyDescent="0.2">
      <c r="A50" s="64" t="s">
        <v>68</v>
      </c>
      <c r="B50" s="66"/>
      <c r="C50" s="64" t="s">
        <v>45</v>
      </c>
      <c r="D50" s="64"/>
      <c r="E50" s="48">
        <v>0</v>
      </c>
      <c r="F50" s="48"/>
      <c r="G50" s="48">
        <v>0</v>
      </c>
      <c r="H50" s="48"/>
      <c r="I50" s="48">
        <v>0</v>
      </c>
      <c r="J50" s="48"/>
      <c r="K50" s="48">
        <v>0</v>
      </c>
      <c r="L50" s="48"/>
      <c r="M50" s="48">
        <v>0</v>
      </c>
      <c r="N50" s="48"/>
      <c r="O50" s="48">
        <v>122396</v>
      </c>
      <c r="P50" s="48"/>
      <c r="Q50" s="48">
        <v>0</v>
      </c>
      <c r="R50" s="48"/>
      <c r="S50" s="48">
        <f t="shared" si="1"/>
        <v>122396</v>
      </c>
      <c r="T50" s="44"/>
      <c r="U50" s="48">
        <v>7776</v>
      </c>
      <c r="W50" s="44">
        <f>+S50-'Stmt net assets'!O50-U50</f>
        <v>0</v>
      </c>
    </row>
    <row r="51" spans="1:25" s="65" customFormat="1" ht="12.75" customHeight="1" x14ac:dyDescent="0.2">
      <c r="A51" s="35" t="s">
        <v>69</v>
      </c>
      <c r="B51" s="51"/>
      <c r="C51" s="35" t="s">
        <v>70</v>
      </c>
      <c r="D51" s="35"/>
      <c r="E51" s="48">
        <v>75000</v>
      </c>
      <c r="F51" s="48"/>
      <c r="G51" s="48">
        <v>0</v>
      </c>
      <c r="H51" s="48"/>
      <c r="I51" s="48">
        <v>0</v>
      </c>
      <c r="J51" s="48"/>
      <c r="K51" s="48">
        <v>37838</v>
      </c>
      <c r="L51" s="48"/>
      <c r="M51" s="48">
        <v>270679</v>
      </c>
      <c r="N51" s="48"/>
      <c r="O51" s="48">
        <v>1983747</v>
      </c>
      <c r="P51" s="48"/>
      <c r="Q51" s="48">
        <f>463056+375000</f>
        <v>838056</v>
      </c>
      <c r="R51" s="48"/>
      <c r="S51" s="48">
        <f t="shared" si="1"/>
        <v>3205320</v>
      </c>
      <c r="T51" s="44"/>
      <c r="U51" s="48">
        <v>1060011</v>
      </c>
      <c r="W51" s="44">
        <f>+S51-'Stmt net assets'!O51-U51</f>
        <v>0</v>
      </c>
    </row>
    <row r="52" spans="1:25" s="65" customFormat="1" ht="12.75" customHeight="1" x14ac:dyDescent="0.2">
      <c r="A52" s="35" t="s">
        <v>71</v>
      </c>
      <c r="B52" s="51"/>
      <c r="C52" s="35" t="s">
        <v>45</v>
      </c>
      <c r="D52" s="35"/>
      <c r="E52" s="48">
        <v>419978000</v>
      </c>
      <c r="F52" s="48"/>
      <c r="G52" s="48">
        <v>95668000</v>
      </c>
      <c r="H52" s="48"/>
      <c r="I52" s="48">
        <v>13300000</v>
      </c>
      <c r="J52" s="48"/>
      <c r="K52" s="48">
        <v>2636000</v>
      </c>
      <c r="L52" s="48"/>
      <c r="M52" s="48">
        <v>353000</v>
      </c>
      <c r="N52" s="48"/>
      <c r="O52" s="48">
        <v>100715000</v>
      </c>
      <c r="P52" s="48"/>
      <c r="Q52" s="48">
        <f>49217000+94075000+69483000+1258000</f>
        <v>214033000</v>
      </c>
      <c r="R52" s="48"/>
      <c r="S52" s="48">
        <f t="shared" si="1"/>
        <v>846683000</v>
      </c>
      <c r="T52" s="44"/>
      <c r="U52" s="48">
        <v>99966000</v>
      </c>
      <c r="W52" s="44">
        <f>+S52-'Stmt net assets'!O52-U52</f>
        <v>0</v>
      </c>
    </row>
    <row r="53" spans="1:25" s="65" customFormat="1" ht="12.75" customHeight="1" x14ac:dyDescent="0.2">
      <c r="A53" s="44" t="s">
        <v>463</v>
      </c>
      <c r="B53" s="51"/>
      <c r="C53" s="44" t="s">
        <v>464</v>
      </c>
      <c r="D53" s="44"/>
      <c r="E53" s="48">
        <v>3434275</v>
      </c>
      <c r="F53" s="48"/>
      <c r="G53" s="48">
        <v>0</v>
      </c>
      <c r="H53" s="48"/>
      <c r="I53" s="48">
        <v>0</v>
      </c>
      <c r="J53" s="48"/>
      <c r="K53" s="48">
        <v>0</v>
      </c>
      <c r="L53" s="48"/>
      <c r="M53" s="48">
        <v>78830</v>
      </c>
      <c r="N53" s="48"/>
      <c r="O53" s="48">
        <v>454316</v>
      </c>
      <c r="P53" s="48"/>
      <c r="Q53" s="48">
        <v>0</v>
      </c>
      <c r="R53" s="48"/>
      <c r="S53" s="48">
        <f t="shared" si="1"/>
        <v>3967421</v>
      </c>
      <c r="T53" s="44"/>
      <c r="U53" s="48">
        <v>668844</v>
      </c>
      <c r="W53" s="44">
        <f>+S53-'Stmt net assets'!O53-U53</f>
        <v>0</v>
      </c>
      <c r="Y53" s="147"/>
    </row>
    <row r="54" spans="1:25" s="65" customFormat="1" ht="12.75" customHeight="1" x14ac:dyDescent="0.2">
      <c r="A54" s="35" t="s">
        <v>72</v>
      </c>
      <c r="B54" s="51"/>
      <c r="C54" s="35" t="s">
        <v>66</v>
      </c>
      <c r="D54" s="35"/>
      <c r="E54" s="48">
        <v>5604576</v>
      </c>
      <c r="F54" s="48"/>
      <c r="G54" s="48">
        <v>0</v>
      </c>
      <c r="H54" s="48"/>
      <c r="I54" s="48">
        <v>0</v>
      </c>
      <c r="J54" s="48"/>
      <c r="K54" s="48">
        <v>0</v>
      </c>
      <c r="L54" s="48"/>
      <c r="M54" s="48">
        <v>355847</v>
      </c>
      <c r="N54" s="48"/>
      <c r="O54" s="48">
        <v>201547</v>
      </c>
      <c r="P54" s="48"/>
      <c r="Q54" s="48">
        <v>0</v>
      </c>
      <c r="R54" s="48"/>
      <c r="S54" s="48">
        <f t="shared" si="1"/>
        <v>6161970</v>
      </c>
      <c r="T54" s="44"/>
      <c r="U54" s="48">
        <v>488405</v>
      </c>
      <c r="W54" s="44">
        <f>+S54-'Stmt net assets'!O54-U54</f>
        <v>0</v>
      </c>
    </row>
    <row r="55" spans="1:25" s="65" customFormat="1" ht="12.75" customHeight="1" x14ac:dyDescent="0.2">
      <c r="A55" s="35" t="s">
        <v>73</v>
      </c>
      <c r="C55" s="35" t="s">
        <v>27</v>
      </c>
      <c r="D55" s="35"/>
      <c r="E55" s="48">
        <f>298660000-8325000+15602000</f>
        <v>305937000</v>
      </c>
      <c r="F55" s="48"/>
      <c r="G55" s="48">
        <v>0</v>
      </c>
      <c r="H55" s="48"/>
      <c r="I55" s="48">
        <v>1250000</v>
      </c>
      <c r="J55" s="48"/>
      <c r="K55" s="48">
        <v>0</v>
      </c>
      <c r="L55" s="48"/>
      <c r="M55" s="48">
        <v>12908000</v>
      </c>
      <c r="N55" s="48"/>
      <c r="O55" s="48">
        <v>51069000</v>
      </c>
      <c r="P55" s="48"/>
      <c r="Q55" s="48">
        <f>+(4835+52975+80505+11665+40395+6531+11000+129547+48912+2999+2528)*1000</f>
        <v>391892000</v>
      </c>
      <c r="R55" s="48"/>
      <c r="S55" s="48">
        <f t="shared" si="1"/>
        <v>763056000</v>
      </c>
      <c r="T55" s="44"/>
      <c r="U55" s="48">
        <v>79303000</v>
      </c>
      <c r="W55" s="44">
        <f>+S55-'Stmt net assets'!O55-U55</f>
        <v>0</v>
      </c>
    </row>
    <row r="56" spans="1:25" s="65" customFormat="1" ht="12.75" customHeight="1" x14ac:dyDescent="0.2">
      <c r="A56" s="35" t="s">
        <v>74</v>
      </c>
      <c r="B56" s="51"/>
      <c r="C56" s="35" t="s">
        <v>27</v>
      </c>
      <c r="D56" s="35"/>
      <c r="E56" s="48">
        <v>13721131</v>
      </c>
      <c r="F56" s="48"/>
      <c r="G56" s="48">
        <v>2703837</v>
      </c>
      <c r="H56" s="48"/>
      <c r="I56" s="48">
        <v>0</v>
      </c>
      <c r="J56" s="48"/>
      <c r="K56" s="48">
        <v>1307256</v>
      </c>
      <c r="L56" s="48"/>
      <c r="M56" s="48">
        <v>408081</v>
      </c>
      <c r="N56" s="48"/>
      <c r="O56" s="48">
        <v>6244180</v>
      </c>
      <c r="P56" s="48"/>
      <c r="Q56" s="48">
        <v>750106</v>
      </c>
      <c r="R56" s="48"/>
      <c r="S56" s="48">
        <f t="shared" si="1"/>
        <v>25134591</v>
      </c>
      <c r="T56" s="44"/>
      <c r="U56" s="48">
        <v>5217328</v>
      </c>
      <c r="W56" s="44">
        <f>+S56-'Stmt net assets'!O56-U56</f>
        <v>0</v>
      </c>
    </row>
    <row r="57" spans="1:25" s="66" customFormat="1" ht="12.75" customHeight="1" x14ac:dyDescent="0.2">
      <c r="A57" s="35" t="s">
        <v>75</v>
      </c>
      <c r="B57" s="51"/>
      <c r="C57" s="35" t="s">
        <v>76</v>
      </c>
      <c r="D57" s="35"/>
      <c r="E57" s="48">
        <v>2045000</v>
      </c>
      <c r="F57" s="48"/>
      <c r="G57" s="48">
        <v>0</v>
      </c>
      <c r="H57" s="48"/>
      <c r="I57" s="48">
        <v>0</v>
      </c>
      <c r="J57" s="48"/>
      <c r="K57" s="48">
        <v>165088</v>
      </c>
      <c r="L57" s="48"/>
      <c r="M57" s="48">
        <v>32164</v>
      </c>
      <c r="N57" s="48"/>
      <c r="O57" s="48">
        <v>133002</v>
      </c>
      <c r="P57" s="48"/>
      <c r="Q57" s="48">
        <v>68564</v>
      </c>
      <c r="R57" s="48"/>
      <c r="S57" s="48">
        <f t="shared" si="1"/>
        <v>2443818</v>
      </c>
      <c r="T57" s="44"/>
      <c r="U57" s="48">
        <v>467860</v>
      </c>
      <c r="V57" s="65"/>
      <c r="W57" s="44">
        <f>+S57-'Stmt net assets'!O57-U57</f>
        <v>0</v>
      </c>
    </row>
    <row r="58" spans="1:25" s="65" customFormat="1" ht="12.75" hidden="1" customHeight="1" x14ac:dyDescent="0.2">
      <c r="A58" s="35" t="s">
        <v>77</v>
      </c>
      <c r="B58" s="51"/>
      <c r="C58" s="35" t="s">
        <v>43</v>
      </c>
      <c r="D58" s="35"/>
      <c r="E58" s="48">
        <f>924785000+5080000+22872000+26926000</f>
        <v>979663000</v>
      </c>
      <c r="F58" s="48"/>
      <c r="G58" s="48">
        <v>0</v>
      </c>
      <c r="H58" s="48"/>
      <c r="I58" s="48">
        <f>6456000+2100000+11380000</f>
        <v>19936000</v>
      </c>
      <c r="J58" s="48"/>
      <c r="K58" s="48"/>
      <c r="L58" s="48"/>
      <c r="M58" s="48">
        <v>2000000</v>
      </c>
      <c r="N58" s="48"/>
      <c r="O58" s="48">
        <v>0</v>
      </c>
      <c r="P58" s="48"/>
      <c r="Q58" s="48">
        <f>49255000+10249000</f>
        <v>59504000</v>
      </c>
      <c r="R58" s="48"/>
      <c r="S58" s="48">
        <f t="shared" si="1"/>
        <v>1061103000</v>
      </c>
      <c r="T58" s="44"/>
      <c r="U58" s="48">
        <v>101901000</v>
      </c>
      <c r="W58" s="44">
        <f>+S58-'Stmt net assets'!O58-U58</f>
        <v>-77395000</v>
      </c>
      <c r="Y58" s="121" t="s">
        <v>503</v>
      </c>
    </row>
    <row r="59" spans="1:25" s="65" customFormat="1" ht="12.75" customHeight="1" x14ac:dyDescent="0.2">
      <c r="A59" s="35" t="s">
        <v>94</v>
      </c>
      <c r="B59" s="51"/>
      <c r="C59" s="35" t="s">
        <v>94</v>
      </c>
      <c r="D59" s="35"/>
      <c r="E59" s="48">
        <v>0</v>
      </c>
      <c r="F59" s="48"/>
      <c r="G59" s="48">
        <v>0</v>
      </c>
      <c r="H59" s="48"/>
      <c r="I59" s="48">
        <v>0</v>
      </c>
      <c r="J59" s="48"/>
      <c r="K59" s="48">
        <v>0</v>
      </c>
      <c r="L59" s="48"/>
      <c r="M59" s="48">
        <v>0</v>
      </c>
      <c r="N59" s="48"/>
      <c r="O59" s="48">
        <v>149780</v>
      </c>
      <c r="P59" s="48"/>
      <c r="Q59" s="48">
        <v>0</v>
      </c>
      <c r="R59" s="48"/>
      <c r="S59" s="48">
        <f t="shared" si="1"/>
        <v>149780</v>
      </c>
      <c r="T59" s="44"/>
      <c r="U59" s="48">
        <v>66566</v>
      </c>
      <c r="W59" s="44">
        <f>+S59-'Stmt net assets'!O59-U59</f>
        <v>0</v>
      </c>
      <c r="Y59" s="147"/>
    </row>
    <row r="60" spans="1:25" s="65" customFormat="1" ht="12.75" customHeight="1" x14ac:dyDescent="0.2">
      <c r="A60" s="35" t="s">
        <v>78</v>
      </c>
      <c r="B60" s="51"/>
      <c r="C60" s="35" t="s">
        <v>19</v>
      </c>
      <c r="D60" s="35"/>
      <c r="E60" s="48">
        <v>645000</v>
      </c>
      <c r="F60" s="48"/>
      <c r="G60" s="48">
        <v>0</v>
      </c>
      <c r="H60" s="48"/>
      <c r="I60" s="48">
        <v>399000</v>
      </c>
      <c r="J60" s="48"/>
      <c r="K60" s="48">
        <f>753536+1111053+21349</f>
        <v>1885938</v>
      </c>
      <c r="L60" s="48"/>
      <c r="M60" s="48">
        <v>37104</v>
      </c>
      <c r="N60" s="48"/>
      <c r="O60" s="48">
        <v>626618</v>
      </c>
      <c r="P60" s="48"/>
      <c r="Q60" s="48">
        <v>0</v>
      </c>
      <c r="R60" s="48"/>
      <c r="S60" s="48">
        <f t="shared" si="1"/>
        <v>3593660</v>
      </c>
      <c r="T60" s="44"/>
      <c r="U60" s="48">
        <v>563313</v>
      </c>
      <c r="W60" s="44">
        <f>+S60-'Stmt net assets'!O60-U60</f>
        <v>0</v>
      </c>
    </row>
    <row r="61" spans="1:25" s="65" customFormat="1" ht="12.75" customHeight="1" x14ac:dyDescent="0.2">
      <c r="A61" s="35" t="s">
        <v>79</v>
      </c>
      <c r="C61" s="35" t="s">
        <v>80</v>
      </c>
      <c r="D61" s="35"/>
      <c r="E61" s="48">
        <v>0</v>
      </c>
      <c r="F61" s="48"/>
      <c r="G61" s="48">
        <v>0</v>
      </c>
      <c r="H61" s="48"/>
      <c r="I61" s="48">
        <v>0</v>
      </c>
      <c r="J61" s="48"/>
      <c r="K61" s="48">
        <v>0</v>
      </c>
      <c r="L61" s="48"/>
      <c r="M61" s="48">
        <v>0</v>
      </c>
      <c r="N61" s="48"/>
      <c r="O61" s="48">
        <v>261410</v>
      </c>
      <c r="P61" s="48"/>
      <c r="Q61" s="48">
        <v>0</v>
      </c>
      <c r="R61" s="48"/>
      <c r="S61" s="48">
        <f t="shared" si="1"/>
        <v>261410</v>
      </c>
      <c r="T61" s="44"/>
      <c r="U61" s="48">
        <v>44821</v>
      </c>
      <c r="W61" s="44">
        <f>+S61-'Stmt net assets'!O61-U61</f>
        <v>0</v>
      </c>
    </row>
    <row r="62" spans="1:25" s="66" customFormat="1" ht="12.75" customHeight="1" x14ac:dyDescent="0.2">
      <c r="A62" s="35" t="s">
        <v>81</v>
      </c>
      <c r="B62" s="51"/>
      <c r="C62" s="35" t="s">
        <v>81</v>
      </c>
      <c r="D62" s="35"/>
      <c r="E62" s="48">
        <v>0</v>
      </c>
      <c r="F62" s="48"/>
      <c r="G62" s="48">
        <v>0</v>
      </c>
      <c r="H62" s="48"/>
      <c r="I62" s="48">
        <v>0</v>
      </c>
      <c r="J62" s="48"/>
      <c r="K62" s="48">
        <v>219887</v>
      </c>
      <c r="L62" s="48"/>
      <c r="M62" s="48">
        <v>0</v>
      </c>
      <c r="N62" s="48"/>
      <c r="O62" s="48">
        <v>657469</v>
      </c>
      <c r="P62" s="48"/>
      <c r="Q62" s="48">
        <v>0</v>
      </c>
      <c r="R62" s="48"/>
      <c r="S62" s="48">
        <f t="shared" si="1"/>
        <v>877356</v>
      </c>
      <c r="T62" s="44"/>
      <c r="U62" s="48">
        <v>151724</v>
      </c>
      <c r="V62" s="65"/>
      <c r="W62" s="44">
        <f>+S62-'Stmt net assets'!O62-U62</f>
        <v>0</v>
      </c>
    </row>
    <row r="63" spans="1:25" s="125" customFormat="1" ht="12.75" hidden="1" customHeight="1" x14ac:dyDescent="0.2">
      <c r="A63" s="122" t="s">
        <v>465</v>
      </c>
      <c r="B63" s="122"/>
      <c r="C63" s="122" t="s">
        <v>57</v>
      </c>
      <c r="D63" s="126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>
        <f t="shared" si="1"/>
        <v>0</v>
      </c>
      <c r="T63" s="121"/>
      <c r="U63" s="130"/>
      <c r="W63" s="121">
        <f>+S63-'Stmt net assets'!O63-U63</f>
        <v>0</v>
      </c>
    </row>
    <row r="64" spans="1:25" s="65" customFormat="1" ht="12.75" customHeight="1" x14ac:dyDescent="0.2">
      <c r="A64" s="35" t="s">
        <v>82</v>
      </c>
      <c r="B64" s="51"/>
      <c r="C64" s="35" t="s">
        <v>13</v>
      </c>
      <c r="D64" s="35"/>
      <c r="E64" s="48">
        <v>4422716</v>
      </c>
      <c r="F64" s="48"/>
      <c r="G64" s="48">
        <v>0</v>
      </c>
      <c r="H64" s="48"/>
      <c r="I64" s="48">
        <v>0</v>
      </c>
      <c r="J64" s="48"/>
      <c r="K64" s="48">
        <v>1662121</v>
      </c>
      <c r="L64" s="48"/>
      <c r="M64" s="48">
        <v>6384177</v>
      </c>
      <c r="N64" s="48"/>
      <c r="O64" s="48">
        <v>1542264</v>
      </c>
      <c r="P64" s="48"/>
      <c r="Q64" s="48">
        <v>0</v>
      </c>
      <c r="R64" s="48"/>
      <c r="S64" s="48">
        <f t="shared" si="1"/>
        <v>14011278</v>
      </c>
      <c r="T64" s="44"/>
      <c r="U64" s="48">
        <v>3228677</v>
      </c>
      <c r="W64" s="44">
        <f>+S64-'Stmt net assets'!O64-U64</f>
        <v>0</v>
      </c>
    </row>
    <row r="65" spans="1:25" s="65" customFormat="1" ht="12.75" customHeight="1" x14ac:dyDescent="0.2">
      <c r="A65" s="64"/>
      <c r="B65" s="66"/>
      <c r="C65" s="64"/>
      <c r="D65" s="64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4"/>
      <c r="U65" s="48" t="s">
        <v>484</v>
      </c>
      <c r="W65" s="44"/>
    </row>
    <row r="66" spans="1:25" s="65" customFormat="1" ht="12.75" customHeight="1" x14ac:dyDescent="0.2">
      <c r="A66" s="35" t="s">
        <v>83</v>
      </c>
      <c r="B66" s="51"/>
      <c r="C66" s="35" t="s">
        <v>66</v>
      </c>
      <c r="D66" s="35"/>
      <c r="E66" s="68">
        <f>46884969-864859+508640+38780000</f>
        <v>85308750</v>
      </c>
      <c r="F66" s="68"/>
      <c r="G66" s="68">
        <v>136900</v>
      </c>
      <c r="H66" s="68"/>
      <c r="I66" s="68">
        <v>0</v>
      </c>
      <c r="J66" s="68"/>
      <c r="K66" s="68">
        <f>152317+2860000</f>
        <v>3012317</v>
      </c>
      <c r="L66" s="68"/>
      <c r="M66" s="68">
        <v>0</v>
      </c>
      <c r="N66" s="68"/>
      <c r="O66" s="68">
        <v>8975060</v>
      </c>
      <c r="P66" s="68"/>
      <c r="Q66" s="68">
        <f>5586739+80953+22052</f>
        <v>5689744</v>
      </c>
      <c r="R66" s="68"/>
      <c r="S66" s="68">
        <f t="shared" si="1"/>
        <v>103122771</v>
      </c>
      <c r="T66" s="46"/>
      <c r="U66" s="68">
        <v>16793797</v>
      </c>
      <c r="W66" s="44">
        <f>+S66-'Stmt net assets'!O66-U66</f>
        <v>0</v>
      </c>
    </row>
    <row r="67" spans="1:25" s="65" customFormat="1" ht="12.75" customHeight="1" x14ac:dyDescent="0.2">
      <c r="A67" s="35" t="s">
        <v>84</v>
      </c>
      <c r="B67" s="51"/>
      <c r="C67" s="35" t="s">
        <v>45</v>
      </c>
      <c r="D67" s="35"/>
      <c r="E67" s="48">
        <v>2220000</v>
      </c>
      <c r="F67" s="48"/>
      <c r="G67" s="48">
        <v>0</v>
      </c>
      <c r="H67" s="48"/>
      <c r="I67" s="48">
        <v>125345</v>
      </c>
      <c r="J67" s="48"/>
      <c r="K67" s="48">
        <v>0</v>
      </c>
      <c r="L67" s="48"/>
      <c r="M67" s="48">
        <v>18856</v>
      </c>
      <c r="N67" s="48"/>
      <c r="O67" s="48">
        <v>156098</v>
      </c>
      <c r="P67" s="48"/>
      <c r="Q67" s="48">
        <f>30000+94365+92160</f>
        <v>216525</v>
      </c>
      <c r="R67" s="48"/>
      <c r="S67" s="48">
        <f t="shared" si="1"/>
        <v>2736824</v>
      </c>
      <c r="T67" s="44"/>
      <c r="U67" s="48">
        <v>225796</v>
      </c>
      <c r="W67" s="44">
        <f>+S67-'Stmt net assets'!O67-U67</f>
        <v>0</v>
      </c>
    </row>
    <row r="68" spans="1:25" s="65" customFormat="1" ht="12.75" customHeight="1" x14ac:dyDescent="0.2">
      <c r="A68" s="35" t="s">
        <v>85</v>
      </c>
      <c r="B68" s="51"/>
      <c r="C68" s="35" t="s">
        <v>85</v>
      </c>
      <c r="D68" s="35"/>
      <c r="E68" s="48">
        <f>4075000+42057</f>
        <v>4117057</v>
      </c>
      <c r="F68" s="48"/>
      <c r="G68" s="48">
        <v>42272</v>
      </c>
      <c r="H68" s="48"/>
      <c r="I68" s="48">
        <v>0</v>
      </c>
      <c r="J68" s="48"/>
      <c r="K68" s="48">
        <v>0</v>
      </c>
      <c r="L68" s="48"/>
      <c r="M68" s="48">
        <v>0</v>
      </c>
      <c r="N68" s="48"/>
      <c r="O68" s="48">
        <v>608388</v>
      </c>
      <c r="P68" s="48"/>
      <c r="Q68" s="48">
        <v>0</v>
      </c>
      <c r="R68" s="48"/>
      <c r="S68" s="48">
        <f t="shared" si="1"/>
        <v>4767717</v>
      </c>
      <c r="T68" s="44"/>
      <c r="U68" s="48">
        <v>426140</v>
      </c>
      <c r="W68" s="44">
        <f>+S68-'Stmt net assets'!O68-U68</f>
        <v>0</v>
      </c>
    </row>
    <row r="69" spans="1:25" s="65" customFormat="1" ht="12.75" customHeight="1" x14ac:dyDescent="0.2">
      <c r="A69" s="35" t="s">
        <v>86</v>
      </c>
      <c r="B69" s="51"/>
      <c r="C69" s="35" t="s">
        <v>86</v>
      </c>
      <c r="D69" s="35"/>
      <c r="E69" s="48">
        <f>3630000+2412834+144377-3590</f>
        <v>6183621</v>
      </c>
      <c r="F69" s="48"/>
      <c r="G69" s="48">
        <v>0</v>
      </c>
      <c r="H69" s="48"/>
      <c r="I69" s="48">
        <v>0</v>
      </c>
      <c r="J69" s="48"/>
      <c r="K69" s="48">
        <v>0</v>
      </c>
      <c r="L69" s="48"/>
      <c r="M69" s="48">
        <v>0</v>
      </c>
      <c r="N69" s="48"/>
      <c r="O69" s="48">
        <v>5501218</v>
      </c>
      <c r="P69" s="48"/>
      <c r="Q69" s="48">
        <f>19265000+282469</f>
        <v>19547469</v>
      </c>
      <c r="R69" s="48"/>
      <c r="S69" s="48">
        <f t="shared" si="1"/>
        <v>31232308</v>
      </c>
      <c r="T69" s="44"/>
      <c r="U69" s="48">
        <v>1786472</v>
      </c>
      <c r="W69" s="44">
        <f>+S69-'Stmt net assets'!O69-U69</f>
        <v>0</v>
      </c>
    </row>
    <row r="70" spans="1:25" s="65" customFormat="1" ht="12.75" customHeight="1" x14ac:dyDescent="0.2">
      <c r="A70" s="35" t="s">
        <v>87</v>
      </c>
      <c r="B70" s="51"/>
      <c r="C70" s="35" t="s">
        <v>88</v>
      </c>
      <c r="D70" s="35"/>
      <c r="E70" s="48">
        <v>0</v>
      </c>
      <c r="F70" s="48"/>
      <c r="G70" s="48">
        <v>0</v>
      </c>
      <c r="H70" s="48"/>
      <c r="I70" s="48">
        <v>0</v>
      </c>
      <c r="J70" s="48"/>
      <c r="K70" s="48">
        <v>0</v>
      </c>
      <c r="L70" s="48"/>
      <c r="M70" s="48">
        <v>0</v>
      </c>
      <c r="N70" s="48"/>
      <c r="O70" s="48">
        <v>467431</v>
      </c>
      <c r="P70" s="48"/>
      <c r="Q70" s="48">
        <v>0</v>
      </c>
      <c r="R70" s="48"/>
      <c r="S70" s="48">
        <f t="shared" si="0"/>
        <v>467431</v>
      </c>
      <c r="T70" s="44"/>
      <c r="U70" s="48">
        <v>162817</v>
      </c>
      <c r="W70" s="44">
        <f>+S70-'Stmt net assets'!O70-U70</f>
        <v>0</v>
      </c>
    </row>
    <row r="71" spans="1:25" s="65" customFormat="1" ht="12.75" customHeight="1" x14ac:dyDescent="0.2">
      <c r="A71" s="35" t="s">
        <v>395</v>
      </c>
      <c r="C71" s="35" t="s">
        <v>89</v>
      </c>
      <c r="D71" s="35"/>
      <c r="E71" s="48">
        <f>2670000+35897</f>
        <v>2705897</v>
      </c>
      <c r="F71" s="48"/>
      <c r="G71" s="48">
        <v>0</v>
      </c>
      <c r="H71" s="48"/>
      <c r="I71" s="48">
        <v>0</v>
      </c>
      <c r="J71" s="48"/>
      <c r="K71" s="48">
        <f>859474+100000</f>
        <v>959474</v>
      </c>
      <c r="L71" s="48"/>
      <c r="M71" s="48">
        <v>0</v>
      </c>
      <c r="N71" s="48"/>
      <c r="O71" s="48">
        <v>1158237</v>
      </c>
      <c r="P71" s="48"/>
      <c r="Q71" s="48">
        <v>266551</v>
      </c>
      <c r="R71" s="48"/>
      <c r="S71" s="48">
        <f t="shared" si="0"/>
        <v>5090159</v>
      </c>
      <c r="T71" s="44"/>
      <c r="U71" s="48">
        <v>316129</v>
      </c>
      <c r="W71" s="44">
        <f>+S71-'Stmt net assets'!O71-U71</f>
        <v>0</v>
      </c>
    </row>
    <row r="72" spans="1:25" s="107" customFormat="1" ht="12.75" hidden="1" customHeight="1" x14ac:dyDescent="0.2">
      <c r="A72" s="35" t="s">
        <v>90</v>
      </c>
      <c r="B72" s="96"/>
      <c r="C72" s="35" t="s">
        <v>43</v>
      </c>
      <c r="D72" s="35"/>
      <c r="E72" s="48">
        <v>34995000</v>
      </c>
      <c r="F72" s="48"/>
      <c r="G72" s="48">
        <v>0</v>
      </c>
      <c r="H72" s="48"/>
      <c r="I72" s="48">
        <v>0</v>
      </c>
      <c r="J72" s="48"/>
      <c r="K72" s="48">
        <v>6538357</v>
      </c>
      <c r="L72" s="48"/>
      <c r="M72" s="48">
        <v>0</v>
      </c>
      <c r="N72" s="48"/>
      <c r="O72" s="48">
        <v>3875376</v>
      </c>
      <c r="P72" s="48"/>
      <c r="Q72" s="48">
        <f>668000+2085619</f>
        <v>2753619</v>
      </c>
      <c r="R72" s="48"/>
      <c r="S72" s="48">
        <f t="shared" si="0"/>
        <v>48162352</v>
      </c>
      <c r="T72" s="44"/>
      <c r="U72" s="48">
        <v>6224457</v>
      </c>
      <c r="W72" s="44">
        <f>+S72-'Stmt net assets'!O72-U72</f>
        <v>116459</v>
      </c>
      <c r="Y72" s="44" t="s">
        <v>503</v>
      </c>
    </row>
    <row r="73" spans="1:25" s="65" customFormat="1" ht="12.75" customHeight="1" x14ac:dyDescent="0.2">
      <c r="A73" s="47" t="s">
        <v>488</v>
      </c>
      <c r="B73" s="47"/>
      <c r="C73" s="47" t="s">
        <v>27</v>
      </c>
      <c r="D73" s="35"/>
      <c r="E73" s="48">
        <v>0</v>
      </c>
      <c r="F73" s="48"/>
      <c r="G73" s="48">
        <v>0</v>
      </c>
      <c r="H73" s="48"/>
      <c r="I73" s="48">
        <v>0</v>
      </c>
      <c r="J73" s="48"/>
      <c r="K73" s="48">
        <v>3192447</v>
      </c>
      <c r="L73" s="48"/>
      <c r="M73" s="48">
        <v>146935</v>
      </c>
      <c r="N73" s="48"/>
      <c r="O73" s="48">
        <v>1116033</v>
      </c>
      <c r="P73" s="48"/>
      <c r="Q73" s="48">
        <f>1379736+71516</f>
        <v>1451252</v>
      </c>
      <c r="R73" s="48"/>
      <c r="S73" s="48">
        <f t="shared" si="0"/>
        <v>5906667</v>
      </c>
      <c r="T73" s="44"/>
      <c r="U73" s="48">
        <v>342640</v>
      </c>
      <c r="W73" s="44">
        <f>+S73-'Stmt net assets'!O73-U73</f>
        <v>0</v>
      </c>
    </row>
    <row r="74" spans="1:25" s="65" customFormat="1" ht="12.75" customHeight="1" x14ac:dyDescent="0.2">
      <c r="A74" s="44" t="s">
        <v>93</v>
      </c>
      <c r="B74" s="47"/>
      <c r="C74" s="44" t="s">
        <v>94</v>
      </c>
      <c r="D74" s="35"/>
      <c r="E74" s="48">
        <v>0</v>
      </c>
      <c r="F74" s="48"/>
      <c r="G74" s="48">
        <v>0</v>
      </c>
      <c r="H74" s="48"/>
      <c r="I74" s="48">
        <v>0</v>
      </c>
      <c r="J74" s="48"/>
      <c r="K74" s="48">
        <f>122597+633341+1227058+273679+76763</f>
        <v>2333438</v>
      </c>
      <c r="L74" s="48"/>
      <c r="M74" s="48">
        <v>47420</v>
      </c>
      <c r="N74" s="48"/>
      <c r="O74" s="48">
        <v>335951</v>
      </c>
      <c r="P74" s="48"/>
      <c r="Q74" s="48">
        <v>808305</v>
      </c>
      <c r="R74" s="48"/>
      <c r="S74" s="48">
        <f t="shared" si="0"/>
        <v>3525114</v>
      </c>
      <c r="T74" s="44"/>
      <c r="U74" s="48">
        <v>1563329</v>
      </c>
      <c r="W74" s="44">
        <f>+S74-'Stmt net assets'!O74-U74</f>
        <v>0</v>
      </c>
      <c r="X74" s="107"/>
    </row>
    <row r="75" spans="1:25" s="65" customFormat="1" ht="12.75" customHeight="1" x14ac:dyDescent="0.2">
      <c r="A75" s="35" t="s">
        <v>95</v>
      </c>
      <c r="C75" s="35" t="s">
        <v>94</v>
      </c>
      <c r="D75" s="35"/>
      <c r="E75" s="48">
        <v>0</v>
      </c>
      <c r="F75" s="48"/>
      <c r="G75" s="48">
        <v>0</v>
      </c>
      <c r="H75" s="48"/>
      <c r="I75" s="48">
        <v>108188</v>
      </c>
      <c r="J75" s="48"/>
      <c r="K75" s="48">
        <f>273858+264792+452088</f>
        <v>990738</v>
      </c>
      <c r="L75" s="48"/>
      <c r="M75" s="48">
        <v>4269</v>
      </c>
      <c r="N75" s="48"/>
      <c r="O75" s="48">
        <v>228297</v>
      </c>
      <c r="P75" s="48"/>
      <c r="Q75" s="48">
        <v>0</v>
      </c>
      <c r="R75" s="48"/>
      <c r="S75" s="48">
        <f t="shared" ref="S75:S132" si="4">SUM(E75:Q75)</f>
        <v>1331492</v>
      </c>
      <c r="T75" s="44"/>
      <c r="U75" s="48">
        <v>187259</v>
      </c>
      <c r="W75" s="44">
        <f>+S75-'Stmt net assets'!O75-U75</f>
        <v>0</v>
      </c>
    </row>
    <row r="76" spans="1:25" s="65" customFormat="1" ht="12.75" customHeight="1" x14ac:dyDescent="0.2">
      <c r="A76" s="35" t="s">
        <v>91</v>
      </c>
      <c r="B76" s="51"/>
      <c r="C76" s="35" t="s">
        <v>92</v>
      </c>
      <c r="D76" s="35"/>
      <c r="E76" s="48">
        <v>145000</v>
      </c>
      <c r="F76" s="48"/>
      <c r="G76" s="48">
        <v>0</v>
      </c>
      <c r="H76" s="48"/>
      <c r="I76" s="48">
        <v>0</v>
      </c>
      <c r="J76" s="48"/>
      <c r="K76" s="48">
        <v>315517</v>
      </c>
      <c r="L76" s="48"/>
      <c r="M76" s="48">
        <v>29840</v>
      </c>
      <c r="N76" s="48"/>
      <c r="O76" s="48">
        <v>1456330</v>
      </c>
      <c r="P76" s="48"/>
      <c r="Q76" s="48">
        <f>37728+131805+3830000+60000+1505000+9649167</f>
        <v>15213700</v>
      </c>
      <c r="R76" s="48"/>
      <c r="S76" s="48">
        <f t="shared" si="4"/>
        <v>17160387</v>
      </c>
      <c r="T76" s="44"/>
      <c r="U76" s="48">
        <v>1224290</v>
      </c>
      <c r="W76" s="44">
        <f>+S76-'Stmt net assets'!O76-U76</f>
        <v>0</v>
      </c>
      <c r="Y76" s="44"/>
    </row>
    <row r="77" spans="1:25" s="65" customFormat="1" ht="12.75" customHeight="1" x14ac:dyDescent="0.2">
      <c r="A77" s="35" t="s">
        <v>96</v>
      </c>
      <c r="B77" s="51"/>
      <c r="C77" s="35" t="s">
        <v>97</v>
      </c>
      <c r="D77" s="35"/>
      <c r="E77" s="48">
        <v>713866</v>
      </c>
      <c r="F77" s="48"/>
      <c r="G77" s="48">
        <v>0</v>
      </c>
      <c r="H77" s="48"/>
      <c r="I77" s="48">
        <v>0</v>
      </c>
      <c r="J77" s="48"/>
      <c r="K77" s="48">
        <f>412500+318750</f>
        <v>731250</v>
      </c>
      <c r="L77" s="48"/>
      <c r="M77" s="48">
        <v>0</v>
      </c>
      <c r="N77" s="48"/>
      <c r="O77" s="48">
        <v>604740</v>
      </c>
      <c r="P77" s="48"/>
      <c r="Q77" s="48">
        <v>188824</v>
      </c>
      <c r="R77" s="48"/>
      <c r="S77" s="48">
        <f t="shared" si="4"/>
        <v>2238680</v>
      </c>
      <c r="T77" s="44"/>
      <c r="U77" s="48">
        <v>452364</v>
      </c>
      <c r="W77" s="44">
        <f>+S77-'Stmt net assets'!O77-U77</f>
        <v>0</v>
      </c>
    </row>
    <row r="78" spans="1:25" s="65" customFormat="1" ht="12.75" customHeight="1" x14ac:dyDescent="0.2">
      <c r="A78" s="35" t="s">
        <v>98</v>
      </c>
      <c r="B78" s="51"/>
      <c r="C78" s="35" t="s">
        <v>17</v>
      </c>
      <c r="D78" s="35"/>
      <c r="E78" s="48">
        <v>23379081</v>
      </c>
      <c r="F78" s="48"/>
      <c r="G78" s="48">
        <v>3199421</v>
      </c>
      <c r="H78" s="48"/>
      <c r="I78" s="48">
        <v>0</v>
      </c>
      <c r="J78" s="48"/>
      <c r="K78" s="48">
        <f>1068459+2724102</f>
        <v>3792561</v>
      </c>
      <c r="L78" s="48"/>
      <c r="M78" s="48">
        <v>0</v>
      </c>
      <c r="N78" s="48"/>
      <c r="O78" s="48">
        <v>4456088</v>
      </c>
      <c r="P78" s="48"/>
      <c r="Q78" s="48">
        <v>0</v>
      </c>
      <c r="R78" s="48"/>
      <c r="S78" s="48">
        <f t="shared" si="4"/>
        <v>34827151</v>
      </c>
      <c r="T78" s="44"/>
      <c r="U78" s="48">
        <v>2302975</v>
      </c>
      <c r="W78" s="44">
        <f>+S78-'Stmt net assets'!O78-U78</f>
        <v>0</v>
      </c>
      <c r="X78" s="107"/>
    </row>
    <row r="79" spans="1:25" s="65" customFormat="1" ht="12.75" customHeight="1" x14ac:dyDescent="0.2">
      <c r="A79" s="35" t="s">
        <v>99</v>
      </c>
      <c r="B79" s="51"/>
      <c r="C79" s="35" t="s">
        <v>66</v>
      </c>
      <c r="D79" s="35"/>
      <c r="E79" s="48">
        <v>0</v>
      </c>
      <c r="F79" s="48"/>
      <c r="G79" s="48">
        <v>0</v>
      </c>
      <c r="H79" s="48"/>
      <c r="I79" s="48">
        <v>0</v>
      </c>
      <c r="J79" s="48"/>
      <c r="K79" s="48">
        <v>0</v>
      </c>
      <c r="L79" s="48"/>
      <c r="M79" s="48">
        <v>0</v>
      </c>
      <c r="N79" s="48"/>
      <c r="O79" s="48">
        <v>427076</v>
      </c>
      <c r="P79" s="48"/>
      <c r="Q79" s="48">
        <v>0</v>
      </c>
      <c r="R79" s="48"/>
      <c r="S79" s="48">
        <f t="shared" si="4"/>
        <v>427076</v>
      </c>
      <c r="T79" s="44"/>
      <c r="U79" s="48">
        <v>256838</v>
      </c>
      <c r="W79" s="44">
        <f>+S79-'Stmt net assets'!O79-U79</f>
        <v>0</v>
      </c>
    </row>
    <row r="80" spans="1:25" s="65" customFormat="1" ht="12.75" customHeight="1" x14ac:dyDescent="0.2">
      <c r="A80" s="35" t="s">
        <v>100</v>
      </c>
      <c r="B80" s="51"/>
      <c r="C80" s="35" t="s">
        <v>27</v>
      </c>
      <c r="D80" s="35"/>
      <c r="E80" s="48">
        <v>25114131</v>
      </c>
      <c r="F80" s="48"/>
      <c r="G80" s="48">
        <f>905000+9015-127860</f>
        <v>786155</v>
      </c>
      <c r="H80" s="48"/>
      <c r="I80" s="48">
        <v>0</v>
      </c>
      <c r="J80" s="48"/>
      <c r="K80" s="48">
        <v>1503337</v>
      </c>
      <c r="L80" s="48"/>
      <c r="M80" s="48">
        <v>286628</v>
      </c>
      <c r="N80" s="48"/>
      <c r="O80" s="48">
        <v>7453537</v>
      </c>
      <c r="P80" s="48"/>
      <c r="Q80" s="48">
        <f>867948+850000-185000</f>
        <v>1532948</v>
      </c>
      <c r="R80" s="48"/>
      <c r="S80" s="48">
        <f t="shared" si="4"/>
        <v>36676736</v>
      </c>
      <c r="T80" s="44"/>
      <c r="U80" s="48">
        <v>3505052</v>
      </c>
      <c r="W80" s="44">
        <f>+S80-'Stmt net assets'!O80-U80</f>
        <v>0</v>
      </c>
    </row>
    <row r="81" spans="1:23" s="65" customFormat="1" ht="12" customHeight="1" x14ac:dyDescent="0.2">
      <c r="A81" s="35" t="s">
        <v>101</v>
      </c>
      <c r="B81" s="51"/>
      <c r="C81" s="35" t="s">
        <v>30</v>
      </c>
      <c r="D81" s="35"/>
      <c r="E81" s="48">
        <v>390466</v>
      </c>
      <c r="F81" s="48"/>
      <c r="G81" s="48">
        <v>1394000</v>
      </c>
      <c r="H81" s="48"/>
      <c r="I81" s="48">
        <v>120000</v>
      </c>
      <c r="J81" s="48"/>
      <c r="K81" s="48">
        <v>0</v>
      </c>
      <c r="L81" s="48"/>
      <c r="M81" s="48">
        <v>395237</v>
      </c>
      <c r="N81" s="48"/>
      <c r="O81" s="48">
        <v>1145065</v>
      </c>
      <c r="P81" s="48"/>
      <c r="Q81" s="48">
        <f>3669437</f>
        <v>3669437</v>
      </c>
      <c r="R81" s="48"/>
      <c r="S81" s="48">
        <f t="shared" si="4"/>
        <v>7114205</v>
      </c>
      <c r="T81" s="44"/>
      <c r="U81" s="48">
        <v>2475958</v>
      </c>
      <c r="W81" s="44">
        <f>+S81-'Stmt net assets'!O81-U81</f>
        <v>0</v>
      </c>
    </row>
    <row r="82" spans="1:23" s="65" customFormat="1" ht="12.75" customHeight="1" x14ac:dyDescent="0.2">
      <c r="A82" s="35" t="s">
        <v>102</v>
      </c>
      <c r="B82" s="51"/>
      <c r="C82" s="35" t="s">
        <v>103</v>
      </c>
      <c r="D82" s="35"/>
      <c r="E82" s="48">
        <v>23323331</v>
      </c>
      <c r="F82" s="48"/>
      <c r="G82" s="48">
        <v>0</v>
      </c>
      <c r="H82" s="48"/>
      <c r="I82" s="48">
        <v>0</v>
      </c>
      <c r="J82" s="48"/>
      <c r="K82" s="48">
        <v>0</v>
      </c>
      <c r="L82" s="48"/>
      <c r="M82" s="48">
        <v>197735</v>
      </c>
      <c r="N82" s="48"/>
      <c r="O82" s="48">
        <v>3986351</v>
      </c>
      <c r="P82" s="48"/>
      <c r="Q82" s="48">
        <v>0</v>
      </c>
      <c r="R82" s="48"/>
      <c r="S82" s="48">
        <f t="shared" si="4"/>
        <v>27507417</v>
      </c>
      <c r="T82" s="44"/>
      <c r="U82" s="48">
        <v>1654175</v>
      </c>
      <c r="W82" s="44">
        <f>+S82-'Stmt net assets'!O82-U82</f>
        <v>0</v>
      </c>
    </row>
    <row r="83" spans="1:23" s="65" customFormat="1" ht="12.75" customHeight="1" x14ac:dyDescent="0.2">
      <c r="A83" s="35" t="s">
        <v>104</v>
      </c>
      <c r="B83" s="51"/>
      <c r="C83" s="35" t="s">
        <v>13</v>
      </c>
      <c r="D83" s="35"/>
      <c r="E83" s="48">
        <v>5505000</v>
      </c>
      <c r="F83" s="48"/>
      <c r="G83" s="48">
        <v>0</v>
      </c>
      <c r="H83" s="48"/>
      <c r="I83" s="48">
        <v>0</v>
      </c>
      <c r="J83" s="48"/>
      <c r="K83" s="48">
        <v>245674</v>
      </c>
      <c r="L83" s="48"/>
      <c r="M83" s="48">
        <v>0</v>
      </c>
      <c r="N83" s="48"/>
      <c r="O83" s="48">
        <v>1191516</v>
      </c>
      <c r="P83" s="48"/>
      <c r="Q83" s="48">
        <v>0</v>
      </c>
      <c r="R83" s="48"/>
      <c r="S83" s="48">
        <f t="shared" si="4"/>
        <v>6942190</v>
      </c>
      <c r="T83" s="44"/>
      <c r="U83" s="48">
        <v>1209215</v>
      </c>
      <c r="W83" s="44">
        <f>+S83-'Stmt net assets'!O83-U83</f>
        <v>0</v>
      </c>
    </row>
    <row r="84" spans="1:23" s="65" customFormat="1" ht="12.75" customHeight="1" x14ac:dyDescent="0.2">
      <c r="A84" s="35" t="s">
        <v>105</v>
      </c>
      <c r="B84" s="51"/>
      <c r="C84" s="35" t="s">
        <v>27</v>
      </c>
      <c r="D84" s="35"/>
      <c r="E84" s="48">
        <v>22289346</v>
      </c>
      <c r="F84" s="48"/>
      <c r="G84" s="48">
        <v>0</v>
      </c>
      <c r="H84" s="48"/>
      <c r="I84" s="48">
        <v>750000</v>
      </c>
      <c r="J84" s="48"/>
      <c r="K84" s="48">
        <f>155263+713342+277241+219893</f>
        <v>1365739</v>
      </c>
      <c r="L84" s="48"/>
      <c r="M84" s="48">
        <v>310112</v>
      </c>
      <c r="N84" s="48"/>
      <c r="O84" s="48">
        <v>1460201</v>
      </c>
      <c r="P84" s="48"/>
      <c r="Q84" s="48">
        <v>0</v>
      </c>
      <c r="R84" s="48"/>
      <c r="S84" s="48">
        <f t="shared" si="4"/>
        <v>26175398</v>
      </c>
      <c r="T84" s="44"/>
      <c r="U84" s="48">
        <v>699677</v>
      </c>
      <c r="W84" s="44">
        <f>+S84-'Stmt net assets'!O84-U84</f>
        <v>0</v>
      </c>
    </row>
    <row r="85" spans="1:23" s="65" customFormat="1" ht="12.75" customHeight="1" x14ac:dyDescent="0.2">
      <c r="A85" s="35" t="s">
        <v>106</v>
      </c>
      <c r="B85" s="51"/>
      <c r="C85" s="35" t="s">
        <v>107</v>
      </c>
      <c r="D85" s="35"/>
      <c r="E85" s="48">
        <f>9806011+36503-40522-54246</f>
        <v>9747746</v>
      </c>
      <c r="F85" s="48"/>
      <c r="G85" s="48">
        <v>11625</v>
      </c>
      <c r="H85" s="48"/>
      <c r="I85" s="48">
        <v>0</v>
      </c>
      <c r="J85" s="48"/>
      <c r="K85" s="48">
        <v>198506</v>
      </c>
      <c r="L85" s="48"/>
      <c r="M85" s="48">
        <v>0</v>
      </c>
      <c r="N85" s="48"/>
      <c r="O85" s="48">
        <v>3934951</v>
      </c>
      <c r="P85" s="48"/>
      <c r="Q85" s="48">
        <v>1104686</v>
      </c>
      <c r="R85" s="48"/>
      <c r="S85" s="48">
        <f t="shared" si="4"/>
        <v>14997514</v>
      </c>
      <c r="T85" s="44"/>
      <c r="U85" s="48">
        <v>2201851</v>
      </c>
      <c r="W85" s="44">
        <f>+S85-'Stmt net assets'!O85-U85</f>
        <v>0</v>
      </c>
    </row>
    <row r="86" spans="1:23" s="65" customFormat="1" ht="12.75" customHeight="1" x14ac:dyDescent="0.2">
      <c r="A86" s="35" t="s">
        <v>108</v>
      </c>
      <c r="B86" s="51"/>
      <c r="C86" s="35" t="s">
        <v>45</v>
      </c>
      <c r="D86" s="35"/>
      <c r="E86" s="48">
        <f>1890000+108504</f>
        <v>1998504</v>
      </c>
      <c r="F86" s="48"/>
      <c r="G86" s="48">
        <v>0</v>
      </c>
      <c r="H86" s="48"/>
      <c r="I86" s="48">
        <v>375000</v>
      </c>
      <c r="J86" s="48"/>
      <c r="K86" s="48">
        <v>3907</v>
      </c>
      <c r="L86" s="48"/>
      <c r="M86" s="48">
        <v>69231</v>
      </c>
      <c r="N86" s="48"/>
      <c r="O86" s="48">
        <v>441810</v>
      </c>
      <c r="P86" s="48"/>
      <c r="Q86" s="48">
        <v>0</v>
      </c>
      <c r="R86" s="48"/>
      <c r="S86" s="48">
        <f t="shared" si="4"/>
        <v>2888452</v>
      </c>
      <c r="T86" s="44"/>
      <c r="U86" s="48">
        <v>386424</v>
      </c>
      <c r="W86" s="44">
        <f>+S86-'Stmt net assets'!O86-U86</f>
        <v>0</v>
      </c>
    </row>
    <row r="87" spans="1:23" s="65" customFormat="1" ht="12.75" customHeight="1" x14ac:dyDescent="0.2">
      <c r="A87" s="35" t="s">
        <v>109</v>
      </c>
      <c r="C87" s="35" t="s">
        <v>110</v>
      </c>
      <c r="D87" s="35"/>
      <c r="E87" s="48">
        <v>0</v>
      </c>
      <c r="F87" s="48"/>
      <c r="G87" s="48">
        <v>180370</v>
      </c>
      <c r="H87" s="48"/>
      <c r="I87" s="48">
        <v>0</v>
      </c>
      <c r="J87" s="48"/>
      <c r="K87" s="48">
        <v>152444</v>
      </c>
      <c r="L87" s="48"/>
      <c r="M87" s="48">
        <v>52093</v>
      </c>
      <c r="N87" s="48"/>
      <c r="O87" s="48">
        <v>1232743</v>
      </c>
      <c r="P87" s="48"/>
      <c r="Q87" s="48">
        <v>0</v>
      </c>
      <c r="R87" s="48"/>
      <c r="S87" s="48">
        <f t="shared" si="4"/>
        <v>1617650</v>
      </c>
      <c r="T87" s="44"/>
      <c r="U87" s="48">
        <v>332007</v>
      </c>
      <c r="W87" s="44">
        <f>+S87-'Stmt net assets'!O87-U87</f>
        <v>0</v>
      </c>
    </row>
    <row r="88" spans="1:23" s="65" customFormat="1" ht="12.75" customHeight="1" x14ac:dyDescent="0.2">
      <c r="A88" s="44" t="s">
        <v>43</v>
      </c>
      <c r="C88" s="35" t="s">
        <v>111</v>
      </c>
      <c r="D88" s="35"/>
      <c r="E88" s="48">
        <v>5964248</v>
      </c>
      <c r="F88" s="48"/>
      <c r="G88" s="48">
        <v>1743000</v>
      </c>
      <c r="H88" s="48"/>
      <c r="I88" s="48">
        <v>0</v>
      </c>
      <c r="J88" s="48"/>
      <c r="K88" s="48">
        <v>0</v>
      </c>
      <c r="L88" s="48"/>
      <c r="M88" s="48">
        <v>0</v>
      </c>
      <c r="N88" s="48"/>
      <c r="O88" s="48">
        <v>649359</v>
      </c>
      <c r="P88" s="48"/>
      <c r="Q88" s="48">
        <f>147000+63827</f>
        <v>210827</v>
      </c>
      <c r="R88" s="48"/>
      <c r="S88" s="48">
        <f t="shared" si="4"/>
        <v>8567434</v>
      </c>
      <c r="T88" s="44"/>
      <c r="U88" s="48">
        <v>694660</v>
      </c>
      <c r="W88" s="44">
        <f>+S88-'Stmt net assets'!O88-U88</f>
        <v>0</v>
      </c>
    </row>
    <row r="89" spans="1:23" s="65" customFormat="1" ht="12.75" customHeight="1" x14ac:dyDescent="0.2">
      <c r="A89" s="35" t="s">
        <v>112</v>
      </c>
      <c r="B89" s="51"/>
      <c r="C89" s="35" t="s">
        <v>76</v>
      </c>
      <c r="D89" s="35"/>
      <c r="E89" s="48">
        <f>2480000+69916-102628</f>
        <v>2447288</v>
      </c>
      <c r="F89" s="48"/>
      <c r="G89" s="48">
        <v>0</v>
      </c>
      <c r="H89" s="48"/>
      <c r="I89" s="48">
        <v>0</v>
      </c>
      <c r="J89" s="48"/>
      <c r="K89" s="48">
        <v>0</v>
      </c>
      <c r="L89" s="48"/>
      <c r="M89" s="48">
        <v>0</v>
      </c>
      <c r="N89" s="48"/>
      <c r="O89" s="48">
        <v>817460</v>
      </c>
      <c r="P89" s="48"/>
      <c r="Q89" s="48">
        <v>723810</v>
      </c>
      <c r="R89" s="48"/>
      <c r="S89" s="48">
        <f t="shared" si="4"/>
        <v>3988558</v>
      </c>
      <c r="T89" s="44"/>
      <c r="U89" s="48">
        <v>406189</v>
      </c>
      <c r="W89" s="44">
        <f>+S89-'Stmt net assets'!O89-U89</f>
        <v>0</v>
      </c>
    </row>
    <row r="90" spans="1:23" s="65" customFormat="1" ht="12.75" customHeight="1" x14ac:dyDescent="0.2">
      <c r="A90" s="35" t="s">
        <v>113</v>
      </c>
      <c r="B90" s="51"/>
      <c r="C90" s="35" t="s">
        <v>43</v>
      </c>
      <c r="D90" s="35"/>
      <c r="E90" s="48">
        <v>19127815</v>
      </c>
      <c r="F90" s="48"/>
      <c r="G90" s="48">
        <v>0</v>
      </c>
      <c r="H90" s="48"/>
      <c r="I90" s="48">
        <v>0</v>
      </c>
      <c r="J90" s="48"/>
      <c r="K90" s="48">
        <f>526425+984504+136681</f>
        <v>1647610</v>
      </c>
      <c r="L90" s="48"/>
      <c r="M90" s="48">
        <v>0</v>
      </c>
      <c r="N90" s="48"/>
      <c r="O90" s="48">
        <v>2010773</v>
      </c>
      <c r="P90" s="48"/>
      <c r="Q90" s="48">
        <v>0</v>
      </c>
      <c r="R90" s="48"/>
      <c r="S90" s="48">
        <f t="shared" si="4"/>
        <v>22786198</v>
      </c>
      <c r="T90" s="44"/>
      <c r="U90" s="48">
        <v>1574011</v>
      </c>
      <c r="W90" s="44">
        <f>+S90-'Stmt net assets'!O90-U90</f>
        <v>0</v>
      </c>
    </row>
    <row r="91" spans="1:23" s="65" customFormat="1" ht="12.75" customHeight="1" x14ac:dyDescent="0.2">
      <c r="A91" s="35" t="s">
        <v>489</v>
      </c>
      <c r="B91" s="51"/>
      <c r="C91" s="35" t="s">
        <v>57</v>
      </c>
      <c r="D91" s="35"/>
      <c r="E91" s="48">
        <v>1050000</v>
      </c>
      <c r="F91" s="48"/>
      <c r="G91" s="48">
        <v>0</v>
      </c>
      <c r="H91" s="48"/>
      <c r="I91" s="48">
        <v>765000</v>
      </c>
      <c r="J91" s="48"/>
      <c r="K91" s="48">
        <v>104695</v>
      </c>
      <c r="L91" s="48"/>
      <c r="M91" s="48">
        <v>0</v>
      </c>
      <c r="N91" s="48"/>
      <c r="O91" s="48">
        <v>631772</v>
      </c>
      <c r="P91" s="48"/>
      <c r="Q91" s="48">
        <f>24798+93996</f>
        <v>118794</v>
      </c>
      <c r="R91" s="48"/>
      <c r="S91" s="48">
        <f t="shared" si="4"/>
        <v>2670261</v>
      </c>
      <c r="T91" s="44"/>
      <c r="U91" s="48">
        <v>1231028</v>
      </c>
      <c r="W91" s="44">
        <f>+S91-'Stmt net assets'!O91-U91</f>
        <v>0</v>
      </c>
    </row>
    <row r="92" spans="1:23" s="65" customFormat="1" ht="12.75" customHeight="1" x14ac:dyDescent="0.2">
      <c r="A92" s="35" t="s">
        <v>114</v>
      </c>
      <c r="B92" s="51"/>
      <c r="C92" s="35" t="s">
        <v>27</v>
      </c>
      <c r="D92" s="35"/>
      <c r="E92" s="48">
        <v>27993662</v>
      </c>
      <c r="F92" s="48"/>
      <c r="G92" s="48">
        <v>609171</v>
      </c>
      <c r="H92" s="48"/>
      <c r="I92" s="48">
        <v>0</v>
      </c>
      <c r="J92" s="48"/>
      <c r="K92" s="48">
        <v>0</v>
      </c>
      <c r="L92" s="48"/>
      <c r="M92" s="48">
        <v>0</v>
      </c>
      <c r="N92" s="48"/>
      <c r="O92" s="48">
        <v>4260307</v>
      </c>
      <c r="P92" s="48"/>
      <c r="Q92" s="48">
        <f>405607+591576</f>
        <v>997183</v>
      </c>
      <c r="R92" s="48"/>
      <c r="S92" s="48">
        <f t="shared" si="4"/>
        <v>33860323</v>
      </c>
      <c r="T92" s="44"/>
      <c r="U92" s="48">
        <v>3398356</v>
      </c>
      <c r="W92" s="44">
        <f>+S92-'Stmt net assets'!O92-U92</f>
        <v>0</v>
      </c>
    </row>
    <row r="93" spans="1:23" s="65" customFormat="1" ht="12.75" customHeight="1" x14ac:dyDescent="0.2">
      <c r="A93" s="35" t="s">
        <v>115</v>
      </c>
      <c r="C93" s="35" t="s">
        <v>19</v>
      </c>
      <c r="D93" s="35"/>
      <c r="E93" s="48">
        <v>2154201</v>
      </c>
      <c r="F93" s="48"/>
      <c r="G93" s="48">
        <v>380000</v>
      </c>
      <c r="H93" s="48"/>
      <c r="I93" s="48">
        <v>121500</v>
      </c>
      <c r="J93" s="48"/>
      <c r="K93" s="48">
        <v>559509</v>
      </c>
      <c r="L93" s="48"/>
      <c r="M93" s="48">
        <v>274617</v>
      </c>
      <c r="N93" s="48"/>
      <c r="O93" s="48">
        <v>185801</v>
      </c>
      <c r="P93" s="48"/>
      <c r="Q93" s="48">
        <v>0</v>
      </c>
      <c r="R93" s="48"/>
      <c r="S93" s="48">
        <f t="shared" si="4"/>
        <v>3675628</v>
      </c>
      <c r="T93" s="44"/>
      <c r="U93" s="48">
        <v>586755</v>
      </c>
      <c r="W93" s="44">
        <f>+S93-'Stmt net assets'!O93-U93</f>
        <v>0</v>
      </c>
    </row>
    <row r="94" spans="1:23" s="65" customFormat="1" ht="12.75" customHeight="1" x14ac:dyDescent="0.2">
      <c r="A94" s="35" t="s">
        <v>116</v>
      </c>
      <c r="B94" s="51"/>
      <c r="C94" s="35" t="s">
        <v>80</v>
      </c>
      <c r="D94" s="35"/>
      <c r="E94" s="48">
        <v>0</v>
      </c>
      <c r="F94" s="48"/>
      <c r="G94" s="48">
        <v>0</v>
      </c>
      <c r="H94" s="48"/>
      <c r="I94" s="48">
        <v>3470045</v>
      </c>
      <c r="J94" s="48"/>
      <c r="K94" s="48">
        <v>68759</v>
      </c>
      <c r="L94" s="48"/>
      <c r="M94" s="48">
        <v>288033</v>
      </c>
      <c r="N94" s="48"/>
      <c r="O94" s="48">
        <v>571710</v>
      </c>
      <c r="P94" s="48"/>
      <c r="Q94" s="48">
        <v>253387</v>
      </c>
      <c r="R94" s="48"/>
      <c r="S94" s="48">
        <f t="shared" si="4"/>
        <v>4651934</v>
      </c>
      <c r="T94" s="44"/>
      <c r="U94" s="48">
        <v>158016</v>
      </c>
      <c r="W94" s="44">
        <f>+S94-'Stmt net assets'!O94-U94</f>
        <v>0</v>
      </c>
    </row>
    <row r="95" spans="1:23" s="65" customFormat="1" ht="12.75" customHeight="1" x14ac:dyDescent="0.2">
      <c r="A95" s="44" t="s">
        <v>117</v>
      </c>
      <c r="B95" s="51"/>
      <c r="C95" s="35" t="s">
        <v>43</v>
      </c>
      <c r="D95" s="35"/>
      <c r="E95" s="48">
        <v>0</v>
      </c>
      <c r="F95" s="48"/>
      <c r="G95" s="48">
        <v>0</v>
      </c>
      <c r="H95" s="48"/>
      <c r="I95" s="48">
        <v>0</v>
      </c>
      <c r="J95" s="48"/>
      <c r="K95" s="48">
        <v>1323193</v>
      </c>
      <c r="L95" s="48"/>
      <c r="M95" s="48">
        <v>24133</v>
      </c>
      <c r="N95" s="48"/>
      <c r="O95" s="48">
        <v>811396</v>
      </c>
      <c r="P95" s="48"/>
      <c r="Q95" s="48">
        <v>0</v>
      </c>
      <c r="R95" s="48"/>
      <c r="S95" s="48">
        <f t="shared" si="4"/>
        <v>2158722</v>
      </c>
      <c r="T95" s="44"/>
      <c r="U95" s="48">
        <v>597921</v>
      </c>
      <c r="W95" s="44">
        <f>+S95-'Stmt net assets'!O95-U95</f>
        <v>0</v>
      </c>
    </row>
    <row r="96" spans="1:23" s="65" customFormat="1" ht="12.75" customHeight="1" x14ac:dyDescent="0.2">
      <c r="A96" s="35" t="s">
        <v>118</v>
      </c>
      <c r="B96" s="51"/>
      <c r="C96" s="35" t="s">
        <v>13</v>
      </c>
      <c r="D96" s="35"/>
      <c r="E96" s="48">
        <v>50896551</v>
      </c>
      <c r="F96" s="48"/>
      <c r="G96" s="48">
        <v>0</v>
      </c>
      <c r="H96" s="48"/>
      <c r="I96" s="48">
        <v>0</v>
      </c>
      <c r="J96" s="48"/>
      <c r="K96" s="48">
        <v>0</v>
      </c>
      <c r="L96" s="48"/>
      <c r="M96" s="48">
        <v>0</v>
      </c>
      <c r="N96" s="48"/>
      <c r="O96" s="48">
        <v>1095521</v>
      </c>
      <c r="P96" s="48"/>
      <c r="Q96" s="48">
        <v>0</v>
      </c>
      <c r="R96" s="48"/>
      <c r="S96" s="48">
        <f t="shared" si="4"/>
        <v>51992072</v>
      </c>
      <c r="T96" s="44"/>
      <c r="U96" s="48">
        <v>1913686</v>
      </c>
      <c r="W96" s="44">
        <f>+S96-'Stmt net assets'!O96-U96</f>
        <v>0</v>
      </c>
    </row>
    <row r="97" spans="1:23" s="65" customFormat="1" ht="12.75" customHeight="1" x14ac:dyDescent="0.2">
      <c r="A97" s="35" t="s">
        <v>120</v>
      </c>
      <c r="B97" s="51"/>
      <c r="C97" s="35" t="s">
        <v>121</v>
      </c>
      <c r="D97" s="35"/>
      <c r="E97" s="48">
        <f>1475000+1926-52197</f>
        <v>1424729</v>
      </c>
      <c r="F97" s="48"/>
      <c r="G97" s="48">
        <v>0</v>
      </c>
      <c r="H97" s="48"/>
      <c r="I97" s="48">
        <v>0</v>
      </c>
      <c r="J97" s="48"/>
      <c r="K97" s="48">
        <v>236123</v>
      </c>
      <c r="L97" s="48"/>
      <c r="M97" s="48">
        <f>61782+262300</f>
        <v>324082</v>
      </c>
      <c r="N97" s="48"/>
      <c r="O97" s="48">
        <v>423568</v>
      </c>
      <c r="P97" s="48"/>
      <c r="Q97" s="48">
        <f>192500+755000+54000</f>
        <v>1001500</v>
      </c>
      <c r="R97" s="48"/>
      <c r="S97" s="48">
        <f t="shared" si="4"/>
        <v>3410002</v>
      </c>
      <c r="T97" s="44"/>
      <c r="U97" s="48">
        <v>430726</v>
      </c>
      <c r="W97" s="44">
        <f>+S97-'Stmt net assets'!O97-U97</f>
        <v>0</v>
      </c>
    </row>
    <row r="98" spans="1:23" s="65" customFormat="1" ht="12.75" customHeight="1" x14ac:dyDescent="0.2">
      <c r="A98" s="35" t="s">
        <v>122</v>
      </c>
      <c r="B98" s="51"/>
      <c r="C98" s="35" t="s">
        <v>43</v>
      </c>
      <c r="D98" s="35"/>
      <c r="E98" s="48">
        <v>16647593</v>
      </c>
      <c r="F98" s="48"/>
      <c r="G98" s="48">
        <v>0</v>
      </c>
      <c r="H98" s="48"/>
      <c r="I98" s="48">
        <v>0</v>
      </c>
      <c r="J98" s="48"/>
      <c r="K98" s="48">
        <v>3686689</v>
      </c>
      <c r="L98" s="48"/>
      <c r="M98" s="48">
        <v>19481</v>
      </c>
      <c r="N98" s="48"/>
      <c r="O98" s="48">
        <v>1622162</v>
      </c>
      <c r="P98" s="48"/>
      <c r="Q98" s="48">
        <v>14930000</v>
      </c>
      <c r="R98" s="48"/>
      <c r="S98" s="48">
        <f t="shared" si="4"/>
        <v>36905925</v>
      </c>
      <c r="T98" s="44"/>
      <c r="U98" s="48">
        <v>2058345</v>
      </c>
      <c r="W98" s="44">
        <f>+S98-'Stmt net assets'!O98-U98</f>
        <v>0</v>
      </c>
    </row>
    <row r="99" spans="1:23" s="65" customFormat="1" ht="12.75" customHeight="1" x14ac:dyDescent="0.2">
      <c r="A99" s="35" t="s">
        <v>507</v>
      </c>
      <c r="B99" s="51"/>
      <c r="C99" s="35" t="s">
        <v>43</v>
      </c>
      <c r="D99" s="35"/>
      <c r="E99" s="48">
        <f>4120000+148657</f>
        <v>4268657</v>
      </c>
      <c r="F99" s="48"/>
      <c r="G99" s="48">
        <v>10590000</v>
      </c>
      <c r="H99" s="48"/>
      <c r="I99" s="48">
        <v>950000</v>
      </c>
      <c r="J99" s="48"/>
      <c r="K99" s="48">
        <f>356676+180310+168498</f>
        <v>705484</v>
      </c>
      <c r="L99" s="48"/>
      <c r="M99" s="48">
        <v>31738</v>
      </c>
      <c r="N99" s="48"/>
      <c r="O99" s="48">
        <v>458065</v>
      </c>
      <c r="P99" s="48"/>
      <c r="Q99" s="48">
        <v>0</v>
      </c>
      <c r="R99" s="48"/>
      <c r="S99" s="48">
        <f t="shared" si="4"/>
        <v>17003944</v>
      </c>
      <c r="T99" s="44"/>
      <c r="U99" s="48">
        <v>2256417</v>
      </c>
      <c r="W99" s="44">
        <f>+S99-'Stmt net assets'!O99-U99</f>
        <v>0</v>
      </c>
    </row>
    <row r="100" spans="1:23" s="65" customFormat="1" ht="12.75" customHeight="1" x14ac:dyDescent="0.2">
      <c r="A100" s="44" t="s">
        <v>45</v>
      </c>
      <c r="B100" s="51"/>
      <c r="C100" s="35" t="s">
        <v>103</v>
      </c>
      <c r="D100" s="35"/>
      <c r="E100" s="48">
        <f>29030000-382125+1778704</f>
        <v>30426579</v>
      </c>
      <c r="F100" s="48"/>
      <c r="G100" s="48">
        <v>1400000</v>
      </c>
      <c r="H100" s="48"/>
      <c r="I100" s="48">
        <v>0</v>
      </c>
      <c r="J100" s="48"/>
      <c r="K100" s="48">
        <v>0</v>
      </c>
      <c r="L100" s="48"/>
      <c r="M100" s="48">
        <v>0</v>
      </c>
      <c r="N100" s="48"/>
      <c r="O100" s="48">
        <v>6533087</v>
      </c>
      <c r="P100" s="48"/>
      <c r="Q100" s="48">
        <v>0</v>
      </c>
      <c r="R100" s="48"/>
      <c r="S100" s="48">
        <f t="shared" si="4"/>
        <v>38359666</v>
      </c>
      <c r="T100" s="44"/>
      <c r="U100" s="48">
        <v>4926510</v>
      </c>
      <c r="W100" s="44">
        <f>+S100-'Stmt net assets'!O100-U100</f>
        <v>0</v>
      </c>
    </row>
    <row r="101" spans="1:23" s="65" customFormat="1" ht="12.75" customHeight="1" x14ac:dyDescent="0.2">
      <c r="A101" s="44" t="s">
        <v>123</v>
      </c>
      <c r="B101" s="51"/>
      <c r="C101" s="35" t="s">
        <v>45</v>
      </c>
      <c r="D101" s="35"/>
      <c r="E101" s="48">
        <f>1900000+1145000+655000+81276</f>
        <v>3781276</v>
      </c>
      <c r="F101" s="48"/>
      <c r="G101" s="48">
        <v>0</v>
      </c>
      <c r="H101" s="48"/>
      <c r="I101" s="48">
        <v>0</v>
      </c>
      <c r="J101" s="48"/>
      <c r="K101" s="48">
        <f>342513+526672+518185+333481</f>
        <v>1720851</v>
      </c>
      <c r="L101" s="48"/>
      <c r="M101" s="48">
        <v>1238958</v>
      </c>
      <c r="N101" s="48"/>
      <c r="O101" s="48">
        <v>719024</v>
      </c>
      <c r="P101" s="48"/>
      <c r="Q101" s="48">
        <v>0</v>
      </c>
      <c r="R101" s="48"/>
      <c r="S101" s="48">
        <f t="shared" si="4"/>
        <v>7460109</v>
      </c>
      <c r="T101" s="44"/>
      <c r="U101" s="48">
        <v>620816</v>
      </c>
      <c r="W101" s="44">
        <f>+S101-'Stmt net assets'!O101-U101</f>
        <v>0</v>
      </c>
    </row>
    <row r="102" spans="1:23" s="65" customFormat="1" ht="12.75" customHeight="1" x14ac:dyDescent="0.2">
      <c r="A102" s="64" t="s">
        <v>124</v>
      </c>
      <c r="B102" s="66"/>
      <c r="C102" s="64" t="s">
        <v>125</v>
      </c>
      <c r="D102" s="64"/>
      <c r="E102" s="48">
        <v>3555000</v>
      </c>
      <c r="F102" s="48"/>
      <c r="G102" s="48">
        <v>0</v>
      </c>
      <c r="H102" s="48"/>
      <c r="I102" s="48">
        <v>0</v>
      </c>
      <c r="J102" s="48"/>
      <c r="K102" s="48">
        <v>0</v>
      </c>
      <c r="L102" s="48"/>
      <c r="M102" s="48">
        <v>49979</v>
      </c>
      <c r="N102" s="48"/>
      <c r="O102" s="48">
        <v>747528</v>
      </c>
      <c r="P102" s="48"/>
      <c r="Q102" s="48">
        <v>0</v>
      </c>
      <c r="R102" s="48"/>
      <c r="S102" s="48">
        <f t="shared" si="4"/>
        <v>4352507</v>
      </c>
      <c r="T102" s="44"/>
      <c r="U102" s="48">
        <v>406914</v>
      </c>
      <c r="W102" s="44">
        <f>+S102-'Stmt net assets'!O102-U102</f>
        <v>0</v>
      </c>
    </row>
    <row r="103" spans="1:23" s="65" customFormat="1" ht="12.75" customHeight="1" x14ac:dyDescent="0.2">
      <c r="A103" s="35" t="s">
        <v>126</v>
      </c>
      <c r="B103" s="51"/>
      <c r="C103" s="35" t="s">
        <v>27</v>
      </c>
      <c r="D103" s="35"/>
      <c r="E103" s="48">
        <f>6749655+221417-122800</f>
        <v>6848272</v>
      </c>
      <c r="F103" s="48"/>
      <c r="G103" s="48">
        <v>3000344</v>
      </c>
      <c r="H103" s="48"/>
      <c r="I103" s="48">
        <v>0</v>
      </c>
      <c r="J103" s="48"/>
      <c r="K103" s="48">
        <v>2230882</v>
      </c>
      <c r="L103" s="48"/>
      <c r="M103" s="48">
        <v>0</v>
      </c>
      <c r="N103" s="48"/>
      <c r="O103" s="48">
        <v>1114523</v>
      </c>
      <c r="P103" s="48"/>
      <c r="Q103" s="48">
        <v>0</v>
      </c>
      <c r="R103" s="48"/>
      <c r="S103" s="48">
        <f t="shared" si="4"/>
        <v>13194021</v>
      </c>
      <c r="T103" s="44"/>
      <c r="U103" s="48">
        <v>1777296</v>
      </c>
      <c r="W103" s="44">
        <f>+S103-'Stmt net assets'!O103-U103</f>
        <v>0</v>
      </c>
    </row>
    <row r="104" spans="1:23" s="65" customFormat="1" ht="12.75" customHeight="1" x14ac:dyDescent="0.2">
      <c r="A104" s="35" t="s">
        <v>127</v>
      </c>
      <c r="B104" s="51"/>
      <c r="C104" s="35" t="s">
        <v>43</v>
      </c>
      <c r="D104" s="35"/>
      <c r="E104" s="48">
        <f>53969123+1674999</f>
        <v>55644122</v>
      </c>
      <c r="F104" s="48"/>
      <c r="G104" s="48">
        <v>0</v>
      </c>
      <c r="H104" s="48"/>
      <c r="I104" s="48">
        <v>0</v>
      </c>
      <c r="J104" s="48"/>
      <c r="K104" s="48">
        <v>2127163</v>
      </c>
      <c r="L104" s="48"/>
      <c r="M104" s="48">
        <v>6448272</v>
      </c>
      <c r="N104" s="48"/>
      <c r="O104" s="48">
        <v>1843195</v>
      </c>
      <c r="P104" s="48"/>
      <c r="Q104" s="48">
        <v>0</v>
      </c>
      <c r="R104" s="48"/>
      <c r="S104" s="48">
        <f t="shared" si="4"/>
        <v>66062752</v>
      </c>
      <c r="T104" s="44"/>
      <c r="U104" s="48">
        <v>4360277</v>
      </c>
      <c r="W104" s="44">
        <f>+S104-'Stmt net assets'!O104-U104</f>
        <v>0</v>
      </c>
    </row>
    <row r="105" spans="1:23" s="65" customFormat="1" ht="12.75" customHeight="1" x14ac:dyDescent="0.2">
      <c r="A105" s="35" t="s">
        <v>128</v>
      </c>
      <c r="B105" s="51"/>
      <c r="C105" s="35" t="s">
        <v>119</v>
      </c>
      <c r="D105" s="35"/>
      <c r="E105" s="48">
        <v>2550000</v>
      </c>
      <c r="F105" s="48"/>
      <c r="G105" s="48">
        <v>0</v>
      </c>
      <c r="H105" s="48"/>
      <c r="I105" s="48">
        <v>0</v>
      </c>
      <c r="J105" s="48"/>
      <c r="K105" s="48">
        <v>0</v>
      </c>
      <c r="L105" s="48"/>
      <c r="M105" s="48">
        <v>7995</v>
      </c>
      <c r="N105" s="48"/>
      <c r="O105" s="48">
        <v>342081</v>
      </c>
      <c r="P105" s="48"/>
      <c r="Q105" s="48">
        <v>550000</v>
      </c>
      <c r="R105" s="48"/>
      <c r="S105" s="48">
        <f t="shared" si="4"/>
        <v>3450076</v>
      </c>
      <c r="T105" s="44"/>
      <c r="U105" s="48">
        <v>180857</v>
      </c>
      <c r="W105" s="44">
        <f>+S105-'Stmt net assets'!O105-U105</f>
        <v>0</v>
      </c>
    </row>
    <row r="106" spans="1:23" s="66" customFormat="1" ht="12.75" customHeight="1" x14ac:dyDescent="0.2">
      <c r="A106" s="35" t="s">
        <v>129</v>
      </c>
      <c r="B106" s="51"/>
      <c r="C106" s="35" t="s">
        <v>80</v>
      </c>
      <c r="D106" s="35"/>
      <c r="E106" s="48">
        <v>2785000</v>
      </c>
      <c r="F106" s="48"/>
      <c r="G106" s="48">
        <v>0</v>
      </c>
      <c r="H106" s="48"/>
      <c r="I106" s="48">
        <v>0</v>
      </c>
      <c r="J106" s="48"/>
      <c r="K106" s="48">
        <v>0</v>
      </c>
      <c r="L106" s="48"/>
      <c r="M106" s="48">
        <v>25114</v>
      </c>
      <c r="N106" s="48"/>
      <c r="O106" s="48">
        <v>191146</v>
      </c>
      <c r="P106" s="48"/>
      <c r="Q106" s="48">
        <v>0</v>
      </c>
      <c r="R106" s="48"/>
      <c r="S106" s="48">
        <f t="shared" si="4"/>
        <v>3001260</v>
      </c>
      <c r="T106" s="44"/>
      <c r="U106" s="48">
        <v>535859</v>
      </c>
      <c r="V106" s="65"/>
      <c r="W106" s="44">
        <f>+S106-'Stmt net assets'!O106-U106</f>
        <v>0</v>
      </c>
    </row>
    <row r="107" spans="1:23" s="65" customFormat="1" ht="12.75" customHeight="1" x14ac:dyDescent="0.2">
      <c r="A107" s="35" t="s">
        <v>130</v>
      </c>
      <c r="B107" s="51"/>
      <c r="C107" s="35" t="s">
        <v>66</v>
      </c>
      <c r="D107" s="35"/>
      <c r="E107" s="48">
        <f>990000+500000+745000+920000+1875000+23638-61864+50000+275000+635000+1035000+1878810+2826190</f>
        <v>11691774</v>
      </c>
      <c r="F107" s="48"/>
      <c r="G107" s="48">
        <f>380000+310000+101423+68577+190000+310000+151241+213759+440000+40421+268867+169778+52609+12550+15775+1100000+7960000+63486+417656+263927+81195+19309+24427</f>
        <v>12655000</v>
      </c>
      <c r="H107" s="48"/>
      <c r="I107" s="48">
        <v>0</v>
      </c>
      <c r="J107" s="48"/>
      <c r="K107" s="48">
        <f>1660815+791592</f>
        <v>2452407</v>
      </c>
      <c r="L107" s="48"/>
      <c r="M107" s="48">
        <f>126378+346461</f>
        <v>472839</v>
      </c>
      <c r="N107" s="48"/>
      <c r="O107" s="48">
        <v>1853557</v>
      </c>
      <c r="P107" s="48"/>
      <c r="Q107" s="48">
        <v>0</v>
      </c>
      <c r="R107" s="48"/>
      <c r="S107" s="48">
        <f t="shared" si="4"/>
        <v>29125577</v>
      </c>
      <c r="T107" s="44"/>
      <c r="U107" s="48">
        <v>2630348</v>
      </c>
      <c r="W107" s="44">
        <f>+S107-'Stmt net assets'!O107-U107</f>
        <v>0</v>
      </c>
    </row>
    <row r="108" spans="1:23" s="65" customFormat="1" ht="12.75" customHeight="1" x14ac:dyDescent="0.2">
      <c r="A108" s="35" t="s">
        <v>131</v>
      </c>
      <c r="B108" s="51"/>
      <c r="C108" s="35" t="s">
        <v>13</v>
      </c>
      <c r="D108" s="35"/>
      <c r="E108" s="48">
        <v>24974329</v>
      </c>
      <c r="F108" s="48"/>
      <c r="G108" s="48">
        <v>1250679</v>
      </c>
      <c r="H108" s="48"/>
      <c r="I108" s="48">
        <v>0</v>
      </c>
      <c r="J108" s="48"/>
      <c r="K108" s="48">
        <v>132935</v>
      </c>
      <c r="L108" s="48"/>
      <c r="M108" s="48">
        <v>0</v>
      </c>
      <c r="N108" s="48"/>
      <c r="O108" s="48">
        <v>1784992</v>
      </c>
      <c r="P108" s="48"/>
      <c r="Q108" s="48">
        <v>0</v>
      </c>
      <c r="R108" s="48"/>
      <c r="S108" s="48">
        <f t="shared" si="4"/>
        <v>28142935</v>
      </c>
      <c r="T108" s="44"/>
      <c r="U108" s="48">
        <v>3888366</v>
      </c>
      <c r="W108" s="44">
        <f>+S108-'Stmt net assets'!O108-U108</f>
        <v>0</v>
      </c>
    </row>
    <row r="109" spans="1:23" s="65" customFormat="1" ht="12.75" customHeight="1" x14ac:dyDescent="0.2">
      <c r="A109" s="35" t="s">
        <v>38</v>
      </c>
      <c r="B109" s="51"/>
      <c r="C109" s="35" t="s">
        <v>132</v>
      </c>
      <c r="D109" s="35"/>
      <c r="E109" s="48">
        <v>1198300</v>
      </c>
      <c r="F109" s="48"/>
      <c r="G109" s="48">
        <v>0</v>
      </c>
      <c r="H109" s="48"/>
      <c r="I109" s="48">
        <v>895000</v>
      </c>
      <c r="J109" s="48"/>
      <c r="K109" s="48">
        <v>0</v>
      </c>
      <c r="L109" s="48"/>
      <c r="M109" s="48">
        <v>221542</v>
      </c>
      <c r="N109" s="48"/>
      <c r="O109" s="48">
        <v>462401</v>
      </c>
      <c r="P109" s="48"/>
      <c r="Q109" s="48">
        <v>0</v>
      </c>
      <c r="R109" s="48"/>
      <c r="S109" s="48">
        <f t="shared" si="4"/>
        <v>2777243</v>
      </c>
      <c r="T109" s="44"/>
      <c r="U109" s="48">
        <v>1292280</v>
      </c>
      <c r="W109" s="44">
        <f>+S109-'Stmt net assets'!O109-U109</f>
        <v>0</v>
      </c>
    </row>
    <row r="110" spans="1:23" s="65" customFormat="1" ht="12.75" customHeight="1" x14ac:dyDescent="0.2">
      <c r="A110" s="35" t="s">
        <v>133</v>
      </c>
      <c r="B110" s="51"/>
      <c r="C110" s="35" t="s">
        <v>27</v>
      </c>
      <c r="D110" s="35"/>
      <c r="E110" s="48">
        <v>22551971</v>
      </c>
      <c r="F110" s="48"/>
      <c r="G110" s="48">
        <v>0</v>
      </c>
      <c r="H110" s="48"/>
      <c r="I110" s="48">
        <v>7127524</v>
      </c>
      <c r="J110" s="48"/>
      <c r="K110" s="48">
        <f>241918+4785</f>
        <v>246703</v>
      </c>
      <c r="L110" s="48"/>
      <c r="M110" s="48">
        <v>0</v>
      </c>
      <c r="N110" s="48"/>
      <c r="O110" s="48">
        <v>781045</v>
      </c>
      <c r="P110" s="48"/>
      <c r="Q110" s="48">
        <f>55924+147307</f>
        <v>203231</v>
      </c>
      <c r="R110" s="48"/>
      <c r="S110" s="48">
        <f t="shared" si="4"/>
        <v>30910474</v>
      </c>
      <c r="T110" s="44"/>
      <c r="U110" s="48">
        <v>513847</v>
      </c>
      <c r="W110" s="44">
        <f>+S110-'Stmt net assets'!O110-U110</f>
        <v>0</v>
      </c>
    </row>
    <row r="111" spans="1:23" s="65" customFormat="1" ht="12.75" customHeight="1" x14ac:dyDescent="0.2">
      <c r="A111" s="35" t="s">
        <v>482</v>
      </c>
      <c r="B111" s="51"/>
      <c r="C111" s="35" t="s">
        <v>45</v>
      </c>
      <c r="D111" s="35"/>
      <c r="E111" s="48">
        <v>2800175</v>
      </c>
      <c r="F111" s="48"/>
      <c r="G111" s="48">
        <v>0</v>
      </c>
      <c r="H111" s="48"/>
      <c r="I111" s="48">
        <v>0</v>
      </c>
      <c r="J111" s="48"/>
      <c r="K111" s="48">
        <v>0</v>
      </c>
      <c r="L111" s="48"/>
      <c r="M111" s="48">
        <v>0</v>
      </c>
      <c r="N111" s="48"/>
      <c r="O111" s="48">
        <v>1610821</v>
      </c>
      <c r="P111" s="48"/>
      <c r="Q111" s="48">
        <v>0</v>
      </c>
      <c r="R111" s="48"/>
      <c r="S111" s="48">
        <f t="shared" si="4"/>
        <v>4410996</v>
      </c>
      <c r="T111" s="44"/>
      <c r="U111" s="48">
        <v>1005061</v>
      </c>
      <c r="W111" s="44">
        <f>+S111-'Stmt net assets'!O111-U111</f>
        <v>0</v>
      </c>
    </row>
    <row r="112" spans="1:23" s="65" customFormat="1" ht="12.75" customHeight="1" x14ac:dyDescent="0.2">
      <c r="A112" s="35" t="s">
        <v>134</v>
      </c>
      <c r="B112" s="55"/>
      <c r="C112" s="35" t="s">
        <v>135</v>
      </c>
      <c r="D112" s="35"/>
      <c r="E112" s="48">
        <v>2030000</v>
      </c>
      <c r="F112" s="48"/>
      <c r="G112" s="48">
        <v>0</v>
      </c>
      <c r="H112" s="48"/>
      <c r="I112" s="48">
        <v>110427</v>
      </c>
      <c r="J112" s="48"/>
      <c r="K112" s="48">
        <v>103687</v>
      </c>
      <c r="L112" s="48"/>
      <c r="M112" s="48">
        <v>0</v>
      </c>
      <c r="N112" s="48"/>
      <c r="O112" s="48">
        <v>248451</v>
      </c>
      <c r="P112" s="48"/>
      <c r="Q112" s="48">
        <v>431404</v>
      </c>
      <c r="R112" s="48"/>
      <c r="S112" s="48">
        <f t="shared" si="4"/>
        <v>2923969</v>
      </c>
      <c r="T112" s="44"/>
      <c r="U112" s="48">
        <v>374215</v>
      </c>
      <c r="W112" s="44">
        <f>+S112-'Stmt net assets'!O112-U112</f>
        <v>0</v>
      </c>
    </row>
    <row r="113" spans="1:25" s="65" customFormat="1" ht="12.75" customHeight="1" x14ac:dyDescent="0.2">
      <c r="A113" s="35" t="s">
        <v>136</v>
      </c>
      <c r="B113" s="51"/>
      <c r="C113" s="35" t="s">
        <v>136</v>
      </c>
      <c r="D113" s="35"/>
      <c r="E113" s="48">
        <v>0</v>
      </c>
      <c r="F113" s="48"/>
      <c r="G113" s="48">
        <v>0</v>
      </c>
      <c r="H113" s="48"/>
      <c r="I113" s="48">
        <v>388437</v>
      </c>
      <c r="J113" s="48"/>
      <c r="K113" s="48">
        <v>0</v>
      </c>
      <c r="L113" s="48"/>
      <c r="M113" s="48">
        <v>0</v>
      </c>
      <c r="N113" s="48"/>
      <c r="O113" s="48">
        <v>568357</v>
      </c>
      <c r="P113" s="48"/>
      <c r="Q113" s="48">
        <v>33856</v>
      </c>
      <c r="R113" s="48"/>
      <c r="S113" s="48">
        <f t="shared" si="4"/>
        <v>990650</v>
      </c>
      <c r="T113" s="44"/>
      <c r="U113" s="48">
        <v>214956</v>
      </c>
      <c r="W113" s="44">
        <f>+S113-'Stmt net assets'!O113-U113</f>
        <v>0</v>
      </c>
      <c r="Y113" s="108"/>
    </row>
    <row r="114" spans="1:25" s="65" customFormat="1" ht="12.75" customHeight="1" x14ac:dyDescent="0.2">
      <c r="A114" s="35" t="s">
        <v>137</v>
      </c>
      <c r="B114" s="51"/>
      <c r="C114" s="35" t="s">
        <v>22</v>
      </c>
      <c r="D114" s="35"/>
      <c r="E114" s="48">
        <v>1370000</v>
      </c>
      <c r="F114" s="48"/>
      <c r="G114" s="48">
        <v>334000</v>
      </c>
      <c r="H114" s="48"/>
      <c r="I114" s="48">
        <v>0</v>
      </c>
      <c r="J114" s="48"/>
      <c r="K114" s="48">
        <f>231053+375123</f>
        <v>606176</v>
      </c>
      <c r="L114" s="48"/>
      <c r="M114" s="48">
        <v>0</v>
      </c>
      <c r="N114" s="48"/>
      <c r="O114" s="48">
        <v>1037394</v>
      </c>
      <c r="P114" s="48"/>
      <c r="Q114" s="48">
        <v>0</v>
      </c>
      <c r="R114" s="48"/>
      <c r="S114" s="48">
        <f t="shared" si="4"/>
        <v>3347570</v>
      </c>
      <c r="T114" s="44"/>
      <c r="U114" s="48">
        <v>1020827</v>
      </c>
      <c r="W114" s="44">
        <f>+S114-'Stmt net assets'!O114-U114</f>
        <v>0</v>
      </c>
    </row>
    <row r="115" spans="1:25" s="65" customFormat="1" ht="12.75" hidden="1" customHeight="1" x14ac:dyDescent="0.2">
      <c r="A115" s="35" t="s">
        <v>138</v>
      </c>
      <c r="B115" s="51"/>
      <c r="C115" s="35" t="s">
        <v>139</v>
      </c>
      <c r="D115" s="35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>
        <f t="shared" si="4"/>
        <v>0</v>
      </c>
      <c r="T115" s="44"/>
      <c r="U115" s="48"/>
      <c r="W115" s="44">
        <f>+S115-'Stmt net assets'!O115-U115</f>
        <v>0</v>
      </c>
    </row>
    <row r="116" spans="1:25" s="66" customFormat="1" ht="12.75" customHeight="1" x14ac:dyDescent="0.2">
      <c r="A116" s="35" t="s">
        <v>140</v>
      </c>
      <c r="B116" s="51"/>
      <c r="C116" s="35" t="s">
        <v>66</v>
      </c>
      <c r="D116" s="35"/>
      <c r="E116" s="48">
        <v>14204735</v>
      </c>
      <c r="F116" s="48"/>
      <c r="G116" s="48">
        <v>140265</v>
      </c>
      <c r="H116" s="48"/>
      <c r="I116" s="48">
        <v>1928915</v>
      </c>
      <c r="J116" s="48"/>
      <c r="K116" s="48">
        <v>0</v>
      </c>
      <c r="L116" s="48"/>
      <c r="M116" s="48">
        <v>0</v>
      </c>
      <c r="N116" s="48"/>
      <c r="O116" s="48">
        <v>4397536</v>
      </c>
      <c r="P116" s="48"/>
      <c r="Q116" s="48">
        <v>0</v>
      </c>
      <c r="R116" s="48"/>
      <c r="S116" s="48">
        <f t="shared" si="4"/>
        <v>20671451</v>
      </c>
      <c r="T116" s="44"/>
      <c r="U116" s="48">
        <v>3819361</v>
      </c>
      <c r="V116" s="65"/>
      <c r="W116" s="44">
        <f>+S116-'Stmt net assets'!O116-U116</f>
        <v>0</v>
      </c>
    </row>
    <row r="117" spans="1:25" s="66" customFormat="1" ht="12.75" customHeight="1" x14ac:dyDescent="0.2">
      <c r="A117" s="35" t="s">
        <v>478</v>
      </c>
      <c r="B117" s="51"/>
      <c r="C117" s="35" t="s">
        <v>92</v>
      </c>
      <c r="D117" s="35"/>
      <c r="E117" s="48">
        <v>2669740</v>
      </c>
      <c r="F117" s="48"/>
      <c r="G117" s="48">
        <v>0</v>
      </c>
      <c r="H117" s="48"/>
      <c r="I117" s="48">
        <v>1275000</v>
      </c>
      <c r="J117" s="48"/>
      <c r="K117" s="48">
        <v>86250</v>
      </c>
      <c r="L117" s="48"/>
      <c r="M117" s="48">
        <v>0</v>
      </c>
      <c r="N117" s="48"/>
      <c r="O117" s="48">
        <v>241746</v>
      </c>
      <c r="P117" s="48"/>
      <c r="Q117" s="48">
        <v>0</v>
      </c>
      <c r="R117" s="48"/>
      <c r="S117" s="48">
        <f t="shared" si="4"/>
        <v>4272736</v>
      </c>
      <c r="T117" s="44"/>
      <c r="U117" s="48">
        <v>276407</v>
      </c>
      <c r="V117" s="65"/>
      <c r="W117" s="44">
        <f>+S117-'Stmt net assets'!O117-U117</f>
        <v>0</v>
      </c>
    </row>
    <row r="118" spans="1:25" s="65" customFormat="1" ht="12.75" customHeight="1" x14ac:dyDescent="0.2">
      <c r="A118" s="64" t="s">
        <v>141</v>
      </c>
      <c r="B118" s="66"/>
      <c r="C118" s="64" t="s">
        <v>27</v>
      </c>
      <c r="D118" s="64"/>
      <c r="E118" s="48">
        <v>32266849</v>
      </c>
      <c r="F118" s="48"/>
      <c r="G118" s="48">
        <v>0</v>
      </c>
      <c r="H118" s="48"/>
      <c r="I118" s="48">
        <v>1948000</v>
      </c>
      <c r="J118" s="48"/>
      <c r="K118" s="48">
        <v>215600</v>
      </c>
      <c r="L118" s="48"/>
      <c r="M118" s="48">
        <v>6122214</v>
      </c>
      <c r="N118" s="48"/>
      <c r="O118" s="48">
        <v>5763117</v>
      </c>
      <c r="P118" s="48"/>
      <c r="Q118" s="48">
        <v>778258</v>
      </c>
      <c r="R118" s="48"/>
      <c r="S118" s="48">
        <f t="shared" si="4"/>
        <v>47094038</v>
      </c>
      <c r="T118" s="44"/>
      <c r="U118" s="48">
        <v>6404596</v>
      </c>
      <c r="W118" s="44">
        <f>+S118-'Stmt net assets'!O118-U118</f>
        <v>0</v>
      </c>
    </row>
    <row r="119" spans="1:25" s="65" customFormat="1" ht="12.75" customHeight="1" x14ac:dyDescent="0.2">
      <c r="A119" s="35" t="s">
        <v>142</v>
      </c>
      <c r="B119" s="51"/>
      <c r="C119" s="35" t="s">
        <v>102</v>
      </c>
      <c r="D119" s="35"/>
      <c r="E119" s="48">
        <v>5295000</v>
      </c>
      <c r="F119" s="48"/>
      <c r="G119" s="48">
        <v>228000</v>
      </c>
      <c r="H119" s="48"/>
      <c r="I119" s="48">
        <v>0</v>
      </c>
      <c r="J119" s="48"/>
      <c r="K119" s="48">
        <f>490000+57818+610821+391485+180634</f>
        <v>1730758</v>
      </c>
      <c r="L119" s="48"/>
      <c r="M119" s="48">
        <v>356584</v>
      </c>
      <c r="N119" s="48"/>
      <c r="O119" s="48">
        <v>5245584</v>
      </c>
      <c r="P119" s="48"/>
      <c r="Q119" s="48">
        <v>1680324</v>
      </c>
      <c r="R119" s="48"/>
      <c r="S119" s="48">
        <f t="shared" si="4"/>
        <v>14536250</v>
      </c>
      <c r="T119" s="44"/>
      <c r="U119" s="48">
        <v>3058383</v>
      </c>
      <c r="W119" s="44">
        <f>+S119-'Stmt net assets'!O119-U119</f>
        <v>0</v>
      </c>
    </row>
    <row r="120" spans="1:25" s="65" customFormat="1" ht="12.75" customHeight="1" x14ac:dyDescent="0.2">
      <c r="A120" s="64" t="s">
        <v>143</v>
      </c>
      <c r="B120" s="66"/>
      <c r="C120" s="64" t="s">
        <v>111</v>
      </c>
      <c r="D120" s="64"/>
      <c r="E120" s="48">
        <v>5610870</v>
      </c>
      <c r="F120" s="48"/>
      <c r="G120" s="48">
        <v>12985</v>
      </c>
      <c r="H120" s="48"/>
      <c r="I120" s="48">
        <v>0</v>
      </c>
      <c r="J120" s="48"/>
      <c r="K120" s="48">
        <v>0</v>
      </c>
      <c r="L120" s="48"/>
      <c r="M120" s="48">
        <v>16168</v>
      </c>
      <c r="N120" s="48"/>
      <c r="O120" s="48">
        <v>1126212</v>
      </c>
      <c r="P120" s="48"/>
      <c r="Q120" s="48">
        <v>18673</v>
      </c>
      <c r="R120" s="48"/>
      <c r="S120" s="48">
        <f t="shared" si="4"/>
        <v>6784908</v>
      </c>
      <c r="T120" s="44"/>
      <c r="U120" s="48">
        <v>739390</v>
      </c>
      <c r="W120" s="44">
        <f>+S120-'Stmt net assets'!O120-U120</f>
        <v>0</v>
      </c>
    </row>
    <row r="121" spans="1:25" s="65" customFormat="1" ht="12.75" customHeight="1" x14ac:dyDescent="0.2">
      <c r="A121" s="35" t="s">
        <v>144</v>
      </c>
      <c r="B121" s="51"/>
      <c r="C121" s="35" t="s">
        <v>88</v>
      </c>
      <c r="D121" s="35"/>
      <c r="E121" s="48">
        <v>2632126</v>
      </c>
      <c r="F121" s="48"/>
      <c r="G121" s="48">
        <v>0</v>
      </c>
      <c r="H121" s="48"/>
      <c r="I121" s="48">
        <v>0</v>
      </c>
      <c r="J121" s="48"/>
      <c r="K121" s="48">
        <v>0</v>
      </c>
      <c r="L121" s="48"/>
      <c r="M121" s="48">
        <f>109316+80093+4464</f>
        <v>193873</v>
      </c>
      <c r="N121" s="48"/>
      <c r="O121" s="48">
        <v>2358318</v>
      </c>
      <c r="P121" s="48"/>
      <c r="Q121" s="48">
        <v>110000</v>
      </c>
      <c r="R121" s="48"/>
      <c r="S121" s="48">
        <f t="shared" si="4"/>
        <v>5294317</v>
      </c>
      <c r="T121" s="44"/>
      <c r="U121" s="48">
        <v>488431</v>
      </c>
      <c r="W121" s="44">
        <f>+S121-'Stmt net assets'!O121-U121</f>
        <v>0</v>
      </c>
    </row>
    <row r="122" spans="1:25" s="65" customFormat="1" ht="12.75" customHeight="1" x14ac:dyDescent="0.2">
      <c r="A122" s="35" t="s">
        <v>36</v>
      </c>
      <c r="B122" s="51"/>
      <c r="C122" s="35" t="s">
        <v>145</v>
      </c>
      <c r="D122" s="35"/>
      <c r="E122" s="48">
        <f>216907+93990</f>
        <v>310897</v>
      </c>
      <c r="F122" s="48"/>
      <c r="G122" s="48">
        <v>0</v>
      </c>
      <c r="H122" s="48"/>
      <c r="I122" s="48">
        <v>0</v>
      </c>
      <c r="J122" s="48"/>
      <c r="K122" s="48">
        <v>0</v>
      </c>
      <c r="L122" s="48"/>
      <c r="M122" s="48">
        <v>140150</v>
      </c>
      <c r="N122" s="48"/>
      <c r="O122" s="48">
        <v>275991</v>
      </c>
      <c r="P122" s="48"/>
      <c r="Q122" s="48">
        <v>0</v>
      </c>
      <c r="R122" s="48"/>
      <c r="S122" s="48">
        <f t="shared" si="4"/>
        <v>727038</v>
      </c>
      <c r="T122" s="44"/>
      <c r="U122" s="48">
        <v>222975</v>
      </c>
      <c r="W122" s="44">
        <f>+S122-'Stmt net assets'!O122-U122</f>
        <v>0</v>
      </c>
    </row>
    <row r="123" spans="1:25" s="65" customFormat="1" ht="12.75" customHeight="1" x14ac:dyDescent="0.2">
      <c r="A123" s="35"/>
      <c r="C123" s="35"/>
      <c r="D123" s="35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4"/>
      <c r="U123" s="48" t="s">
        <v>484</v>
      </c>
      <c r="W123" s="44"/>
    </row>
    <row r="124" spans="1:25" s="65" customFormat="1" ht="12.75" customHeight="1" x14ac:dyDescent="0.2">
      <c r="A124" s="35" t="s">
        <v>146</v>
      </c>
      <c r="B124" s="51"/>
      <c r="C124" s="35" t="s">
        <v>147</v>
      </c>
      <c r="D124" s="35"/>
      <c r="E124" s="68">
        <v>170200</v>
      </c>
      <c r="F124" s="68"/>
      <c r="G124" s="68">
        <v>14000</v>
      </c>
      <c r="H124" s="68"/>
      <c r="I124" s="68">
        <v>0</v>
      </c>
      <c r="J124" s="68"/>
      <c r="K124" s="68">
        <f>40149+191629+434762+1179195</f>
        <v>1845735</v>
      </c>
      <c r="L124" s="68"/>
      <c r="M124" s="68">
        <v>0</v>
      </c>
      <c r="N124" s="68"/>
      <c r="O124" s="68">
        <v>319359</v>
      </c>
      <c r="P124" s="68"/>
      <c r="Q124" s="68">
        <f>58399+139000+2870000</f>
        <v>3067399</v>
      </c>
      <c r="R124" s="68"/>
      <c r="S124" s="68">
        <f t="shared" si="4"/>
        <v>5416693</v>
      </c>
      <c r="T124" s="46"/>
      <c r="U124" s="68">
        <v>410953</v>
      </c>
      <c r="W124" s="44">
        <f>+S124-'Stmt net assets'!O124-U124</f>
        <v>0</v>
      </c>
    </row>
    <row r="125" spans="1:25" s="65" customFormat="1" ht="12.75" customHeight="1" x14ac:dyDescent="0.2">
      <c r="A125" s="35" t="s">
        <v>17</v>
      </c>
      <c r="B125" s="51"/>
      <c r="C125" s="35" t="s">
        <v>17</v>
      </c>
      <c r="D125" s="35"/>
      <c r="E125" s="48">
        <v>32659796</v>
      </c>
      <c r="F125" s="48"/>
      <c r="G125" s="48">
        <v>1566747</v>
      </c>
      <c r="H125" s="48"/>
      <c r="I125" s="48">
        <v>240000</v>
      </c>
      <c r="J125" s="48"/>
      <c r="K125" s="48">
        <f>3635000+2247401+2501327+1898248+869896</f>
        <v>11151872</v>
      </c>
      <c r="L125" s="48"/>
      <c r="M125" s="48">
        <v>1277126</v>
      </c>
      <c r="N125" s="48"/>
      <c r="O125" s="48">
        <v>7190280</v>
      </c>
      <c r="P125" s="48"/>
      <c r="Q125" s="48">
        <v>846427</v>
      </c>
      <c r="R125" s="48"/>
      <c r="S125" s="48">
        <f t="shared" si="4"/>
        <v>54932248</v>
      </c>
      <c r="T125" s="44"/>
      <c r="U125" s="48">
        <v>5307579</v>
      </c>
      <c r="W125" s="44">
        <f>+S125-'Stmt net assets'!O125-U125</f>
        <v>0</v>
      </c>
    </row>
    <row r="126" spans="1:25" s="65" customFormat="1" ht="12.75" customHeight="1" x14ac:dyDescent="0.2">
      <c r="A126" s="35" t="s">
        <v>148</v>
      </c>
      <c r="B126" s="51"/>
      <c r="C126" s="35" t="s">
        <v>15</v>
      </c>
      <c r="D126" s="35"/>
      <c r="E126" s="48">
        <v>254000</v>
      </c>
      <c r="F126" s="48"/>
      <c r="G126" s="48">
        <v>0</v>
      </c>
      <c r="H126" s="48"/>
      <c r="I126" s="48">
        <v>0</v>
      </c>
      <c r="J126" s="48"/>
      <c r="K126" s="48">
        <v>0</v>
      </c>
      <c r="L126" s="48"/>
      <c r="M126" s="48">
        <v>0</v>
      </c>
      <c r="N126" s="48"/>
      <c r="O126" s="48">
        <v>161001</v>
      </c>
      <c r="P126" s="48"/>
      <c r="Q126" s="48">
        <v>43094</v>
      </c>
      <c r="R126" s="48"/>
      <c r="S126" s="48">
        <f t="shared" si="4"/>
        <v>458095</v>
      </c>
      <c r="T126" s="44"/>
      <c r="U126" s="48">
        <v>111461</v>
      </c>
      <c r="W126" s="44">
        <f>+S126-'Stmt net assets'!O126-U126</f>
        <v>0</v>
      </c>
    </row>
    <row r="127" spans="1:25" s="65" customFormat="1" ht="12.75" customHeight="1" x14ac:dyDescent="0.2">
      <c r="A127" s="35" t="s">
        <v>149</v>
      </c>
      <c r="B127" s="51"/>
      <c r="C127" s="35" t="s">
        <v>45</v>
      </c>
      <c r="D127" s="35"/>
      <c r="E127" s="48">
        <v>4820684</v>
      </c>
      <c r="F127" s="48"/>
      <c r="G127" s="48">
        <v>0</v>
      </c>
      <c r="H127" s="48"/>
      <c r="I127" s="48">
        <v>0</v>
      </c>
      <c r="J127" s="48"/>
      <c r="K127" s="48">
        <v>2027904</v>
      </c>
      <c r="L127" s="48"/>
      <c r="M127" s="48">
        <v>0</v>
      </c>
      <c r="N127" s="48"/>
      <c r="O127" s="48">
        <v>514544</v>
      </c>
      <c r="P127" s="48"/>
      <c r="Q127" s="48">
        <v>31810</v>
      </c>
      <c r="R127" s="48"/>
      <c r="S127" s="48">
        <f t="shared" si="4"/>
        <v>7394942</v>
      </c>
      <c r="T127" s="44"/>
      <c r="U127" s="48">
        <v>921802</v>
      </c>
      <c r="W127" s="44">
        <f>+S127-'Stmt net assets'!O127-U127</f>
        <v>0</v>
      </c>
    </row>
    <row r="128" spans="1:25" s="65" customFormat="1" ht="12.75" customHeight="1" x14ac:dyDescent="0.2">
      <c r="A128" s="35" t="s">
        <v>150</v>
      </c>
      <c r="B128" s="51"/>
      <c r="C128" s="35" t="s">
        <v>27</v>
      </c>
      <c r="D128" s="35"/>
      <c r="E128" s="48">
        <v>1495000</v>
      </c>
      <c r="F128" s="48"/>
      <c r="G128" s="48">
        <v>0</v>
      </c>
      <c r="H128" s="48"/>
      <c r="I128" s="48">
        <v>750000</v>
      </c>
      <c r="J128" s="48"/>
      <c r="K128" s="48">
        <v>0</v>
      </c>
      <c r="L128" s="48"/>
      <c r="M128" s="48">
        <v>0</v>
      </c>
      <c r="N128" s="48"/>
      <c r="O128" s="48">
        <v>1137540</v>
      </c>
      <c r="P128" s="48"/>
      <c r="Q128" s="48">
        <v>0</v>
      </c>
      <c r="R128" s="48"/>
      <c r="S128" s="48">
        <f t="shared" si="4"/>
        <v>3382540</v>
      </c>
      <c r="T128" s="44"/>
      <c r="U128" s="48">
        <v>1094561</v>
      </c>
      <c r="W128" s="44">
        <f>+S128-'Stmt net assets'!O128-U128</f>
        <v>0</v>
      </c>
    </row>
    <row r="129" spans="1:30" s="65" customFormat="1" ht="12.75" customHeight="1" x14ac:dyDescent="0.2">
      <c r="A129" s="35" t="s">
        <v>151</v>
      </c>
      <c r="C129" s="35" t="s">
        <v>13</v>
      </c>
      <c r="D129" s="35"/>
      <c r="E129" s="48">
        <f>10040000+138904-7340</f>
        <v>10171564</v>
      </c>
      <c r="F129" s="48"/>
      <c r="G129" s="48">
        <v>1416400</v>
      </c>
      <c r="H129" s="48"/>
      <c r="I129" s="48">
        <v>0</v>
      </c>
      <c r="J129" s="48"/>
      <c r="K129" s="48">
        <v>526191</v>
      </c>
      <c r="L129" s="48"/>
      <c r="M129" s="48">
        <v>70139</v>
      </c>
      <c r="N129" s="48"/>
      <c r="O129" s="48">
        <v>673887</v>
      </c>
      <c r="P129" s="48"/>
      <c r="Q129" s="48">
        <v>0</v>
      </c>
      <c r="R129" s="48"/>
      <c r="S129" s="48">
        <f t="shared" si="4"/>
        <v>12858181</v>
      </c>
      <c r="T129" s="44"/>
      <c r="U129" s="48">
        <v>1343342</v>
      </c>
      <c r="W129" s="44">
        <f>+S129-'Stmt net assets'!O129-U129</f>
        <v>0</v>
      </c>
    </row>
    <row r="130" spans="1:30" s="125" customFormat="1" ht="12.75" hidden="1" customHeight="1" x14ac:dyDescent="0.2">
      <c r="A130" s="126" t="s">
        <v>481</v>
      </c>
      <c r="C130" s="126" t="s">
        <v>45</v>
      </c>
      <c r="D130" s="126"/>
      <c r="E130" s="130">
        <v>0</v>
      </c>
      <c r="F130" s="130"/>
      <c r="G130" s="130">
        <v>0</v>
      </c>
      <c r="H130" s="130"/>
      <c r="I130" s="130">
        <v>1080000</v>
      </c>
      <c r="J130" s="130"/>
      <c r="K130" s="130">
        <v>0</v>
      </c>
      <c r="L130" s="130"/>
      <c r="M130" s="130">
        <v>0</v>
      </c>
      <c r="N130" s="130"/>
      <c r="O130" s="130">
        <v>172537</v>
      </c>
      <c r="P130" s="130"/>
      <c r="Q130" s="130">
        <v>0</v>
      </c>
      <c r="R130" s="130"/>
      <c r="S130" s="130">
        <f t="shared" si="4"/>
        <v>1252537</v>
      </c>
      <c r="T130" s="121"/>
      <c r="U130" s="130">
        <v>1198694</v>
      </c>
      <c r="W130" s="121">
        <f>+S130-'Stmt net assets'!O130-U130</f>
        <v>0</v>
      </c>
      <c r="Y130" s="121" t="s">
        <v>502</v>
      </c>
    </row>
    <row r="131" spans="1:30" s="65" customFormat="1" ht="12.75" customHeight="1" x14ac:dyDescent="0.2">
      <c r="A131" s="35" t="s">
        <v>152</v>
      </c>
      <c r="B131" s="51"/>
      <c r="C131" s="35" t="s">
        <v>153</v>
      </c>
      <c r="D131" s="35"/>
      <c r="E131" s="48">
        <v>5010000</v>
      </c>
      <c r="F131" s="48"/>
      <c r="G131" s="48">
        <v>0</v>
      </c>
      <c r="H131" s="48"/>
      <c r="I131" s="48">
        <v>230000</v>
      </c>
      <c r="J131" s="48"/>
      <c r="K131" s="48">
        <v>0</v>
      </c>
      <c r="L131" s="48"/>
      <c r="M131" s="48">
        <v>0</v>
      </c>
      <c r="N131" s="48"/>
      <c r="O131" s="48">
        <v>4481604</v>
      </c>
      <c r="P131" s="48"/>
      <c r="Q131" s="48">
        <v>1157978</v>
      </c>
      <c r="R131" s="48"/>
      <c r="S131" s="48">
        <f t="shared" si="4"/>
        <v>10879582</v>
      </c>
      <c r="T131" s="44"/>
      <c r="U131" s="48">
        <v>1941522</v>
      </c>
      <c r="W131" s="44">
        <f>+S131-'Stmt net assets'!O131-U131</f>
        <v>0</v>
      </c>
    </row>
    <row r="132" spans="1:30" s="65" customFormat="1" ht="12.75" customHeight="1" x14ac:dyDescent="0.2">
      <c r="A132" s="35" t="s">
        <v>154</v>
      </c>
      <c r="B132" s="51"/>
      <c r="C132" s="35" t="s">
        <v>27</v>
      </c>
      <c r="D132" s="35"/>
      <c r="E132" s="48">
        <v>15750543</v>
      </c>
      <c r="F132" s="48"/>
      <c r="G132" s="48">
        <v>0</v>
      </c>
      <c r="H132" s="48"/>
      <c r="I132" s="48">
        <v>0</v>
      </c>
      <c r="J132" s="48"/>
      <c r="K132" s="48">
        <f>1025357+1224029</f>
        <v>2249386</v>
      </c>
      <c r="L132" s="48"/>
      <c r="M132" s="48">
        <v>349655</v>
      </c>
      <c r="N132" s="48"/>
      <c r="O132" s="48">
        <v>2825233</v>
      </c>
      <c r="P132" s="48"/>
      <c r="Q132" s="48">
        <v>339369</v>
      </c>
      <c r="R132" s="48"/>
      <c r="S132" s="48">
        <f t="shared" si="4"/>
        <v>21514186</v>
      </c>
      <c r="T132" s="44"/>
      <c r="U132" s="48">
        <v>1629632</v>
      </c>
      <c r="W132" s="44">
        <f>+S132-'Stmt net assets'!O132-U132</f>
        <v>0</v>
      </c>
    </row>
    <row r="133" spans="1:30" s="65" customFormat="1" ht="12.75" customHeight="1" x14ac:dyDescent="0.2">
      <c r="A133" s="35" t="s">
        <v>155</v>
      </c>
      <c r="B133" s="51"/>
      <c r="C133" s="35" t="s">
        <v>40</v>
      </c>
      <c r="D133" s="35"/>
      <c r="E133" s="48">
        <v>111500</v>
      </c>
      <c r="F133" s="48"/>
      <c r="G133" s="48">
        <v>0</v>
      </c>
      <c r="H133" s="48"/>
      <c r="I133" s="48">
        <v>3438500</v>
      </c>
      <c r="J133" s="48"/>
      <c r="K133" s="48">
        <f>356200+47912</f>
        <v>404112</v>
      </c>
      <c r="L133" s="48"/>
      <c r="M133" s="48">
        <v>0</v>
      </c>
      <c r="N133" s="48"/>
      <c r="O133" s="48">
        <v>715491</v>
      </c>
      <c r="P133" s="48"/>
      <c r="Q133" s="48">
        <v>87947</v>
      </c>
      <c r="R133" s="48"/>
      <c r="S133" s="48">
        <f t="shared" ref="S133:S149" si="5">SUM(E133:Q133)</f>
        <v>4757550</v>
      </c>
      <c r="T133" s="44"/>
      <c r="U133" s="48">
        <v>105083</v>
      </c>
      <c r="W133" s="44">
        <f>+S133-'Stmt net assets'!O133-U133</f>
        <v>0</v>
      </c>
    </row>
    <row r="134" spans="1:30" s="65" customFormat="1" ht="12.75" customHeight="1" x14ac:dyDescent="0.2">
      <c r="A134" s="35" t="s">
        <v>156</v>
      </c>
      <c r="C134" s="35" t="s">
        <v>156</v>
      </c>
      <c r="D134" s="35"/>
      <c r="E134" s="48">
        <v>4997250</v>
      </c>
      <c r="F134" s="48"/>
      <c r="G134" s="48">
        <v>0</v>
      </c>
      <c r="H134" s="48"/>
      <c r="I134" s="48">
        <v>0</v>
      </c>
      <c r="J134" s="48"/>
      <c r="K134" s="48">
        <f>607478+227245+70512</f>
        <v>905235</v>
      </c>
      <c r="L134" s="48"/>
      <c r="M134" s="48">
        <v>0</v>
      </c>
      <c r="N134" s="48"/>
      <c r="O134" s="48">
        <v>4045043</v>
      </c>
      <c r="P134" s="48"/>
      <c r="Q134" s="48">
        <v>0</v>
      </c>
      <c r="R134" s="48"/>
      <c r="S134" s="48">
        <f t="shared" si="5"/>
        <v>9947528</v>
      </c>
      <c r="T134" s="44"/>
      <c r="U134" s="48">
        <v>984538</v>
      </c>
      <c r="W134" s="44">
        <f>+S134-'Stmt net assets'!O134-U134</f>
        <v>0</v>
      </c>
    </row>
    <row r="135" spans="1:30" s="65" customFormat="1" ht="12.75" customHeight="1" x14ac:dyDescent="0.2">
      <c r="A135" s="35" t="s">
        <v>157</v>
      </c>
      <c r="B135" s="51"/>
      <c r="C135" s="35" t="s">
        <v>33</v>
      </c>
      <c r="D135" s="35"/>
      <c r="E135" s="48">
        <v>0</v>
      </c>
      <c r="F135" s="48"/>
      <c r="G135" s="48">
        <v>0</v>
      </c>
      <c r="H135" s="48"/>
      <c r="I135" s="48">
        <f>113122+55000</f>
        <v>168122</v>
      </c>
      <c r="J135" s="48"/>
      <c r="K135" s="48">
        <v>6017</v>
      </c>
      <c r="L135" s="48"/>
      <c r="M135" s="48">
        <v>0</v>
      </c>
      <c r="N135" s="48"/>
      <c r="O135" s="48">
        <v>54627</v>
      </c>
      <c r="P135" s="48"/>
      <c r="Q135" s="48">
        <v>173172</v>
      </c>
      <c r="R135" s="48"/>
      <c r="S135" s="48">
        <f t="shared" si="5"/>
        <v>401938</v>
      </c>
      <c r="T135" s="44"/>
      <c r="U135" s="48">
        <v>72931</v>
      </c>
      <c r="W135" s="44">
        <f>+S135-'Stmt net assets'!O135-U135</f>
        <v>0</v>
      </c>
    </row>
    <row r="136" spans="1:30" s="65" customFormat="1" ht="12.75" customHeight="1" x14ac:dyDescent="0.2">
      <c r="A136" s="35" t="s">
        <v>158</v>
      </c>
      <c r="B136" s="51"/>
      <c r="C136" s="35" t="s">
        <v>159</v>
      </c>
      <c r="D136" s="35"/>
      <c r="E136" s="48">
        <v>20575785</v>
      </c>
      <c r="F136" s="48"/>
      <c r="G136" s="48">
        <v>0</v>
      </c>
      <c r="H136" s="48"/>
      <c r="I136" s="48">
        <v>0</v>
      </c>
      <c r="J136" s="48"/>
      <c r="K136" s="48">
        <v>0</v>
      </c>
      <c r="L136" s="48"/>
      <c r="M136" s="48">
        <v>343288</v>
      </c>
      <c r="N136" s="48"/>
      <c r="O136" s="48">
        <v>988422</v>
      </c>
      <c r="P136" s="48"/>
      <c r="Q136" s="48">
        <v>0</v>
      </c>
      <c r="R136" s="48"/>
      <c r="S136" s="48">
        <f t="shared" si="5"/>
        <v>21907495</v>
      </c>
      <c r="T136" s="44"/>
      <c r="U136" s="48">
        <v>1916975</v>
      </c>
      <c r="W136" s="44">
        <f>+S136-'Stmt net assets'!O136-U136</f>
        <v>0</v>
      </c>
    </row>
    <row r="137" spans="1:30" s="66" customFormat="1" ht="12.75" customHeight="1" x14ac:dyDescent="0.2">
      <c r="A137" s="64" t="s">
        <v>160</v>
      </c>
      <c r="C137" s="64" t="s">
        <v>111</v>
      </c>
      <c r="D137" s="64"/>
      <c r="E137" s="48">
        <v>24423749</v>
      </c>
      <c r="F137" s="48"/>
      <c r="G137" s="48">
        <v>0</v>
      </c>
      <c r="H137" s="48"/>
      <c r="I137" s="48">
        <v>0</v>
      </c>
      <c r="J137" s="48"/>
      <c r="K137" s="48">
        <v>0</v>
      </c>
      <c r="L137" s="48"/>
      <c r="M137" s="48">
        <v>0</v>
      </c>
      <c r="N137" s="48"/>
      <c r="O137" s="48">
        <v>1374557</v>
      </c>
      <c r="P137" s="48"/>
      <c r="Q137" s="48">
        <v>16930630</v>
      </c>
      <c r="R137" s="48"/>
      <c r="S137" s="48">
        <f t="shared" si="5"/>
        <v>42728936</v>
      </c>
      <c r="T137" s="44"/>
      <c r="U137" s="48">
        <v>2798365</v>
      </c>
      <c r="V137" s="65"/>
      <c r="W137" s="44">
        <f>+S137-'Stmt net assets'!O137-U137</f>
        <v>0</v>
      </c>
      <c r="X137" s="65"/>
      <c r="Y137" s="65"/>
      <c r="Z137" s="65"/>
      <c r="AA137" s="65"/>
      <c r="AB137" s="65"/>
      <c r="AC137" s="65"/>
      <c r="AD137" s="65"/>
    </row>
    <row r="138" spans="1:30" s="65" customFormat="1" ht="12.75" customHeight="1" x14ac:dyDescent="0.2">
      <c r="A138" s="35" t="s">
        <v>161</v>
      </c>
      <c r="C138" s="35" t="s">
        <v>15</v>
      </c>
      <c r="D138" s="35"/>
      <c r="E138" s="48">
        <v>16416329</v>
      </c>
      <c r="F138" s="48"/>
      <c r="G138" s="48">
        <v>0</v>
      </c>
      <c r="H138" s="48"/>
      <c r="I138" s="48">
        <v>0</v>
      </c>
      <c r="J138" s="48"/>
      <c r="K138" s="48">
        <v>2008235</v>
      </c>
      <c r="L138" s="48"/>
      <c r="M138" s="48">
        <v>40723</v>
      </c>
      <c r="N138" s="48"/>
      <c r="O138" s="48">
        <v>3288904</v>
      </c>
      <c r="P138" s="48"/>
      <c r="Q138" s="48">
        <f>1372084+630000</f>
        <v>2002084</v>
      </c>
      <c r="R138" s="48"/>
      <c r="S138" s="48">
        <f t="shared" si="5"/>
        <v>23756275</v>
      </c>
      <c r="T138" s="44"/>
      <c r="U138" s="48">
        <v>1572894</v>
      </c>
      <c r="W138" s="44">
        <f>+S138-'Stmt net assets'!O138-U138</f>
        <v>0</v>
      </c>
    </row>
    <row r="139" spans="1:30" s="65" customFormat="1" ht="12.75" customHeight="1" x14ac:dyDescent="0.2">
      <c r="A139" s="35" t="s">
        <v>162</v>
      </c>
      <c r="B139" s="51"/>
      <c r="C139" s="35" t="s">
        <v>163</v>
      </c>
      <c r="D139" s="35"/>
      <c r="E139" s="48">
        <v>20315000</v>
      </c>
      <c r="F139" s="48"/>
      <c r="G139" s="48">
        <v>0</v>
      </c>
      <c r="H139" s="48"/>
      <c r="I139" s="48">
        <v>3808840</v>
      </c>
      <c r="J139" s="48"/>
      <c r="K139" s="48">
        <v>83738</v>
      </c>
      <c r="L139" s="48"/>
      <c r="M139" s="48">
        <v>0</v>
      </c>
      <c r="N139" s="48"/>
      <c r="O139" s="48">
        <v>2191294</v>
      </c>
      <c r="P139" s="48"/>
      <c r="Q139" s="48">
        <f>13847+51941</f>
        <v>65788</v>
      </c>
      <c r="R139" s="48"/>
      <c r="S139" s="48">
        <f t="shared" si="5"/>
        <v>26464660</v>
      </c>
      <c r="T139" s="44"/>
      <c r="U139" s="48">
        <v>5800981</v>
      </c>
      <c r="W139" s="44">
        <f>+S139-'Stmt net assets'!O139-U139</f>
        <v>0</v>
      </c>
    </row>
    <row r="140" spans="1:30" s="65" customFormat="1" ht="12.75" customHeight="1" x14ac:dyDescent="0.2">
      <c r="A140" s="35" t="s">
        <v>164</v>
      </c>
      <c r="C140" s="35" t="s">
        <v>27</v>
      </c>
      <c r="D140" s="35"/>
      <c r="E140" s="48">
        <v>0</v>
      </c>
      <c r="F140" s="48"/>
      <c r="G140" s="48">
        <v>0</v>
      </c>
      <c r="H140" s="48"/>
      <c r="I140" s="48">
        <v>2800000</v>
      </c>
      <c r="J140" s="48"/>
      <c r="K140" s="48">
        <v>1613884</v>
      </c>
      <c r="L140" s="48"/>
      <c r="M140" s="48">
        <v>0</v>
      </c>
      <c r="N140" s="48"/>
      <c r="O140" s="48">
        <v>2712802</v>
      </c>
      <c r="P140" s="48"/>
      <c r="Q140" s="48">
        <v>35467</v>
      </c>
      <c r="R140" s="48"/>
      <c r="S140" s="48">
        <f t="shared" si="5"/>
        <v>7162153</v>
      </c>
      <c r="T140" s="44"/>
      <c r="U140" s="48">
        <v>1137437</v>
      </c>
      <c r="W140" s="44">
        <f>+S140-'Stmt net assets'!O140-U140</f>
        <v>0</v>
      </c>
    </row>
    <row r="141" spans="1:30" s="65" customFormat="1" ht="11.25" customHeight="1" x14ac:dyDescent="0.2">
      <c r="A141" s="35" t="s">
        <v>53</v>
      </c>
      <c r="B141" s="51"/>
      <c r="C141" s="35" t="s">
        <v>53</v>
      </c>
      <c r="D141" s="35"/>
      <c r="E141" s="48">
        <v>13845000</v>
      </c>
      <c r="F141" s="48"/>
      <c r="G141" s="48">
        <v>562016</v>
      </c>
      <c r="H141" s="48"/>
      <c r="I141" s="48">
        <v>0</v>
      </c>
      <c r="J141" s="48"/>
      <c r="K141" s="48">
        <v>123484</v>
      </c>
      <c r="L141" s="48"/>
      <c r="M141" s="48">
        <v>0</v>
      </c>
      <c r="N141" s="48"/>
      <c r="O141" s="48">
        <v>532649</v>
      </c>
      <c r="P141" s="48"/>
      <c r="Q141" s="48">
        <v>373334</v>
      </c>
      <c r="R141" s="48"/>
      <c r="S141" s="48">
        <f t="shared" si="5"/>
        <v>15436483</v>
      </c>
      <c r="T141" s="44"/>
      <c r="U141" s="48">
        <v>1029857</v>
      </c>
      <c r="W141" s="44">
        <f>+S141-'Stmt net assets'!O141-U141</f>
        <v>0</v>
      </c>
    </row>
    <row r="142" spans="1:30" s="65" customFormat="1" ht="12.75" customHeight="1" x14ac:dyDescent="0.2">
      <c r="A142" s="35" t="s">
        <v>165</v>
      </c>
      <c r="B142" s="51"/>
      <c r="C142" s="35" t="s">
        <v>92</v>
      </c>
      <c r="D142" s="35"/>
      <c r="E142" s="48">
        <f>20854387+32647</f>
        <v>20887034</v>
      </c>
      <c r="F142" s="48"/>
      <c r="G142" s="48">
        <v>10730613</v>
      </c>
      <c r="H142" s="48"/>
      <c r="I142" s="48">
        <v>0</v>
      </c>
      <c r="J142" s="48"/>
      <c r="K142" s="48">
        <v>572208</v>
      </c>
      <c r="L142" s="48"/>
      <c r="M142" s="48">
        <v>0</v>
      </c>
      <c r="N142" s="48"/>
      <c r="O142" s="48">
        <v>2020443</v>
      </c>
      <c r="P142" s="48"/>
      <c r="Q142" s="48">
        <v>0</v>
      </c>
      <c r="R142" s="48"/>
      <c r="S142" s="48">
        <f t="shared" si="5"/>
        <v>34210298</v>
      </c>
      <c r="T142" s="44"/>
      <c r="U142" s="48">
        <v>2767073</v>
      </c>
      <c r="W142" s="44">
        <f>+S142-'Stmt net assets'!O142-U142</f>
        <v>0</v>
      </c>
    </row>
    <row r="143" spans="1:30" s="65" customFormat="1" ht="12.75" customHeight="1" x14ac:dyDescent="0.2">
      <c r="A143" s="35" t="s">
        <v>166</v>
      </c>
      <c r="B143" s="51"/>
      <c r="C143" s="35" t="s">
        <v>92</v>
      </c>
      <c r="D143" s="35"/>
      <c r="E143" s="48">
        <v>0</v>
      </c>
      <c r="F143" s="48"/>
      <c r="G143" s="48">
        <v>0</v>
      </c>
      <c r="H143" s="48"/>
      <c r="I143" s="48">
        <v>0</v>
      </c>
      <c r="J143" s="48"/>
      <c r="K143" s="48">
        <f>343399+1546430+539008</f>
        <v>2428837</v>
      </c>
      <c r="L143" s="48"/>
      <c r="M143" s="48">
        <v>0</v>
      </c>
      <c r="N143" s="48"/>
      <c r="O143" s="48">
        <v>380967</v>
      </c>
      <c r="P143" s="48"/>
      <c r="Q143" s="48">
        <v>0</v>
      </c>
      <c r="R143" s="48"/>
      <c r="S143" s="48">
        <f t="shared" si="5"/>
        <v>2809804</v>
      </c>
      <c r="T143" s="44"/>
      <c r="U143" s="48">
        <v>1680851</v>
      </c>
      <c r="W143" s="44">
        <f>+S143-'Stmt net assets'!O143-U143</f>
        <v>0</v>
      </c>
    </row>
    <row r="144" spans="1:30" s="65" customFormat="1" ht="12.75" customHeight="1" x14ac:dyDescent="0.2">
      <c r="A144" s="35" t="s">
        <v>167</v>
      </c>
      <c r="B144" s="51"/>
      <c r="C144" s="35" t="s">
        <v>66</v>
      </c>
      <c r="D144" s="35"/>
      <c r="E144" s="48">
        <v>8074798</v>
      </c>
      <c r="F144" s="48"/>
      <c r="G144" s="48">
        <v>0</v>
      </c>
      <c r="H144" s="48"/>
      <c r="I144" s="48">
        <v>0</v>
      </c>
      <c r="J144" s="48"/>
      <c r="K144" s="48">
        <v>0</v>
      </c>
      <c r="L144" s="48"/>
      <c r="M144" s="48">
        <v>0</v>
      </c>
      <c r="N144" s="48"/>
      <c r="O144" s="48">
        <v>1692287</v>
      </c>
      <c r="P144" s="48"/>
      <c r="Q144" s="48">
        <v>225196</v>
      </c>
      <c r="R144" s="48"/>
      <c r="S144" s="48">
        <f t="shared" si="5"/>
        <v>9992281</v>
      </c>
      <c r="T144" s="44"/>
      <c r="U144" s="48">
        <v>1641006</v>
      </c>
      <c r="W144" s="44">
        <f>+S144-'Stmt net assets'!O144-U144</f>
        <v>0</v>
      </c>
    </row>
    <row r="145" spans="1:23" s="65" customFormat="1" ht="12.75" customHeight="1" x14ac:dyDescent="0.2">
      <c r="A145" s="44" t="s">
        <v>168</v>
      </c>
      <c r="B145" s="66"/>
      <c r="C145" s="64" t="s">
        <v>27</v>
      </c>
      <c r="D145" s="64"/>
      <c r="E145" s="48">
        <v>7748588</v>
      </c>
      <c r="F145" s="48"/>
      <c r="G145" s="48">
        <v>947096</v>
      </c>
      <c r="H145" s="48"/>
      <c r="I145" s="48">
        <v>0</v>
      </c>
      <c r="J145" s="48"/>
      <c r="K145" s="48">
        <v>754551</v>
      </c>
      <c r="L145" s="48"/>
      <c r="M145" s="48">
        <f>28755+79799+86147</f>
        <v>194701</v>
      </c>
      <c r="N145" s="48"/>
      <c r="O145" s="48">
        <v>2734126</v>
      </c>
      <c r="P145" s="48"/>
      <c r="Q145" s="48">
        <v>0</v>
      </c>
      <c r="R145" s="48"/>
      <c r="S145" s="48">
        <f t="shared" si="5"/>
        <v>12379062</v>
      </c>
      <c r="T145" s="44"/>
      <c r="U145" s="48">
        <v>3070456</v>
      </c>
      <c r="W145" s="44">
        <f>+S145-'Stmt net assets'!O145-U145</f>
        <v>0</v>
      </c>
    </row>
    <row r="146" spans="1:23" s="65" customFormat="1" ht="12.75" customHeight="1" x14ac:dyDescent="0.2">
      <c r="A146" s="35" t="s">
        <v>169</v>
      </c>
      <c r="B146" s="51"/>
      <c r="C146" s="35" t="s">
        <v>103</v>
      </c>
      <c r="D146" s="35"/>
      <c r="E146" s="48">
        <v>28650915</v>
      </c>
      <c r="F146" s="48"/>
      <c r="G146" s="48">
        <v>2478533</v>
      </c>
      <c r="H146" s="48"/>
      <c r="I146" s="48">
        <v>0</v>
      </c>
      <c r="J146" s="48"/>
      <c r="K146" s="48">
        <v>0</v>
      </c>
      <c r="L146" s="48"/>
      <c r="M146" s="48">
        <v>0</v>
      </c>
      <c r="N146" s="48"/>
      <c r="O146" s="48">
        <v>4879389</v>
      </c>
      <c r="P146" s="48"/>
      <c r="Q146" s="48">
        <f>2163601+676704</f>
        <v>2840305</v>
      </c>
      <c r="R146" s="48"/>
      <c r="S146" s="48">
        <f t="shared" si="5"/>
        <v>38849142</v>
      </c>
      <c r="T146" s="44"/>
      <c r="U146" s="48">
        <v>4672038</v>
      </c>
      <c r="W146" s="44">
        <f>+S146-'Stmt net assets'!O146-U146</f>
        <v>0</v>
      </c>
    </row>
    <row r="147" spans="1:23" s="65" customFormat="1" ht="12.75" customHeight="1" x14ac:dyDescent="0.2">
      <c r="A147" s="35" t="s">
        <v>170</v>
      </c>
      <c r="B147" s="51"/>
      <c r="C147" s="35" t="s">
        <v>171</v>
      </c>
      <c r="D147" s="35"/>
      <c r="E147" s="48">
        <v>2677016</v>
      </c>
      <c r="F147" s="48"/>
      <c r="G147" s="48">
        <v>0</v>
      </c>
      <c r="H147" s="48"/>
      <c r="I147" s="48">
        <v>0</v>
      </c>
      <c r="J147" s="48"/>
      <c r="K147" s="48">
        <v>0</v>
      </c>
      <c r="L147" s="48"/>
      <c r="M147" s="48">
        <v>0</v>
      </c>
      <c r="N147" s="48"/>
      <c r="O147" s="48">
        <v>216321</v>
      </c>
      <c r="P147" s="48"/>
      <c r="Q147" s="48">
        <v>0</v>
      </c>
      <c r="R147" s="48"/>
      <c r="S147" s="48">
        <f t="shared" si="5"/>
        <v>2893337</v>
      </c>
      <c r="T147" s="44"/>
      <c r="U147" s="48">
        <v>397344</v>
      </c>
      <c r="W147" s="44">
        <f>+S147-'Stmt net assets'!O147-U147</f>
        <v>0</v>
      </c>
    </row>
    <row r="148" spans="1:23" s="65" customFormat="1" ht="12.75" customHeight="1" x14ac:dyDescent="0.2">
      <c r="A148" s="35" t="s">
        <v>172</v>
      </c>
      <c r="B148" s="51"/>
      <c r="C148" s="35" t="s">
        <v>103</v>
      </c>
      <c r="D148" s="35"/>
      <c r="E148" s="48">
        <v>11301533</v>
      </c>
      <c r="F148" s="48"/>
      <c r="G148" s="48">
        <v>521800</v>
      </c>
      <c r="H148" s="48"/>
      <c r="I148" s="48">
        <v>0</v>
      </c>
      <c r="J148" s="48"/>
      <c r="K148" s="48">
        <v>0</v>
      </c>
      <c r="L148" s="48"/>
      <c r="M148" s="48">
        <v>185941</v>
      </c>
      <c r="N148" s="48"/>
      <c r="O148" s="48">
        <v>152839</v>
      </c>
      <c r="P148" s="48"/>
      <c r="Q148" s="48">
        <v>1530000</v>
      </c>
      <c r="R148" s="48"/>
      <c r="S148" s="48">
        <f t="shared" si="5"/>
        <v>13692113</v>
      </c>
      <c r="T148" s="44"/>
      <c r="U148" s="48">
        <v>1080696</v>
      </c>
      <c r="W148" s="44">
        <f>+S148-'Stmt net assets'!O148-U148</f>
        <v>0</v>
      </c>
    </row>
    <row r="149" spans="1:23" s="65" customFormat="1" ht="12.75" customHeight="1" x14ac:dyDescent="0.2">
      <c r="A149" s="35" t="s">
        <v>66</v>
      </c>
      <c r="B149" s="51"/>
      <c r="C149" s="35" t="s">
        <v>45</v>
      </c>
      <c r="D149" s="35"/>
      <c r="E149" s="48">
        <v>3166048</v>
      </c>
      <c r="F149" s="48"/>
      <c r="G149" s="48">
        <v>96048</v>
      </c>
      <c r="H149" s="48"/>
      <c r="I149" s="48">
        <v>0</v>
      </c>
      <c r="J149" s="48"/>
      <c r="K149" s="48">
        <v>0</v>
      </c>
      <c r="L149" s="48"/>
      <c r="M149" s="48">
        <v>0</v>
      </c>
      <c r="N149" s="48"/>
      <c r="O149" s="48">
        <v>804151</v>
      </c>
      <c r="P149" s="48"/>
      <c r="Q149" s="48">
        <v>0</v>
      </c>
      <c r="R149" s="48"/>
      <c r="S149" s="48">
        <f t="shared" si="5"/>
        <v>4066247</v>
      </c>
      <c r="T149" s="44"/>
      <c r="U149" s="48">
        <v>949499</v>
      </c>
      <c r="W149" s="44">
        <f>+S149-'Stmt net assets'!O149-U149</f>
        <v>0</v>
      </c>
    </row>
    <row r="150" spans="1:23" s="65" customFormat="1" ht="12.75" customHeight="1" x14ac:dyDescent="0.2">
      <c r="A150" s="35" t="s">
        <v>173</v>
      </c>
      <c r="B150" s="51"/>
      <c r="C150" s="35" t="s">
        <v>66</v>
      </c>
      <c r="D150" s="35"/>
      <c r="E150" s="48">
        <f>5775000+87173</f>
        <v>5862173</v>
      </c>
      <c r="F150" s="48"/>
      <c r="G150" s="48">
        <v>0</v>
      </c>
      <c r="H150" s="48"/>
      <c r="I150" s="48">
        <v>0</v>
      </c>
      <c r="J150" s="48"/>
      <c r="K150" s="48">
        <v>554805</v>
      </c>
      <c r="L150" s="48"/>
      <c r="M150" s="48">
        <v>285385</v>
      </c>
      <c r="N150" s="48"/>
      <c r="O150" s="48">
        <v>2858248</v>
      </c>
      <c r="P150" s="48"/>
      <c r="Q150" s="48">
        <v>0</v>
      </c>
      <c r="R150" s="48"/>
      <c r="S150" s="48">
        <f t="shared" ref="S150:S193" si="6">SUM(E150:Q150)</f>
        <v>9560611</v>
      </c>
      <c r="T150" s="44"/>
      <c r="U150" s="48">
        <v>837575</v>
      </c>
      <c r="W150" s="44">
        <f>+S150-'Stmt net assets'!O150-U150</f>
        <v>0</v>
      </c>
    </row>
    <row r="151" spans="1:23" s="65" customFormat="1" ht="12.75" customHeight="1" x14ac:dyDescent="0.2">
      <c r="A151" s="35" t="s">
        <v>174</v>
      </c>
      <c r="B151" s="51"/>
      <c r="C151" s="35" t="s">
        <v>45</v>
      </c>
      <c r="D151" s="35"/>
      <c r="E151" s="48">
        <v>1728144</v>
      </c>
      <c r="F151" s="48"/>
      <c r="G151" s="48">
        <v>0</v>
      </c>
      <c r="H151" s="48"/>
      <c r="I151" s="48">
        <v>0</v>
      </c>
      <c r="J151" s="48"/>
      <c r="K151" s="48">
        <v>100070</v>
      </c>
      <c r="L151" s="48"/>
      <c r="M151" s="48">
        <v>6399</v>
      </c>
      <c r="N151" s="48"/>
      <c r="O151" s="48">
        <v>111087</v>
      </c>
      <c r="P151" s="48"/>
      <c r="Q151" s="48">
        <v>44951</v>
      </c>
      <c r="R151" s="48"/>
      <c r="S151" s="48">
        <f t="shared" si="6"/>
        <v>1990651</v>
      </c>
      <c r="T151" s="44"/>
      <c r="U151" s="48">
        <v>109823</v>
      </c>
      <c r="W151" s="44">
        <f>+S151-'Stmt net assets'!O151-U151</f>
        <v>0</v>
      </c>
    </row>
    <row r="152" spans="1:23" s="65" customFormat="1" ht="12.75" customHeight="1" x14ac:dyDescent="0.2">
      <c r="A152" s="35" t="s">
        <v>175</v>
      </c>
      <c r="B152" s="51"/>
      <c r="C152" s="35" t="s">
        <v>176</v>
      </c>
      <c r="D152" s="35"/>
      <c r="E152" s="48">
        <v>6482568</v>
      </c>
      <c r="F152" s="48"/>
      <c r="G152" s="48">
        <v>0</v>
      </c>
      <c r="H152" s="48"/>
      <c r="I152" s="48">
        <v>0</v>
      </c>
      <c r="J152" s="48"/>
      <c r="K152" s="48">
        <v>391875</v>
      </c>
      <c r="L152" s="48"/>
      <c r="M152" s="48">
        <v>0</v>
      </c>
      <c r="N152" s="48"/>
      <c r="O152" s="48">
        <v>1072886</v>
      </c>
      <c r="P152" s="48"/>
      <c r="Q152" s="48">
        <v>411283</v>
      </c>
      <c r="R152" s="48"/>
      <c r="S152" s="48">
        <f t="shared" si="6"/>
        <v>8358612</v>
      </c>
      <c r="T152" s="44"/>
      <c r="U152" s="48">
        <v>773693</v>
      </c>
      <c r="W152" s="44">
        <f>+S152-'Stmt net assets'!O152-U152</f>
        <v>0</v>
      </c>
    </row>
    <row r="153" spans="1:23" s="65" customFormat="1" ht="12.75" customHeight="1" x14ac:dyDescent="0.2">
      <c r="A153" s="35" t="s">
        <v>177</v>
      </c>
      <c r="B153" s="51"/>
      <c r="C153" s="35" t="s">
        <v>13</v>
      </c>
      <c r="D153" s="35"/>
      <c r="E153" s="48">
        <f>130000+351303+44955+195000+4996+170000+10526</f>
        <v>906780</v>
      </c>
      <c r="F153" s="48"/>
      <c r="G153" s="48">
        <v>0</v>
      </c>
      <c r="H153" s="48"/>
      <c r="I153" s="48">
        <v>0</v>
      </c>
      <c r="J153" s="48"/>
      <c r="K153" s="48">
        <v>0</v>
      </c>
      <c r="L153" s="48"/>
      <c r="M153" s="48">
        <v>120695</v>
      </c>
      <c r="N153" s="48"/>
      <c r="O153" s="48">
        <v>127054</v>
      </c>
      <c r="P153" s="48"/>
      <c r="Q153" s="48">
        <v>0</v>
      </c>
      <c r="R153" s="48"/>
      <c r="S153" s="48">
        <f t="shared" si="6"/>
        <v>1154529</v>
      </c>
      <c r="T153" s="44"/>
      <c r="U153" s="48">
        <v>233805</v>
      </c>
      <c r="W153" s="44">
        <f>+S153-'Stmt net assets'!O153-U153</f>
        <v>0</v>
      </c>
    </row>
    <row r="154" spans="1:23" s="66" customFormat="1" ht="12.75" customHeight="1" x14ac:dyDescent="0.2">
      <c r="A154" s="35" t="s">
        <v>178</v>
      </c>
      <c r="B154" s="51"/>
      <c r="C154" s="35" t="s">
        <v>179</v>
      </c>
      <c r="D154" s="35"/>
      <c r="E154" s="48">
        <v>1250000</v>
      </c>
      <c r="F154" s="48"/>
      <c r="G154" s="48">
        <v>243553</v>
      </c>
      <c r="H154" s="48"/>
      <c r="I154" s="48">
        <v>0</v>
      </c>
      <c r="J154" s="48"/>
      <c r="K154" s="48">
        <v>74104</v>
      </c>
      <c r="L154" s="48"/>
      <c r="M154" s="48">
        <v>0</v>
      </c>
      <c r="N154" s="48"/>
      <c r="O154" s="48">
        <v>734533</v>
      </c>
      <c r="P154" s="48"/>
      <c r="Q154" s="48">
        <v>0</v>
      </c>
      <c r="R154" s="48"/>
      <c r="S154" s="48">
        <f t="shared" si="6"/>
        <v>2302190</v>
      </c>
      <c r="T154" s="44"/>
      <c r="U154" s="48">
        <v>450463</v>
      </c>
      <c r="V154" s="65"/>
      <c r="W154" s="44">
        <f>+S154-'Stmt net assets'!O154-U154</f>
        <v>0</v>
      </c>
    </row>
    <row r="155" spans="1:23" s="65" customFormat="1" ht="12.75" customHeight="1" x14ac:dyDescent="0.2">
      <c r="A155" s="35" t="s">
        <v>180</v>
      </c>
      <c r="B155" s="51"/>
      <c r="C155" s="35" t="s">
        <v>20</v>
      </c>
      <c r="D155" s="35"/>
      <c r="E155" s="48">
        <v>0</v>
      </c>
      <c r="F155" s="48"/>
      <c r="G155" s="48">
        <v>0</v>
      </c>
      <c r="H155" s="48"/>
      <c r="I155" s="48">
        <v>125000</v>
      </c>
      <c r="J155" s="48"/>
      <c r="K155" s="48">
        <f>22669+155615</f>
        <v>178284</v>
      </c>
      <c r="L155" s="48"/>
      <c r="M155" s="48">
        <v>172359</v>
      </c>
      <c r="N155" s="48"/>
      <c r="O155" s="48">
        <v>59028</v>
      </c>
      <c r="P155" s="48"/>
      <c r="Q155" s="48">
        <v>69371</v>
      </c>
      <c r="R155" s="48"/>
      <c r="S155" s="48">
        <f t="shared" si="6"/>
        <v>604042</v>
      </c>
      <c r="T155" s="44"/>
      <c r="U155" s="48">
        <v>111886</v>
      </c>
      <c r="W155" s="44">
        <f>+S155-'Stmt net assets'!O155-U155</f>
        <v>0</v>
      </c>
    </row>
    <row r="156" spans="1:23" s="65" customFormat="1" ht="12.75" customHeight="1" x14ac:dyDescent="0.2">
      <c r="A156" s="44" t="s">
        <v>508</v>
      </c>
      <c r="B156" s="47"/>
      <c r="C156" s="44" t="s">
        <v>43</v>
      </c>
      <c r="D156" s="35"/>
      <c r="E156" s="48">
        <f>29040000+97716-57450</f>
        <v>29080266</v>
      </c>
      <c r="F156" s="48"/>
      <c r="G156" s="48">
        <v>0</v>
      </c>
      <c r="H156" s="48"/>
      <c r="I156" s="48">
        <v>0</v>
      </c>
      <c r="J156" s="48"/>
      <c r="K156" s="48">
        <v>3218775</v>
      </c>
      <c r="L156" s="48"/>
      <c r="M156" s="48">
        <v>0</v>
      </c>
      <c r="N156" s="48"/>
      <c r="O156" s="48">
        <v>268161</v>
      </c>
      <c r="P156" s="48"/>
      <c r="Q156" s="48">
        <v>1087545</v>
      </c>
      <c r="R156" s="48"/>
      <c r="S156" s="48">
        <f t="shared" si="6"/>
        <v>33654747</v>
      </c>
      <c r="T156" s="44"/>
      <c r="U156" s="48">
        <v>2052019</v>
      </c>
      <c r="W156" s="44">
        <f>+S156-'Stmt net assets'!O156-U156</f>
        <v>0</v>
      </c>
    </row>
    <row r="157" spans="1:23" s="65" customFormat="1" ht="12.75" customHeight="1" x14ac:dyDescent="0.2">
      <c r="A157" s="35" t="s">
        <v>182</v>
      </c>
      <c r="C157" s="35" t="s">
        <v>183</v>
      </c>
      <c r="D157" s="35"/>
      <c r="E157" s="48">
        <f>8672+840000+37514+660000+495000</f>
        <v>2041186</v>
      </c>
      <c r="F157" s="48"/>
      <c r="G157" s="48">
        <v>0</v>
      </c>
      <c r="H157" s="48"/>
      <c r="I157" s="48">
        <f>22593+284778</f>
        <v>307371</v>
      </c>
      <c r="J157" s="48"/>
      <c r="K157" s="48">
        <v>0</v>
      </c>
      <c r="L157" s="48"/>
      <c r="M157" s="48">
        <v>0</v>
      </c>
      <c r="N157" s="48"/>
      <c r="O157" s="48">
        <v>44428</v>
      </c>
      <c r="P157" s="48"/>
      <c r="Q157" s="48">
        <v>0</v>
      </c>
      <c r="R157" s="48"/>
      <c r="S157" s="48">
        <f t="shared" si="6"/>
        <v>2392985</v>
      </c>
      <c r="T157" s="44"/>
      <c r="U157" s="48">
        <v>146114</v>
      </c>
      <c r="W157" s="44">
        <f>+S157-'Stmt net assets'!O157-U157</f>
        <v>0</v>
      </c>
    </row>
    <row r="158" spans="1:23" s="65" customFormat="1" ht="12.75" customHeight="1" x14ac:dyDescent="0.2">
      <c r="A158" s="35" t="s">
        <v>487</v>
      </c>
      <c r="B158" s="51"/>
      <c r="C158" s="35" t="s">
        <v>13</v>
      </c>
      <c r="D158" s="35"/>
      <c r="E158" s="48">
        <v>0</v>
      </c>
      <c r="F158" s="48"/>
      <c r="G158" s="48">
        <v>0</v>
      </c>
      <c r="H158" s="48"/>
      <c r="I158" s="48">
        <v>0</v>
      </c>
      <c r="J158" s="48"/>
      <c r="K158" s="48">
        <v>0</v>
      </c>
      <c r="L158" s="48"/>
      <c r="M158" s="48">
        <v>58223</v>
      </c>
      <c r="N158" s="48"/>
      <c r="O158" s="48">
        <v>662027</v>
      </c>
      <c r="P158" s="48"/>
      <c r="Q158" s="48">
        <v>0</v>
      </c>
      <c r="R158" s="48"/>
      <c r="S158" s="48">
        <f t="shared" si="6"/>
        <v>720250</v>
      </c>
      <c r="T158" s="44"/>
      <c r="U158" s="48">
        <v>96629</v>
      </c>
      <c r="W158" s="44">
        <f>+S158-'Stmt net assets'!O158-U158</f>
        <v>0</v>
      </c>
    </row>
    <row r="159" spans="1:23" s="65" customFormat="1" ht="12.75" customHeight="1" x14ac:dyDescent="0.2">
      <c r="A159" s="35" t="s">
        <v>184</v>
      </c>
      <c r="B159" s="51"/>
      <c r="C159" s="35" t="s">
        <v>89</v>
      </c>
      <c r="D159" s="35"/>
      <c r="E159" s="48">
        <v>1625000</v>
      </c>
      <c r="F159" s="48"/>
      <c r="G159" s="48">
        <v>0</v>
      </c>
      <c r="H159" s="48"/>
      <c r="I159" s="48">
        <v>0</v>
      </c>
      <c r="J159" s="48"/>
      <c r="K159" s="48">
        <v>0</v>
      </c>
      <c r="L159" s="48"/>
      <c r="M159" s="48">
        <v>39159</v>
      </c>
      <c r="N159" s="48"/>
      <c r="O159" s="48">
        <v>1086730</v>
      </c>
      <c r="P159" s="48"/>
      <c r="Q159" s="48">
        <v>0</v>
      </c>
      <c r="R159" s="48"/>
      <c r="S159" s="48">
        <f t="shared" si="6"/>
        <v>2750889</v>
      </c>
      <c r="T159" s="44"/>
      <c r="U159" s="48">
        <v>566875</v>
      </c>
      <c r="W159" s="44">
        <f>+S159-'Stmt net assets'!O159-U159</f>
        <v>0</v>
      </c>
    </row>
    <row r="160" spans="1:23" s="65" customFormat="1" ht="12.75" customHeight="1" x14ac:dyDescent="0.2">
      <c r="A160" s="35" t="s">
        <v>181</v>
      </c>
      <c r="B160" s="51"/>
      <c r="C160" s="35" t="s">
        <v>125</v>
      </c>
      <c r="D160" s="35"/>
      <c r="E160" s="48">
        <v>16157918</v>
      </c>
      <c r="F160" s="48"/>
      <c r="G160" s="48">
        <v>0</v>
      </c>
      <c r="H160" s="48"/>
      <c r="I160" s="48">
        <v>0</v>
      </c>
      <c r="J160" s="48"/>
      <c r="K160" s="48">
        <v>1299147</v>
      </c>
      <c r="L160" s="48"/>
      <c r="M160" s="48">
        <v>2001395</v>
      </c>
      <c r="N160" s="48"/>
      <c r="O160" s="48">
        <v>2795783</v>
      </c>
      <c r="P160" s="48"/>
      <c r="Q160" s="48">
        <f>1844336+526089</f>
        <v>2370425</v>
      </c>
      <c r="R160" s="48"/>
      <c r="S160" s="48">
        <f t="shared" si="6"/>
        <v>24624668</v>
      </c>
      <c r="T160" s="44"/>
      <c r="U160" s="48">
        <v>3185076</v>
      </c>
      <c r="W160" s="44">
        <f>+S160-'Stmt net assets'!O160-U160</f>
        <v>0</v>
      </c>
    </row>
    <row r="161" spans="1:23" s="65" customFormat="1" ht="12.75" customHeight="1" x14ac:dyDescent="0.2">
      <c r="A161" s="35" t="s">
        <v>185</v>
      </c>
      <c r="B161" s="51"/>
      <c r="C161" s="35" t="s">
        <v>80</v>
      </c>
      <c r="D161" s="35"/>
      <c r="E161" s="48">
        <f>3245000+26269</f>
        <v>3271269</v>
      </c>
      <c r="F161" s="48"/>
      <c r="G161" s="48">
        <v>0</v>
      </c>
      <c r="H161" s="48"/>
      <c r="I161" s="48">
        <v>0</v>
      </c>
      <c r="J161" s="48"/>
      <c r="K161" s="48">
        <v>0</v>
      </c>
      <c r="L161" s="48"/>
      <c r="M161" s="48">
        <v>0</v>
      </c>
      <c r="N161" s="48"/>
      <c r="O161" s="48">
        <v>1132192</v>
      </c>
      <c r="P161" s="48"/>
      <c r="Q161" s="48">
        <f>384123+3215</f>
        <v>387338</v>
      </c>
      <c r="R161" s="48"/>
      <c r="S161" s="48">
        <f t="shared" si="6"/>
        <v>4790799</v>
      </c>
      <c r="T161" s="44"/>
      <c r="U161" s="48">
        <v>234675</v>
      </c>
      <c r="W161" s="44">
        <f>+S161-'Stmt net assets'!O161-U161</f>
        <v>0</v>
      </c>
    </row>
    <row r="162" spans="1:23" s="65" customFormat="1" ht="12.75" customHeight="1" x14ac:dyDescent="0.2">
      <c r="A162" s="35" t="s">
        <v>186</v>
      </c>
      <c r="B162" s="51"/>
      <c r="C162" s="35" t="s">
        <v>15</v>
      </c>
      <c r="D162" s="35"/>
      <c r="E162" s="48">
        <f>2335000+75960</f>
        <v>2410960</v>
      </c>
      <c r="F162" s="48"/>
      <c r="G162" s="48">
        <v>0</v>
      </c>
      <c r="H162" s="48"/>
      <c r="I162" s="48">
        <v>0</v>
      </c>
      <c r="J162" s="48"/>
      <c r="K162" s="48">
        <v>0</v>
      </c>
      <c r="L162" s="48"/>
      <c r="M162" s="48">
        <v>134662</v>
      </c>
      <c r="N162" s="48"/>
      <c r="O162" s="48">
        <v>1440190</v>
      </c>
      <c r="P162" s="48"/>
      <c r="Q162" s="48">
        <v>63714</v>
      </c>
      <c r="R162" s="48"/>
      <c r="S162" s="48">
        <f t="shared" si="6"/>
        <v>4049526</v>
      </c>
      <c r="T162" s="44"/>
      <c r="U162" s="48">
        <v>332249</v>
      </c>
      <c r="W162" s="44">
        <f>+S162-'Stmt net assets'!O162-U162</f>
        <v>0</v>
      </c>
    </row>
    <row r="163" spans="1:23" s="65" customFormat="1" ht="12.75" customHeight="1" x14ac:dyDescent="0.2">
      <c r="A163" s="35" t="s">
        <v>187</v>
      </c>
      <c r="C163" s="35" t="s">
        <v>27</v>
      </c>
      <c r="D163" s="35"/>
      <c r="E163" s="48">
        <v>26786843</v>
      </c>
      <c r="F163" s="48"/>
      <c r="G163" s="48">
        <v>0</v>
      </c>
      <c r="H163" s="48"/>
      <c r="I163" s="48">
        <v>880000</v>
      </c>
      <c r="J163" s="48"/>
      <c r="K163" s="48">
        <v>27224</v>
      </c>
      <c r="L163" s="48"/>
      <c r="M163" s="48">
        <v>40052</v>
      </c>
      <c r="N163" s="48"/>
      <c r="O163" s="48">
        <v>4479203</v>
      </c>
      <c r="P163" s="48"/>
      <c r="Q163" s="48">
        <f>90851+359377</f>
        <v>450228</v>
      </c>
      <c r="R163" s="48"/>
      <c r="S163" s="48">
        <f t="shared" si="6"/>
        <v>32663550</v>
      </c>
      <c r="T163" s="44"/>
      <c r="U163" s="48">
        <v>5939397</v>
      </c>
      <c r="W163" s="44">
        <f>+S163-'Stmt net assets'!O163-U163</f>
        <v>0</v>
      </c>
    </row>
    <row r="164" spans="1:23" s="65" customFormat="1" ht="12.75" customHeight="1" x14ac:dyDescent="0.2">
      <c r="A164" s="35" t="s">
        <v>189</v>
      </c>
      <c r="B164" s="51"/>
      <c r="C164" s="35" t="s">
        <v>17</v>
      </c>
      <c r="D164" s="35"/>
      <c r="E164" s="48">
        <v>4250000</v>
      </c>
      <c r="F164" s="48"/>
      <c r="G164" s="48">
        <v>115000</v>
      </c>
      <c r="H164" s="48"/>
      <c r="I164" s="48">
        <v>2396000</v>
      </c>
      <c r="J164" s="48"/>
      <c r="K164" s="48">
        <f>919596+445140</f>
        <v>1364736</v>
      </c>
      <c r="L164" s="48"/>
      <c r="M164" s="48">
        <v>81187</v>
      </c>
      <c r="N164" s="48"/>
      <c r="O164" s="48">
        <v>3493697</v>
      </c>
      <c r="P164" s="48"/>
      <c r="Q164" s="48">
        <v>0</v>
      </c>
      <c r="R164" s="48"/>
      <c r="S164" s="48">
        <f t="shared" si="6"/>
        <v>11700620</v>
      </c>
      <c r="T164" s="44"/>
      <c r="U164" s="48">
        <v>3075654</v>
      </c>
      <c r="W164" s="44">
        <f>+S164-'Stmt net assets'!O164-U164</f>
        <v>0</v>
      </c>
    </row>
    <row r="165" spans="1:23" s="65" customFormat="1" ht="12.75" customHeight="1" x14ac:dyDescent="0.2">
      <c r="A165" s="35" t="s">
        <v>188</v>
      </c>
      <c r="B165" s="51"/>
      <c r="C165" s="35" t="s">
        <v>27</v>
      </c>
      <c r="D165" s="35"/>
      <c r="E165" s="48">
        <v>8738471</v>
      </c>
      <c r="F165" s="48"/>
      <c r="G165" s="48">
        <v>1363530</v>
      </c>
      <c r="H165" s="48"/>
      <c r="I165" s="48">
        <v>15025000</v>
      </c>
      <c r="J165" s="48"/>
      <c r="K165" s="48">
        <v>365484</v>
      </c>
      <c r="L165" s="48"/>
      <c r="M165" s="48">
        <v>78349</v>
      </c>
      <c r="N165" s="48"/>
      <c r="O165" s="48">
        <v>2820264</v>
      </c>
      <c r="P165" s="48"/>
      <c r="Q165" s="48">
        <v>117374</v>
      </c>
      <c r="R165" s="48"/>
      <c r="S165" s="48">
        <f t="shared" si="6"/>
        <v>28508472</v>
      </c>
      <c r="T165" s="44"/>
      <c r="U165" s="48">
        <v>1945428</v>
      </c>
      <c r="W165" s="44">
        <f>+S165-'Stmt net assets'!O165-U165</f>
        <v>0</v>
      </c>
    </row>
    <row r="166" spans="1:23" s="66" customFormat="1" ht="12.75" customHeight="1" x14ac:dyDescent="0.2">
      <c r="A166" s="35" t="s">
        <v>190</v>
      </c>
      <c r="B166" s="51"/>
      <c r="C166" s="35" t="s">
        <v>47</v>
      </c>
      <c r="D166" s="35"/>
      <c r="E166" s="48">
        <v>2475000</v>
      </c>
      <c r="F166" s="48"/>
      <c r="G166" s="48">
        <v>0</v>
      </c>
      <c r="H166" s="48"/>
      <c r="I166" s="48">
        <v>0</v>
      </c>
      <c r="J166" s="48"/>
      <c r="K166" s="48">
        <v>70415</v>
      </c>
      <c r="L166" s="48"/>
      <c r="M166" s="48">
        <v>0</v>
      </c>
      <c r="N166" s="48"/>
      <c r="O166" s="48">
        <v>422965</v>
      </c>
      <c r="P166" s="48"/>
      <c r="Q166" s="48">
        <v>0</v>
      </c>
      <c r="R166" s="48"/>
      <c r="S166" s="48">
        <f t="shared" si="6"/>
        <v>2968380</v>
      </c>
      <c r="T166" s="44"/>
      <c r="U166" s="48">
        <v>259049</v>
      </c>
      <c r="V166" s="65"/>
      <c r="W166" s="44">
        <f>+S166-'Stmt net assets'!O166-U166</f>
        <v>0</v>
      </c>
    </row>
    <row r="167" spans="1:23" s="65" customFormat="1" ht="12.75" customHeight="1" x14ac:dyDescent="0.2">
      <c r="A167" s="35" t="s">
        <v>191</v>
      </c>
      <c r="B167" s="51"/>
      <c r="C167" s="35" t="s">
        <v>13</v>
      </c>
      <c r="D167" s="35"/>
      <c r="E167" s="48">
        <v>6000794</v>
      </c>
      <c r="F167" s="48"/>
      <c r="G167" s="48">
        <v>627097</v>
      </c>
      <c r="H167" s="48"/>
      <c r="I167" s="48">
        <v>1445000</v>
      </c>
      <c r="J167" s="48"/>
      <c r="K167" s="48">
        <v>0</v>
      </c>
      <c r="L167" s="48"/>
      <c r="M167" s="48">
        <v>0</v>
      </c>
      <c r="N167" s="48"/>
      <c r="O167" s="48">
        <v>750659</v>
      </c>
      <c r="P167" s="48"/>
      <c r="Q167" s="48">
        <v>0</v>
      </c>
      <c r="R167" s="48"/>
      <c r="S167" s="48">
        <f t="shared" si="6"/>
        <v>8823550</v>
      </c>
      <c r="T167" s="44"/>
      <c r="U167" s="48">
        <v>589681</v>
      </c>
      <c r="W167" s="44">
        <f>+S167-'Stmt net assets'!O167-U167</f>
        <v>0</v>
      </c>
    </row>
    <row r="168" spans="1:23" s="65" customFormat="1" ht="12.75" customHeight="1" x14ac:dyDescent="0.2">
      <c r="A168" s="35" t="s">
        <v>192</v>
      </c>
      <c r="C168" s="35" t="s">
        <v>38</v>
      </c>
      <c r="D168" s="35"/>
      <c r="E168" s="48">
        <v>346932</v>
      </c>
      <c r="F168" s="48"/>
      <c r="G168" s="48">
        <v>0</v>
      </c>
      <c r="H168" s="48"/>
      <c r="I168" s="48">
        <v>0</v>
      </c>
      <c r="J168" s="48"/>
      <c r="K168" s="48">
        <f>280380+713322</f>
        <v>993702</v>
      </c>
      <c r="L168" s="48"/>
      <c r="M168" s="48">
        <v>23734</v>
      </c>
      <c r="N168" s="48"/>
      <c r="O168" s="48">
        <v>1008353</v>
      </c>
      <c r="P168" s="48"/>
      <c r="Q168" s="48">
        <v>411560</v>
      </c>
      <c r="R168" s="48"/>
      <c r="S168" s="48">
        <f t="shared" si="6"/>
        <v>2784281</v>
      </c>
      <c r="T168" s="44"/>
      <c r="U168" s="48">
        <v>546076</v>
      </c>
      <c r="W168" s="44">
        <f>+S168-'Stmt net assets'!O168-U168</f>
        <v>0</v>
      </c>
    </row>
    <row r="169" spans="1:23" s="65" customFormat="1" ht="12.75" customHeight="1" x14ac:dyDescent="0.2">
      <c r="A169" s="35" t="s">
        <v>193</v>
      </c>
      <c r="B169" s="51"/>
      <c r="C169" s="35" t="s">
        <v>45</v>
      </c>
      <c r="D169" s="35"/>
      <c r="E169" s="48">
        <v>3870962</v>
      </c>
      <c r="F169" s="48"/>
      <c r="G169" s="48">
        <v>1211474</v>
      </c>
      <c r="H169" s="48"/>
      <c r="I169" s="48">
        <v>0</v>
      </c>
      <c r="J169" s="48"/>
      <c r="K169" s="48">
        <f>154433+405118</f>
        <v>559551</v>
      </c>
      <c r="L169" s="48"/>
      <c r="M169" s="48">
        <v>363459</v>
      </c>
      <c r="N169" s="48"/>
      <c r="O169" s="48">
        <v>3571300</v>
      </c>
      <c r="P169" s="48"/>
      <c r="Q169" s="48">
        <f>3565000+11715000-147090</f>
        <v>15132910</v>
      </c>
      <c r="R169" s="48"/>
      <c r="S169" s="48">
        <f t="shared" si="6"/>
        <v>24709656</v>
      </c>
      <c r="T169" s="44"/>
      <c r="U169" s="48">
        <v>2339314</v>
      </c>
      <c r="W169" s="44">
        <f>+S169-'Stmt net assets'!O169-U169</f>
        <v>0</v>
      </c>
    </row>
    <row r="170" spans="1:23" s="65" customFormat="1" ht="12.75" customHeight="1" x14ac:dyDescent="0.2">
      <c r="A170" s="35" t="s">
        <v>194</v>
      </c>
      <c r="B170" s="51"/>
      <c r="C170" s="35" t="s">
        <v>66</v>
      </c>
      <c r="D170" s="35"/>
      <c r="E170" s="48">
        <v>0</v>
      </c>
      <c r="F170" s="48"/>
      <c r="G170" s="48">
        <v>0</v>
      </c>
      <c r="H170" s="48"/>
      <c r="I170" s="48">
        <v>0</v>
      </c>
      <c r="J170" s="48"/>
      <c r="K170" s="48">
        <v>0</v>
      </c>
      <c r="L170" s="48"/>
      <c r="M170" s="48">
        <v>0</v>
      </c>
      <c r="N170" s="48"/>
      <c r="O170" s="48">
        <v>1298042</v>
      </c>
      <c r="P170" s="48"/>
      <c r="Q170" s="48">
        <v>530301</v>
      </c>
      <c r="R170" s="48"/>
      <c r="S170" s="48">
        <f t="shared" si="6"/>
        <v>1828343</v>
      </c>
      <c r="T170" s="44"/>
      <c r="U170" s="48">
        <v>210661</v>
      </c>
      <c r="W170" s="44">
        <f>+S170-'Stmt net assets'!O170-U170</f>
        <v>0</v>
      </c>
    </row>
    <row r="171" spans="1:23" s="65" customFormat="1" ht="12.75" customHeight="1" x14ac:dyDescent="0.2">
      <c r="A171" s="64" t="s">
        <v>195</v>
      </c>
      <c r="B171" s="66"/>
      <c r="C171" s="64" t="s">
        <v>17</v>
      </c>
      <c r="D171" s="64"/>
      <c r="E171" s="48">
        <v>8956763</v>
      </c>
      <c r="F171" s="48"/>
      <c r="G171" s="48">
        <v>0</v>
      </c>
      <c r="H171" s="48"/>
      <c r="I171" s="48">
        <v>0</v>
      </c>
      <c r="J171" s="48"/>
      <c r="K171" s="48">
        <v>310086</v>
      </c>
      <c r="L171" s="48"/>
      <c r="M171" s="48">
        <v>0</v>
      </c>
      <c r="N171" s="48"/>
      <c r="O171" s="48">
        <v>862146</v>
      </c>
      <c r="P171" s="48"/>
      <c r="Q171" s="48">
        <v>0</v>
      </c>
      <c r="R171" s="48"/>
      <c r="S171" s="48">
        <f t="shared" si="6"/>
        <v>10128995</v>
      </c>
      <c r="T171" s="44"/>
      <c r="U171" s="48">
        <v>807152</v>
      </c>
      <c r="W171" s="44">
        <f>+S171-'Stmt net assets'!O171-U171</f>
        <v>0</v>
      </c>
    </row>
    <row r="172" spans="1:23" s="65" customFormat="1" ht="12.75" customHeight="1" x14ac:dyDescent="0.2">
      <c r="A172" s="35" t="s">
        <v>196</v>
      </c>
      <c r="B172" s="51"/>
      <c r="C172" s="35" t="s">
        <v>27</v>
      </c>
      <c r="D172" s="35"/>
      <c r="E172" s="48">
        <v>0</v>
      </c>
      <c r="F172" s="48"/>
      <c r="G172" s="48">
        <v>0</v>
      </c>
      <c r="H172" s="48"/>
      <c r="I172" s="48">
        <f>631000+1050000+240000+280000+1079</f>
        <v>2202079</v>
      </c>
      <c r="J172" s="48"/>
      <c r="K172" s="48">
        <f>396075+2793608+368666</f>
        <v>3558349</v>
      </c>
      <c r="L172" s="48"/>
      <c r="M172" s="48">
        <v>472539</v>
      </c>
      <c r="N172" s="48"/>
      <c r="O172" s="48">
        <v>387111</v>
      </c>
      <c r="P172" s="48"/>
      <c r="Q172" s="48">
        <v>0</v>
      </c>
      <c r="R172" s="48"/>
      <c r="S172" s="48">
        <f t="shared" si="6"/>
        <v>6620078</v>
      </c>
      <c r="T172" s="44"/>
      <c r="U172" s="48">
        <v>466366</v>
      </c>
      <c r="W172" s="44">
        <f>+S172-'Stmt net assets'!O172-U172</f>
        <v>0</v>
      </c>
    </row>
    <row r="173" spans="1:23" s="65" customFormat="1" ht="12.75" customHeight="1" x14ac:dyDescent="0.2">
      <c r="A173" s="35" t="s">
        <v>386</v>
      </c>
      <c r="B173" s="51"/>
      <c r="C173" s="35" t="s">
        <v>153</v>
      </c>
      <c r="D173" s="35"/>
      <c r="E173" s="48">
        <f>1805000-14144</f>
        <v>1790856</v>
      </c>
      <c r="F173" s="48"/>
      <c r="G173" s="48">
        <v>0</v>
      </c>
      <c r="H173" s="48"/>
      <c r="I173" s="48">
        <v>0</v>
      </c>
      <c r="J173" s="48"/>
      <c r="K173" s="48">
        <v>0</v>
      </c>
      <c r="L173" s="48"/>
      <c r="M173" s="48">
        <f>29578+5817</f>
        <v>35395</v>
      </c>
      <c r="N173" s="48"/>
      <c r="O173" s="48">
        <v>301919</v>
      </c>
      <c r="P173" s="48"/>
      <c r="Q173" s="48">
        <v>0</v>
      </c>
      <c r="R173" s="48"/>
      <c r="S173" s="48">
        <f t="shared" si="6"/>
        <v>2128170</v>
      </c>
      <c r="T173" s="44"/>
      <c r="U173" s="48">
        <v>154618</v>
      </c>
      <c r="W173" s="44">
        <f>+S173-'Stmt net assets'!O173-U173</f>
        <v>0</v>
      </c>
    </row>
    <row r="174" spans="1:23" s="65" customFormat="1" ht="12.75" customHeight="1" x14ac:dyDescent="0.2">
      <c r="A174" s="35" t="s">
        <v>197</v>
      </c>
      <c r="B174" s="51"/>
      <c r="C174" s="35" t="s">
        <v>163</v>
      </c>
      <c r="D174" s="35"/>
      <c r="E174" s="48">
        <v>482743</v>
      </c>
      <c r="F174" s="48"/>
      <c r="G174" s="48">
        <v>139000</v>
      </c>
      <c r="H174" s="48"/>
      <c r="I174" s="48">
        <f>87872+7005000</f>
        <v>7092872</v>
      </c>
      <c r="J174" s="48"/>
      <c r="K174" s="48">
        <f>2510326+11075246</f>
        <v>13585572</v>
      </c>
      <c r="L174" s="48"/>
      <c r="M174" s="48">
        <v>0</v>
      </c>
      <c r="N174" s="48"/>
      <c r="O174" s="48">
        <v>2486515</v>
      </c>
      <c r="P174" s="48"/>
      <c r="Q174" s="48">
        <f>120736+49021</f>
        <v>169757</v>
      </c>
      <c r="R174" s="48"/>
      <c r="S174" s="48">
        <f t="shared" si="6"/>
        <v>23956459</v>
      </c>
      <c r="T174" s="44"/>
      <c r="U174" s="48">
        <v>8896922</v>
      </c>
      <c r="W174" s="44">
        <f>+S174-'Stmt net assets'!O174-U174</f>
        <v>0</v>
      </c>
    </row>
    <row r="175" spans="1:23" s="65" customFormat="1" ht="12.75" customHeight="1" x14ac:dyDescent="0.2">
      <c r="A175" s="35" t="s">
        <v>198</v>
      </c>
      <c r="B175" s="51"/>
      <c r="C175" s="35" t="s">
        <v>199</v>
      </c>
      <c r="D175" s="35"/>
      <c r="E175" s="48">
        <v>0</v>
      </c>
      <c r="F175" s="48"/>
      <c r="G175" s="48">
        <v>35040</v>
      </c>
      <c r="H175" s="48"/>
      <c r="I175" s="48">
        <v>0</v>
      </c>
      <c r="J175" s="48"/>
      <c r="K175" s="48">
        <v>0</v>
      </c>
      <c r="L175" s="48"/>
      <c r="M175" s="48">
        <v>0</v>
      </c>
      <c r="N175" s="48"/>
      <c r="O175" s="48">
        <v>161465</v>
      </c>
      <c r="P175" s="48"/>
      <c r="Q175" s="48">
        <v>0</v>
      </c>
      <c r="R175" s="48"/>
      <c r="S175" s="48">
        <f t="shared" si="6"/>
        <v>196505</v>
      </c>
      <c r="T175" s="44"/>
      <c r="U175" s="48">
        <v>58492</v>
      </c>
      <c r="W175" s="44">
        <f>+S175-'Stmt net assets'!O175-U175</f>
        <v>0</v>
      </c>
    </row>
    <row r="176" spans="1:23" s="65" customFormat="1" ht="12.75" customHeight="1" x14ac:dyDescent="0.2">
      <c r="A176" s="35" t="s">
        <v>200</v>
      </c>
      <c r="B176" s="51"/>
      <c r="C176" s="35" t="s">
        <v>103</v>
      </c>
      <c r="D176" s="35"/>
      <c r="E176" s="48">
        <f>2130000-36825+16883</f>
        <v>2110058</v>
      </c>
      <c r="F176" s="48"/>
      <c r="G176" s="48">
        <v>0</v>
      </c>
      <c r="H176" s="48"/>
      <c r="I176" s="48">
        <v>0</v>
      </c>
      <c r="J176" s="48"/>
      <c r="K176" s="48">
        <v>0</v>
      </c>
      <c r="L176" s="48"/>
      <c r="M176" s="48">
        <v>0</v>
      </c>
      <c r="N176" s="48"/>
      <c r="O176" s="48">
        <v>599890</v>
      </c>
      <c r="P176" s="48"/>
      <c r="Q176" s="48">
        <v>0</v>
      </c>
      <c r="R176" s="48"/>
      <c r="S176" s="48">
        <f t="shared" si="6"/>
        <v>2709948</v>
      </c>
      <c r="T176" s="44"/>
      <c r="U176" s="48">
        <v>498099</v>
      </c>
      <c r="W176" s="44">
        <f>+S176-'Stmt net assets'!O176-U176</f>
        <v>0</v>
      </c>
    </row>
    <row r="177" spans="1:25" s="65" customFormat="1" ht="12.75" customHeight="1" x14ac:dyDescent="0.2">
      <c r="A177" s="35"/>
      <c r="B177" s="51"/>
      <c r="C177" s="35"/>
      <c r="D177" s="35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4"/>
      <c r="U177" s="48" t="s">
        <v>484</v>
      </c>
      <c r="W177" s="44"/>
    </row>
    <row r="178" spans="1:25" s="65" customFormat="1" ht="12.75" customHeight="1" x14ac:dyDescent="0.2">
      <c r="A178" s="35" t="s">
        <v>201</v>
      </c>
      <c r="B178" s="51"/>
      <c r="C178" s="35" t="s">
        <v>92</v>
      </c>
      <c r="D178" s="35"/>
      <c r="E178" s="68">
        <v>1565000</v>
      </c>
      <c r="F178" s="68"/>
      <c r="G178" s="68">
        <v>325000</v>
      </c>
      <c r="H178" s="68"/>
      <c r="I178" s="68">
        <v>1440751</v>
      </c>
      <c r="J178" s="68"/>
      <c r="K178" s="68">
        <f>78241+324854</f>
        <v>403095</v>
      </c>
      <c r="L178" s="68"/>
      <c r="M178" s="68">
        <v>280728</v>
      </c>
      <c r="N178" s="68"/>
      <c r="O178" s="68">
        <v>1686963</v>
      </c>
      <c r="P178" s="68"/>
      <c r="Q178" s="68">
        <f>721833+596320</f>
        <v>1318153</v>
      </c>
      <c r="R178" s="68"/>
      <c r="S178" s="68">
        <f t="shared" si="6"/>
        <v>7019690</v>
      </c>
      <c r="T178" s="46"/>
      <c r="U178" s="68">
        <v>1101645</v>
      </c>
      <c r="W178" s="44">
        <f>+S178-'Stmt net assets'!O178-U178</f>
        <v>0</v>
      </c>
    </row>
    <row r="179" spans="1:25" s="65" customFormat="1" ht="12.75" customHeight="1" x14ac:dyDescent="0.2">
      <c r="A179" s="35" t="s">
        <v>202</v>
      </c>
      <c r="B179" s="51"/>
      <c r="C179" s="35" t="s">
        <v>27</v>
      </c>
      <c r="D179" s="35"/>
      <c r="E179" s="48">
        <v>18925000</v>
      </c>
      <c r="F179" s="48"/>
      <c r="G179" s="48">
        <v>945100</v>
      </c>
      <c r="H179" s="48"/>
      <c r="I179" s="48">
        <v>0</v>
      </c>
      <c r="J179" s="48"/>
      <c r="K179" s="48">
        <f>1094093+2264666</f>
        <v>3358759</v>
      </c>
      <c r="L179" s="48"/>
      <c r="M179" s="48">
        <v>2533494</v>
      </c>
      <c r="N179" s="48"/>
      <c r="O179" s="48">
        <v>3132498</v>
      </c>
      <c r="P179" s="48"/>
      <c r="Q179" s="48">
        <v>0</v>
      </c>
      <c r="R179" s="48"/>
      <c r="S179" s="48">
        <f t="shared" si="6"/>
        <v>28894851</v>
      </c>
      <c r="T179" s="44"/>
      <c r="U179" s="48">
        <v>2955928</v>
      </c>
      <c r="W179" s="44">
        <f>+S179-'Stmt net assets'!O179-U179</f>
        <v>0</v>
      </c>
    </row>
    <row r="180" spans="1:25" s="65" customFormat="1" ht="12.75" customHeight="1" x14ac:dyDescent="0.2">
      <c r="A180" s="35" t="s">
        <v>203</v>
      </c>
      <c r="B180" s="51"/>
      <c r="C180" s="35" t="s">
        <v>27</v>
      </c>
      <c r="D180" s="35"/>
      <c r="E180" s="48">
        <v>4090000</v>
      </c>
      <c r="F180" s="48"/>
      <c r="G180" s="48">
        <v>209586</v>
      </c>
      <c r="H180" s="48"/>
      <c r="I180" s="48">
        <v>1050000</v>
      </c>
      <c r="J180" s="48"/>
      <c r="K180" s="48">
        <f>564191+45393</f>
        <v>609584</v>
      </c>
      <c r="L180" s="48"/>
      <c r="M180" s="48">
        <v>528172</v>
      </c>
      <c r="N180" s="48"/>
      <c r="O180" s="48">
        <v>1035169</v>
      </c>
      <c r="P180" s="48"/>
      <c r="Q180" s="48">
        <v>0</v>
      </c>
      <c r="R180" s="48"/>
      <c r="S180" s="48">
        <f t="shared" si="6"/>
        <v>7522511</v>
      </c>
      <c r="T180" s="44"/>
      <c r="U180" s="48">
        <v>1716382</v>
      </c>
      <c r="W180" s="44">
        <f>+S180-'Stmt net assets'!O180-U180</f>
        <v>0</v>
      </c>
    </row>
    <row r="181" spans="1:25" s="65" customFormat="1" ht="12.75" customHeight="1" x14ac:dyDescent="0.2">
      <c r="A181" s="35" t="s">
        <v>204</v>
      </c>
      <c r="B181" s="51"/>
      <c r="C181" s="35" t="s">
        <v>125</v>
      </c>
      <c r="D181" s="35"/>
      <c r="E181" s="48">
        <v>0</v>
      </c>
      <c r="F181" s="48"/>
      <c r="G181" s="48">
        <v>0</v>
      </c>
      <c r="H181" s="48"/>
      <c r="I181" s="48">
        <v>790035</v>
      </c>
      <c r="J181" s="48"/>
      <c r="K181" s="48">
        <f>245771+65989</f>
        <v>311760</v>
      </c>
      <c r="L181" s="48"/>
      <c r="M181" s="48">
        <v>0</v>
      </c>
      <c r="N181" s="48"/>
      <c r="O181" s="48">
        <v>80492</v>
      </c>
      <c r="P181" s="48"/>
      <c r="Q181" s="48">
        <v>0</v>
      </c>
      <c r="R181" s="48"/>
      <c r="S181" s="48">
        <f t="shared" si="6"/>
        <v>1182287</v>
      </c>
      <c r="T181" s="44"/>
      <c r="U181" s="48">
        <v>152722</v>
      </c>
      <c r="W181" s="44">
        <f>+S181-'Stmt net assets'!O181-U181</f>
        <v>0</v>
      </c>
    </row>
    <row r="182" spans="1:25" s="65" customFormat="1" ht="11.25" customHeight="1" x14ac:dyDescent="0.2">
      <c r="A182" s="35" t="s">
        <v>205</v>
      </c>
      <c r="B182" s="51"/>
      <c r="C182" s="35" t="s">
        <v>27</v>
      </c>
      <c r="D182" s="35"/>
      <c r="E182" s="48">
        <v>7928154</v>
      </c>
      <c r="F182" s="48"/>
      <c r="G182" s="48">
        <v>0</v>
      </c>
      <c r="H182" s="48"/>
      <c r="I182" s="48">
        <v>0</v>
      </c>
      <c r="J182" s="48"/>
      <c r="K182" s="48">
        <v>784119</v>
      </c>
      <c r="L182" s="48"/>
      <c r="M182" s="48">
        <v>0</v>
      </c>
      <c r="N182" s="48"/>
      <c r="O182" s="48">
        <v>239512</v>
      </c>
      <c r="P182" s="48"/>
      <c r="Q182" s="48">
        <v>0</v>
      </c>
      <c r="R182" s="48"/>
      <c r="S182" s="48">
        <f t="shared" si="6"/>
        <v>8951785</v>
      </c>
      <c r="T182" s="44"/>
      <c r="U182" s="48">
        <v>546884</v>
      </c>
      <c r="W182" s="44">
        <f>+S182-'Stmt net assets'!O182-U182</f>
        <v>0</v>
      </c>
    </row>
    <row r="183" spans="1:25" s="65" customFormat="1" ht="12.75" customHeight="1" x14ac:dyDescent="0.2">
      <c r="A183" s="35" t="s">
        <v>206</v>
      </c>
      <c r="B183" s="51"/>
      <c r="C183" s="35" t="s">
        <v>47</v>
      </c>
      <c r="D183" s="35"/>
      <c r="E183" s="48">
        <v>0</v>
      </c>
      <c r="F183" s="48"/>
      <c r="G183" s="48">
        <v>0</v>
      </c>
      <c r="H183" s="48"/>
      <c r="I183" s="48">
        <v>0</v>
      </c>
      <c r="J183" s="48"/>
      <c r="K183" s="48">
        <v>0</v>
      </c>
      <c r="L183" s="48"/>
      <c r="M183" s="48">
        <v>0</v>
      </c>
      <c r="N183" s="48"/>
      <c r="O183" s="48">
        <v>1205867</v>
      </c>
      <c r="P183" s="48"/>
      <c r="Q183" s="48">
        <v>0</v>
      </c>
      <c r="R183" s="48"/>
      <c r="S183" s="48">
        <f t="shared" si="6"/>
        <v>1205867</v>
      </c>
      <c r="T183" s="44"/>
      <c r="U183" s="48">
        <v>380763</v>
      </c>
      <c r="W183" s="44">
        <f>+S183-'Stmt net assets'!O183-U183</f>
        <v>0</v>
      </c>
    </row>
    <row r="184" spans="1:25" s="65" customFormat="1" ht="12.75" customHeight="1" x14ac:dyDescent="0.2">
      <c r="A184" s="35" t="s">
        <v>207</v>
      </c>
      <c r="B184" s="51"/>
      <c r="C184" s="35" t="s">
        <v>102</v>
      </c>
      <c r="D184" s="35"/>
      <c r="E184" s="48">
        <v>1187077</v>
      </c>
      <c r="F184" s="48"/>
      <c r="G184" s="48">
        <v>0</v>
      </c>
      <c r="H184" s="48"/>
      <c r="I184" s="48">
        <v>2025000</v>
      </c>
      <c r="J184" s="48"/>
      <c r="K184" s="48">
        <v>5480929</v>
      </c>
      <c r="L184" s="48"/>
      <c r="M184" s="48">
        <v>2998858</v>
      </c>
      <c r="N184" s="48"/>
      <c r="O184" s="48">
        <v>669959</v>
      </c>
      <c r="P184" s="48"/>
      <c r="Q184" s="48">
        <v>162500</v>
      </c>
      <c r="R184" s="48"/>
      <c r="S184" s="48">
        <f t="shared" si="6"/>
        <v>12524323</v>
      </c>
      <c r="T184" s="44"/>
      <c r="U184" s="48">
        <v>1243859</v>
      </c>
      <c r="W184" s="44">
        <f>+S184-'Stmt net assets'!O184-U184</f>
        <v>0</v>
      </c>
    </row>
    <row r="185" spans="1:25" s="65" customFormat="1" ht="12.75" customHeight="1" x14ac:dyDescent="0.2">
      <c r="A185" s="35" t="s">
        <v>208</v>
      </c>
      <c r="B185" s="51"/>
      <c r="C185" s="35" t="s">
        <v>209</v>
      </c>
      <c r="D185" s="35"/>
      <c r="E185" s="48">
        <v>290000</v>
      </c>
      <c r="F185" s="48"/>
      <c r="G185" s="48">
        <v>129028</v>
      </c>
      <c r="H185" s="48"/>
      <c r="I185" s="48">
        <v>1019201</v>
      </c>
      <c r="J185" s="48"/>
      <c r="K185" s="48">
        <v>0</v>
      </c>
      <c r="L185" s="48"/>
      <c r="M185" s="48">
        <v>0</v>
      </c>
      <c r="N185" s="48"/>
      <c r="O185" s="48">
        <v>1806929</v>
      </c>
      <c r="P185" s="48"/>
      <c r="Q185" s="48">
        <f>20401+275000</f>
        <v>295401</v>
      </c>
      <c r="R185" s="48"/>
      <c r="S185" s="48">
        <f t="shared" si="6"/>
        <v>3540559</v>
      </c>
      <c r="T185" s="44"/>
      <c r="U185" s="48">
        <v>751747</v>
      </c>
      <c r="W185" s="44">
        <f>+S185-'Stmt net assets'!O185-U185</f>
        <v>0</v>
      </c>
    </row>
    <row r="186" spans="1:25" s="65" customFormat="1" ht="12.75" customHeight="1" x14ac:dyDescent="0.2">
      <c r="A186" s="44" t="s">
        <v>210</v>
      </c>
      <c r="B186" s="51"/>
      <c r="C186" s="44" t="s">
        <v>211</v>
      </c>
      <c r="D186" s="44"/>
      <c r="E186" s="48">
        <v>178269</v>
      </c>
      <c r="F186" s="48"/>
      <c r="G186" s="48">
        <v>34731</v>
      </c>
      <c r="H186" s="48"/>
      <c r="I186" s="48">
        <v>0</v>
      </c>
      <c r="J186" s="48"/>
      <c r="K186" s="48">
        <v>0</v>
      </c>
      <c r="L186" s="48"/>
      <c r="M186" s="48">
        <v>90526</v>
      </c>
      <c r="N186" s="48"/>
      <c r="O186" s="48">
        <v>123152</v>
      </c>
      <c r="P186" s="48"/>
      <c r="Q186" s="48">
        <v>0</v>
      </c>
      <c r="R186" s="48"/>
      <c r="S186" s="48">
        <f t="shared" si="6"/>
        <v>426678</v>
      </c>
      <c r="T186" s="44"/>
      <c r="U186" s="48">
        <v>131124</v>
      </c>
      <c r="W186" s="44">
        <f>+S186-'Stmt net assets'!O186-U186</f>
        <v>0</v>
      </c>
      <c r="X186" s="66"/>
      <c r="Y186" s="66"/>
    </row>
    <row r="187" spans="1:25" s="65" customFormat="1" ht="12.75" customHeight="1" x14ac:dyDescent="0.2">
      <c r="A187" s="44" t="s">
        <v>212</v>
      </c>
      <c r="B187" s="51"/>
      <c r="C187" s="44" t="s">
        <v>213</v>
      </c>
      <c r="D187" s="44"/>
      <c r="E187" s="48">
        <v>1585000</v>
      </c>
      <c r="F187" s="48"/>
      <c r="G187" s="48">
        <v>0</v>
      </c>
      <c r="H187" s="48"/>
      <c r="I187" s="48">
        <v>0</v>
      </c>
      <c r="J187" s="48"/>
      <c r="K187" s="48">
        <v>0</v>
      </c>
      <c r="L187" s="48"/>
      <c r="M187" s="48">
        <v>673204</v>
      </c>
      <c r="N187" s="48"/>
      <c r="O187" s="48">
        <v>497890</v>
      </c>
      <c r="P187" s="48"/>
      <c r="Q187" s="48">
        <v>0</v>
      </c>
      <c r="R187" s="48"/>
      <c r="S187" s="48">
        <f t="shared" si="6"/>
        <v>2756094</v>
      </c>
      <c r="T187" s="44"/>
      <c r="U187" s="48">
        <v>221032</v>
      </c>
      <c r="W187" s="44">
        <f>+S187-'Stmt net assets'!O187-U187</f>
        <v>0</v>
      </c>
    </row>
    <row r="188" spans="1:25" s="65" customFormat="1" ht="12.75" hidden="1" customHeight="1" x14ac:dyDescent="0.2">
      <c r="A188" s="44" t="s">
        <v>214</v>
      </c>
      <c r="B188" s="51"/>
      <c r="C188" s="44" t="s">
        <v>86</v>
      </c>
      <c r="D188" s="44"/>
      <c r="E188" s="48">
        <v>21495000</v>
      </c>
      <c r="F188" s="48"/>
      <c r="G188" s="48">
        <v>0</v>
      </c>
      <c r="H188" s="48"/>
      <c r="I188" s="48">
        <v>0</v>
      </c>
      <c r="J188" s="48"/>
      <c r="K188" s="48">
        <v>0</v>
      </c>
      <c r="L188" s="48"/>
      <c r="M188" s="48">
        <v>0</v>
      </c>
      <c r="N188" s="48"/>
      <c r="O188" s="48">
        <v>291525</v>
      </c>
      <c r="P188" s="48"/>
      <c r="Q188" s="48">
        <v>0</v>
      </c>
      <c r="R188" s="48"/>
      <c r="S188" s="48">
        <f t="shared" si="6"/>
        <v>21786525</v>
      </c>
      <c r="T188" s="44"/>
      <c r="U188" s="48">
        <v>1843228</v>
      </c>
      <c r="W188" s="44">
        <f>+S188-'Stmt net assets'!O188-U188</f>
        <v>50959</v>
      </c>
      <c r="Y188" s="44" t="s">
        <v>503</v>
      </c>
    </row>
    <row r="189" spans="1:25" s="65" customFormat="1" ht="12.75" customHeight="1" x14ac:dyDescent="0.2">
      <c r="A189" s="35" t="s">
        <v>215</v>
      </c>
      <c r="C189" s="35" t="s">
        <v>22</v>
      </c>
      <c r="D189" s="35"/>
      <c r="E189" s="48">
        <v>630260</v>
      </c>
      <c r="F189" s="48"/>
      <c r="G189" s="48">
        <v>149737</v>
      </c>
      <c r="H189" s="48"/>
      <c r="I189" s="48">
        <v>0</v>
      </c>
      <c r="J189" s="48"/>
      <c r="K189" s="48">
        <v>0</v>
      </c>
      <c r="L189" s="48"/>
      <c r="M189" s="48">
        <v>628550</v>
      </c>
      <c r="N189" s="48"/>
      <c r="O189" s="48">
        <v>871267</v>
      </c>
      <c r="P189" s="48"/>
      <c r="Q189" s="48">
        <v>4529267</v>
      </c>
      <c r="R189" s="48"/>
      <c r="S189" s="48">
        <f t="shared" si="6"/>
        <v>6809081</v>
      </c>
      <c r="T189" s="44"/>
      <c r="U189" s="48">
        <v>727053</v>
      </c>
      <c r="W189" s="44">
        <f>+S189-'Stmt net assets'!O189-U189</f>
        <v>0</v>
      </c>
    </row>
    <row r="190" spans="1:25" s="65" customFormat="1" ht="12.75" customHeight="1" x14ac:dyDescent="0.2">
      <c r="A190" s="35" t="s">
        <v>216</v>
      </c>
      <c r="B190" s="51"/>
      <c r="C190" s="35" t="s">
        <v>45</v>
      </c>
      <c r="D190" s="35"/>
      <c r="E190" s="48">
        <v>1635000</v>
      </c>
      <c r="F190" s="48"/>
      <c r="G190" s="48">
        <v>0</v>
      </c>
      <c r="H190" s="48"/>
      <c r="I190" s="48">
        <v>0</v>
      </c>
      <c r="J190" s="48"/>
      <c r="K190" s="48">
        <v>952459</v>
      </c>
      <c r="L190" s="48"/>
      <c r="M190" s="48">
        <v>0</v>
      </c>
      <c r="N190" s="48"/>
      <c r="O190" s="48">
        <v>993998</v>
      </c>
      <c r="P190" s="48"/>
      <c r="Q190" s="48">
        <v>0</v>
      </c>
      <c r="R190" s="48"/>
      <c r="S190" s="48">
        <f t="shared" si="6"/>
        <v>3581457</v>
      </c>
      <c r="T190" s="44"/>
      <c r="U190" s="48">
        <v>667930</v>
      </c>
      <c r="W190" s="44">
        <f>+S190-'Stmt net assets'!O190-U190</f>
        <v>0</v>
      </c>
    </row>
    <row r="191" spans="1:25" s="65" customFormat="1" ht="12.75" customHeight="1" x14ac:dyDescent="0.2">
      <c r="A191" s="35" t="s">
        <v>217</v>
      </c>
      <c r="B191" s="51"/>
      <c r="C191" s="35" t="s">
        <v>43</v>
      </c>
      <c r="D191" s="35"/>
      <c r="E191" s="48">
        <v>20897231</v>
      </c>
      <c r="F191" s="48"/>
      <c r="G191" s="48">
        <v>0</v>
      </c>
      <c r="H191" s="48"/>
      <c r="I191" s="48">
        <v>0</v>
      </c>
      <c r="J191" s="48"/>
      <c r="K191" s="48">
        <f>2551264+127574</f>
        <v>2678838</v>
      </c>
      <c r="L191" s="48"/>
      <c r="M191" s="48">
        <v>0</v>
      </c>
      <c r="N191" s="48"/>
      <c r="O191" s="48">
        <v>1164006</v>
      </c>
      <c r="P191" s="48"/>
      <c r="Q191" s="48">
        <v>0</v>
      </c>
      <c r="R191" s="48"/>
      <c r="S191" s="48">
        <f t="shared" si="6"/>
        <v>24740075</v>
      </c>
      <c r="T191" s="44"/>
      <c r="U191" s="48">
        <v>2461621</v>
      </c>
      <c r="W191" s="44">
        <f>+S191-'Stmt net assets'!O191-U191</f>
        <v>0</v>
      </c>
    </row>
    <row r="192" spans="1:25" s="65" customFormat="1" ht="12.75" customHeight="1" x14ac:dyDescent="0.2">
      <c r="A192" s="35" t="s">
        <v>218</v>
      </c>
      <c r="B192" s="51"/>
      <c r="C192" s="35" t="s">
        <v>27</v>
      </c>
      <c r="D192" s="35"/>
      <c r="E192" s="48">
        <v>11428556</v>
      </c>
      <c r="F192" s="48"/>
      <c r="G192" s="48">
        <v>0</v>
      </c>
      <c r="H192" s="48"/>
      <c r="I192" s="48">
        <v>0</v>
      </c>
      <c r="J192" s="48"/>
      <c r="K192" s="48">
        <v>5966390</v>
      </c>
      <c r="L192" s="48"/>
      <c r="M192" s="48">
        <v>0</v>
      </c>
      <c r="N192" s="48"/>
      <c r="O192" s="48">
        <v>1075231</v>
      </c>
      <c r="P192" s="48"/>
      <c r="Q192" s="48">
        <f>95623+44820</f>
        <v>140443</v>
      </c>
      <c r="R192" s="48"/>
      <c r="S192" s="48">
        <f t="shared" si="6"/>
        <v>18610620</v>
      </c>
      <c r="T192" s="44"/>
      <c r="U192" s="48">
        <v>1832861</v>
      </c>
      <c r="W192" s="44">
        <f>+S192-'Stmt net assets'!O192-U192</f>
        <v>0</v>
      </c>
    </row>
    <row r="193" spans="1:32" s="65" customFormat="1" ht="12.75" customHeight="1" x14ac:dyDescent="0.2">
      <c r="A193" s="35" t="s">
        <v>219</v>
      </c>
      <c r="B193" s="51"/>
      <c r="C193" s="35" t="s">
        <v>199</v>
      </c>
      <c r="D193" s="35"/>
      <c r="E193" s="48">
        <v>954000</v>
      </c>
      <c r="F193" s="48"/>
      <c r="G193" s="48">
        <v>0</v>
      </c>
      <c r="H193" s="48"/>
      <c r="I193" s="48">
        <v>0</v>
      </c>
      <c r="J193" s="48"/>
      <c r="K193" s="48">
        <v>0</v>
      </c>
      <c r="L193" s="48"/>
      <c r="M193" s="48">
        <v>21722</v>
      </c>
      <c r="N193" s="48"/>
      <c r="O193" s="48">
        <v>194945</v>
      </c>
      <c r="P193" s="48"/>
      <c r="Q193" s="48">
        <v>0</v>
      </c>
      <c r="R193" s="48"/>
      <c r="S193" s="48">
        <f t="shared" si="6"/>
        <v>1170667</v>
      </c>
      <c r="T193" s="44"/>
      <c r="U193" s="48">
        <v>225982</v>
      </c>
      <c r="W193" s="44">
        <f>+S193-'Stmt net assets'!O193-U193</f>
        <v>0</v>
      </c>
    </row>
    <row r="194" spans="1:32" s="65" customFormat="1" ht="12.75" customHeight="1" x14ac:dyDescent="0.2">
      <c r="A194" s="35" t="s">
        <v>220</v>
      </c>
      <c r="B194" s="51"/>
      <c r="C194" s="35" t="s">
        <v>66</v>
      </c>
      <c r="D194" s="35"/>
      <c r="E194" s="48">
        <v>2000087</v>
      </c>
      <c r="F194" s="48"/>
      <c r="G194" s="48">
        <v>0</v>
      </c>
      <c r="H194" s="48"/>
      <c r="I194" s="48">
        <v>0</v>
      </c>
      <c r="J194" s="48"/>
      <c r="K194" s="48">
        <v>21836</v>
      </c>
      <c r="L194" s="48"/>
      <c r="M194" s="48">
        <v>53957</v>
      </c>
      <c r="N194" s="48"/>
      <c r="O194" s="48">
        <v>158923</v>
      </c>
      <c r="P194" s="48"/>
      <c r="Q194" s="48">
        <v>0</v>
      </c>
      <c r="R194" s="48"/>
      <c r="S194" s="48">
        <f t="shared" ref="S194:S217" si="7">SUM(E194:Q194)</f>
        <v>2234803</v>
      </c>
      <c r="T194" s="44"/>
      <c r="U194" s="48">
        <v>474505</v>
      </c>
      <c r="W194" s="44">
        <f>+S194-'Stmt net assets'!O194-U194</f>
        <v>0</v>
      </c>
    </row>
    <row r="195" spans="1:32" s="65" customFormat="1" ht="12.75" customHeight="1" x14ac:dyDescent="0.2">
      <c r="A195" s="35" t="s">
        <v>221</v>
      </c>
      <c r="B195" s="51"/>
      <c r="C195" s="35" t="s">
        <v>27</v>
      </c>
      <c r="D195" s="35"/>
      <c r="E195" s="48">
        <v>14996541</v>
      </c>
      <c r="F195" s="48"/>
      <c r="G195" s="48">
        <v>510000</v>
      </c>
      <c r="H195" s="48"/>
      <c r="I195" s="48">
        <v>0</v>
      </c>
      <c r="J195" s="48"/>
      <c r="K195" s="48">
        <v>2731310</v>
      </c>
      <c r="L195" s="48"/>
      <c r="M195" s="48">
        <v>0</v>
      </c>
      <c r="N195" s="48"/>
      <c r="O195" s="48">
        <v>4255632</v>
      </c>
      <c r="P195" s="48"/>
      <c r="Q195" s="48">
        <v>492319</v>
      </c>
      <c r="R195" s="48"/>
      <c r="S195" s="48">
        <f t="shared" si="7"/>
        <v>22985802</v>
      </c>
      <c r="T195" s="44"/>
      <c r="U195" s="48">
        <v>1943224</v>
      </c>
      <c r="W195" s="44">
        <f>+S195-'Stmt net assets'!O195-U195</f>
        <v>0</v>
      </c>
    </row>
    <row r="196" spans="1:32" s="65" customFormat="1" ht="12.75" customHeight="1" x14ac:dyDescent="0.2">
      <c r="A196" s="35" t="s">
        <v>222</v>
      </c>
      <c r="B196" s="51"/>
      <c r="C196" s="35" t="s">
        <v>47</v>
      </c>
      <c r="D196" s="35"/>
      <c r="E196" s="48">
        <v>2855000</v>
      </c>
      <c r="F196" s="48"/>
      <c r="G196" s="48">
        <v>0</v>
      </c>
      <c r="H196" s="48"/>
      <c r="I196" s="48">
        <v>0</v>
      </c>
      <c r="J196" s="48"/>
      <c r="K196" s="48">
        <v>0</v>
      </c>
      <c r="L196" s="48"/>
      <c r="M196" s="48">
        <v>0</v>
      </c>
      <c r="N196" s="48"/>
      <c r="O196" s="48">
        <v>163412</v>
      </c>
      <c r="P196" s="48"/>
      <c r="Q196" s="48">
        <v>360300</v>
      </c>
      <c r="R196" s="48"/>
      <c r="S196" s="48">
        <f t="shared" si="7"/>
        <v>3378712</v>
      </c>
      <c r="T196" s="44"/>
      <c r="U196" s="48">
        <v>247523</v>
      </c>
      <c r="W196" s="44">
        <f>+S196-'Stmt net assets'!O196-U196</f>
        <v>0</v>
      </c>
    </row>
    <row r="197" spans="1:32" s="65" customFormat="1" ht="12.75" customHeight="1" x14ac:dyDescent="0.2">
      <c r="A197" s="35" t="s">
        <v>223</v>
      </c>
      <c r="B197" s="51"/>
      <c r="C197" s="35" t="s">
        <v>94</v>
      </c>
      <c r="D197" s="35"/>
      <c r="E197" s="48">
        <v>2760954</v>
      </c>
      <c r="F197" s="48"/>
      <c r="G197" s="48">
        <v>0</v>
      </c>
      <c r="H197" s="48"/>
      <c r="I197" s="48">
        <v>0</v>
      </c>
      <c r="J197" s="48"/>
      <c r="K197" s="48">
        <v>636874</v>
      </c>
      <c r="L197" s="48"/>
      <c r="M197" s="48">
        <v>0</v>
      </c>
      <c r="N197" s="48"/>
      <c r="O197" s="48">
        <v>348656</v>
      </c>
      <c r="P197" s="48"/>
      <c r="Q197" s="48">
        <v>0</v>
      </c>
      <c r="R197" s="48"/>
      <c r="S197" s="48">
        <f t="shared" si="7"/>
        <v>3746484</v>
      </c>
      <c r="T197" s="44"/>
      <c r="U197" s="48">
        <v>361514</v>
      </c>
      <c r="W197" s="44">
        <f>+S197-'Stmt net assets'!O197-U197</f>
        <v>0</v>
      </c>
    </row>
    <row r="198" spans="1:32" s="65" customFormat="1" ht="12.75" customHeight="1" x14ac:dyDescent="0.2">
      <c r="A198" s="35" t="s">
        <v>76</v>
      </c>
      <c r="B198" s="51"/>
      <c r="C198" s="35" t="s">
        <v>132</v>
      </c>
      <c r="D198" s="35"/>
      <c r="E198" s="48">
        <v>15094396</v>
      </c>
      <c r="F198" s="48"/>
      <c r="G198" s="48">
        <v>3486729</v>
      </c>
      <c r="H198" s="48"/>
      <c r="I198" s="48">
        <v>0</v>
      </c>
      <c r="J198" s="48"/>
      <c r="K198" s="48">
        <v>598932</v>
      </c>
      <c r="L198" s="48"/>
      <c r="M198" s="48">
        <v>0</v>
      </c>
      <c r="N198" s="48"/>
      <c r="O198" s="48">
        <v>1873674</v>
      </c>
      <c r="P198" s="48"/>
      <c r="Q198" s="48">
        <v>0</v>
      </c>
      <c r="R198" s="48"/>
      <c r="S198" s="48">
        <f t="shared" si="7"/>
        <v>21053731</v>
      </c>
      <c r="T198" s="44"/>
      <c r="U198" s="48">
        <v>1772728</v>
      </c>
      <c r="W198" s="44">
        <f>+S198-'Stmt net assets'!O198-U198</f>
        <v>0</v>
      </c>
    </row>
    <row r="199" spans="1:32" s="65" customFormat="1" ht="12.75" customHeight="1" x14ac:dyDescent="0.2">
      <c r="A199" s="35" t="s">
        <v>224</v>
      </c>
      <c r="B199" s="51"/>
      <c r="C199" s="35" t="s">
        <v>27</v>
      </c>
      <c r="D199" s="35"/>
      <c r="E199" s="48">
        <f>14635000+223066-1054120</f>
        <v>13803946</v>
      </c>
      <c r="F199" s="48"/>
      <c r="G199" s="48">
        <v>1855000</v>
      </c>
      <c r="H199" s="48"/>
      <c r="I199" s="48">
        <v>0</v>
      </c>
      <c r="J199" s="48"/>
      <c r="K199" s="48">
        <f>17213+116633</f>
        <v>133846</v>
      </c>
      <c r="L199" s="48"/>
      <c r="M199" s="48">
        <v>0</v>
      </c>
      <c r="N199" s="48"/>
      <c r="O199" s="48">
        <v>624765</v>
      </c>
      <c r="P199" s="48"/>
      <c r="Q199" s="48">
        <v>0</v>
      </c>
      <c r="R199" s="48"/>
      <c r="S199" s="48">
        <f t="shared" si="7"/>
        <v>16417557</v>
      </c>
      <c r="T199" s="44"/>
      <c r="U199" s="48">
        <v>869512</v>
      </c>
      <c r="W199" s="44">
        <f>+S199-'Stmt net assets'!O199-U199</f>
        <v>0</v>
      </c>
    </row>
    <row r="200" spans="1:32" s="65" customFormat="1" ht="12.75" customHeight="1" x14ac:dyDescent="0.2">
      <c r="A200" s="35" t="s">
        <v>225</v>
      </c>
      <c r="C200" s="35" t="s">
        <v>27</v>
      </c>
      <c r="D200" s="35"/>
      <c r="E200" s="48">
        <v>17945451</v>
      </c>
      <c r="F200" s="48"/>
      <c r="G200" s="48">
        <v>0</v>
      </c>
      <c r="H200" s="48"/>
      <c r="I200" s="48">
        <v>2500000</v>
      </c>
      <c r="J200" s="48"/>
      <c r="K200" s="48">
        <v>5076223</v>
      </c>
      <c r="L200" s="48"/>
      <c r="M200" s="48">
        <v>0</v>
      </c>
      <c r="N200" s="48"/>
      <c r="O200" s="48">
        <v>6046712</v>
      </c>
      <c r="P200" s="48"/>
      <c r="Q200" s="48">
        <v>831182</v>
      </c>
      <c r="R200" s="48"/>
      <c r="S200" s="48">
        <f t="shared" si="7"/>
        <v>32399568</v>
      </c>
      <c r="T200" s="44"/>
      <c r="U200" s="48">
        <v>2863339</v>
      </c>
      <c r="W200" s="44">
        <f>+S200-'Stmt net assets'!O200-U200</f>
        <v>0</v>
      </c>
    </row>
    <row r="201" spans="1:32" s="65" customFormat="1" ht="12.75" customHeight="1" x14ac:dyDescent="0.2">
      <c r="A201" s="35" t="s">
        <v>226</v>
      </c>
      <c r="B201" s="51"/>
      <c r="C201" s="35" t="s">
        <v>45</v>
      </c>
      <c r="D201" s="35"/>
      <c r="E201" s="48">
        <v>9144468</v>
      </c>
      <c r="F201" s="48"/>
      <c r="G201" s="48">
        <v>1400000</v>
      </c>
      <c r="H201" s="48"/>
      <c r="I201" s="48">
        <v>0</v>
      </c>
      <c r="J201" s="48"/>
      <c r="K201" s="48">
        <v>0</v>
      </c>
      <c r="L201" s="48"/>
      <c r="M201" s="48">
        <v>0</v>
      </c>
      <c r="N201" s="48"/>
      <c r="O201" s="48">
        <v>3108710</v>
      </c>
      <c r="P201" s="48"/>
      <c r="Q201" s="48">
        <v>0</v>
      </c>
      <c r="R201" s="48"/>
      <c r="S201" s="48">
        <f t="shared" si="7"/>
        <v>13653178</v>
      </c>
      <c r="T201" s="44"/>
      <c r="U201" s="48">
        <v>1634068</v>
      </c>
      <c r="W201" s="44">
        <f>+S201-'Stmt net assets'!O201-U201</f>
        <v>0</v>
      </c>
    </row>
    <row r="202" spans="1:32" s="66" customFormat="1" ht="12.75" customHeight="1" x14ac:dyDescent="0.2">
      <c r="A202" s="64" t="s">
        <v>227</v>
      </c>
      <c r="C202" s="64" t="s">
        <v>17</v>
      </c>
      <c r="D202" s="64"/>
      <c r="E202" s="48">
        <v>960000</v>
      </c>
      <c r="F202" s="48"/>
      <c r="G202" s="48">
        <v>0</v>
      </c>
      <c r="H202" s="48"/>
      <c r="I202" s="48">
        <f>601905+430000+114161</f>
        <v>1146066</v>
      </c>
      <c r="J202" s="48"/>
      <c r="K202" s="48">
        <v>324232</v>
      </c>
      <c r="L202" s="48"/>
      <c r="M202" s="48">
        <v>87323</v>
      </c>
      <c r="N202" s="48"/>
      <c r="O202" s="48">
        <v>571387</v>
      </c>
      <c r="P202" s="48"/>
      <c r="Q202" s="48">
        <v>0</v>
      </c>
      <c r="R202" s="48"/>
      <c r="S202" s="48">
        <f t="shared" si="7"/>
        <v>3089008</v>
      </c>
      <c r="T202" s="44"/>
      <c r="U202" s="48">
        <v>669142</v>
      </c>
      <c r="V202" s="65"/>
      <c r="W202" s="44">
        <f>+S202-'Stmt net assets'!O202-U202</f>
        <v>0</v>
      </c>
      <c r="X202" s="65"/>
      <c r="Y202" s="65"/>
      <c r="Z202" s="65"/>
      <c r="AA202" s="65"/>
      <c r="AB202" s="65"/>
      <c r="AC202" s="65"/>
      <c r="AD202" s="65"/>
      <c r="AE202" s="65"/>
      <c r="AF202" s="65"/>
    </row>
    <row r="203" spans="1:32" s="65" customFormat="1" ht="12.75" customHeight="1" x14ac:dyDescent="0.2">
      <c r="A203" s="35" t="s">
        <v>228</v>
      </c>
      <c r="B203" s="51"/>
      <c r="C203" s="35" t="s">
        <v>153</v>
      </c>
      <c r="D203" s="35"/>
      <c r="E203" s="48">
        <v>6831335</v>
      </c>
      <c r="F203" s="48"/>
      <c r="G203" s="48">
        <v>144531</v>
      </c>
      <c r="H203" s="48"/>
      <c r="I203" s="48">
        <v>0</v>
      </c>
      <c r="J203" s="48"/>
      <c r="K203" s="48">
        <v>89348</v>
      </c>
      <c r="L203" s="48"/>
      <c r="M203" s="48">
        <v>0</v>
      </c>
      <c r="N203" s="48"/>
      <c r="O203" s="48">
        <v>428637</v>
      </c>
      <c r="P203" s="48"/>
      <c r="Q203" s="48">
        <v>0</v>
      </c>
      <c r="R203" s="48"/>
      <c r="S203" s="48">
        <f t="shared" si="7"/>
        <v>7493851</v>
      </c>
      <c r="T203" s="44"/>
      <c r="U203" s="48">
        <v>351937</v>
      </c>
      <c r="W203" s="44">
        <f>+S203-'Stmt net assets'!O203-U203</f>
        <v>0</v>
      </c>
    </row>
    <row r="204" spans="1:32" s="65" customFormat="1" ht="12.75" customHeight="1" x14ac:dyDescent="0.2">
      <c r="A204" s="35" t="s">
        <v>229</v>
      </c>
      <c r="B204" s="51"/>
      <c r="C204" s="35" t="s">
        <v>228</v>
      </c>
      <c r="D204" s="35"/>
      <c r="E204" s="48">
        <f>9443603-1490230</f>
        <v>7953373</v>
      </c>
      <c r="F204" s="48"/>
      <c r="G204" s="48">
        <v>0</v>
      </c>
      <c r="H204" s="48"/>
      <c r="I204" s="48">
        <v>0</v>
      </c>
      <c r="J204" s="48"/>
      <c r="K204" s="48">
        <v>0</v>
      </c>
      <c r="L204" s="48"/>
      <c r="M204" s="48">
        <v>0</v>
      </c>
      <c r="N204" s="48"/>
      <c r="O204" s="48">
        <v>1490230</v>
      </c>
      <c r="P204" s="48"/>
      <c r="Q204" s="48">
        <v>0</v>
      </c>
      <c r="R204" s="48"/>
      <c r="S204" s="48">
        <f t="shared" si="7"/>
        <v>9443603</v>
      </c>
      <c r="T204" s="44"/>
      <c r="U204" s="48">
        <v>680267</v>
      </c>
      <c r="W204" s="44">
        <f>+S204-'Stmt net assets'!O204-U204</f>
        <v>0</v>
      </c>
    </row>
    <row r="205" spans="1:32" s="125" customFormat="1" ht="12.75" hidden="1" customHeight="1" x14ac:dyDescent="0.2">
      <c r="A205" s="126" t="s">
        <v>230</v>
      </c>
      <c r="B205" s="124"/>
      <c r="C205" s="126" t="s">
        <v>45</v>
      </c>
      <c r="D205" s="126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>
        <f t="shared" si="7"/>
        <v>0</v>
      </c>
      <c r="T205" s="121"/>
      <c r="U205" s="130"/>
      <c r="W205" s="121">
        <f>+S205-'Stmt net assets'!O205-U205</f>
        <v>0</v>
      </c>
      <c r="Y205" s="121" t="s">
        <v>509</v>
      </c>
    </row>
    <row r="206" spans="1:32" s="65" customFormat="1" ht="12.75" customHeight="1" x14ac:dyDescent="0.2">
      <c r="A206" s="35" t="s">
        <v>231</v>
      </c>
      <c r="B206" s="51"/>
      <c r="C206" s="35" t="s">
        <v>27</v>
      </c>
      <c r="D206" s="35"/>
      <c r="E206" s="48">
        <v>4470000</v>
      </c>
      <c r="F206" s="48"/>
      <c r="G206" s="48">
        <v>84895</v>
      </c>
      <c r="H206" s="48"/>
      <c r="I206" s="48">
        <v>0</v>
      </c>
      <c r="J206" s="48"/>
      <c r="K206" s="48">
        <f>9742923+199235</f>
        <v>9942158</v>
      </c>
      <c r="L206" s="48"/>
      <c r="M206" s="48">
        <v>0</v>
      </c>
      <c r="N206" s="48"/>
      <c r="O206" s="48">
        <v>3433260</v>
      </c>
      <c r="P206" s="48"/>
      <c r="Q206" s="48">
        <f>40000+80212</f>
        <v>120212</v>
      </c>
      <c r="R206" s="48"/>
      <c r="S206" s="48">
        <f t="shared" si="7"/>
        <v>18050525</v>
      </c>
      <c r="T206" s="44"/>
      <c r="U206" s="48">
        <v>2695063</v>
      </c>
      <c r="W206" s="44">
        <f>+S206-'Stmt net assets'!O206-U206</f>
        <v>0</v>
      </c>
    </row>
    <row r="207" spans="1:32" s="65" customFormat="1" ht="12.75" customHeight="1" x14ac:dyDescent="0.2">
      <c r="A207" s="35" t="s">
        <v>232</v>
      </c>
      <c r="B207" s="51"/>
      <c r="C207" s="35" t="s">
        <v>27</v>
      </c>
      <c r="D207" s="35"/>
      <c r="E207" s="48">
        <v>4982378</v>
      </c>
      <c r="F207" s="48"/>
      <c r="G207" s="48">
        <v>145000</v>
      </c>
      <c r="H207" s="48"/>
      <c r="I207" s="48">
        <v>0</v>
      </c>
      <c r="J207" s="48"/>
      <c r="K207" s="48">
        <f>2806643+1636125+403400</f>
        <v>4846168</v>
      </c>
      <c r="L207" s="48"/>
      <c r="M207" s="48">
        <v>465025</v>
      </c>
      <c r="N207" s="48"/>
      <c r="O207" s="48">
        <v>746866</v>
      </c>
      <c r="P207" s="48"/>
      <c r="Q207" s="48">
        <v>288463</v>
      </c>
      <c r="R207" s="48"/>
      <c r="S207" s="48">
        <f t="shared" si="7"/>
        <v>11473900</v>
      </c>
      <c r="T207" s="44"/>
      <c r="U207" s="48">
        <v>1036864</v>
      </c>
      <c r="W207" s="44">
        <f>+S207-'Stmt net assets'!O207-U207</f>
        <v>0</v>
      </c>
    </row>
    <row r="208" spans="1:32" s="65" customFormat="1" ht="12.75" customHeight="1" x14ac:dyDescent="0.2">
      <c r="A208" s="35" t="s">
        <v>233</v>
      </c>
      <c r="B208" s="51"/>
      <c r="C208" s="35" t="s">
        <v>111</v>
      </c>
      <c r="D208" s="35"/>
      <c r="E208" s="48">
        <v>12128902</v>
      </c>
      <c r="F208" s="48"/>
      <c r="G208" s="48">
        <v>2100000</v>
      </c>
      <c r="H208" s="48"/>
      <c r="I208" s="48">
        <v>0</v>
      </c>
      <c r="J208" s="48"/>
      <c r="K208" s="48">
        <v>0</v>
      </c>
      <c r="L208" s="48"/>
      <c r="M208" s="48">
        <v>0</v>
      </c>
      <c r="N208" s="48"/>
      <c r="O208" s="48">
        <v>275872</v>
      </c>
      <c r="P208" s="48"/>
      <c r="Q208" s="48">
        <v>0</v>
      </c>
      <c r="R208" s="48"/>
      <c r="S208" s="48">
        <f t="shared" si="7"/>
        <v>14504774</v>
      </c>
      <c r="T208" s="44"/>
      <c r="U208" s="48">
        <v>1192574</v>
      </c>
      <c r="W208" s="44">
        <f>+S208-'Stmt net assets'!O208-U208</f>
        <v>0</v>
      </c>
    </row>
    <row r="209" spans="1:25" s="65" customFormat="1" ht="12.75" customHeight="1" x14ac:dyDescent="0.2">
      <c r="A209" s="35" t="s">
        <v>234</v>
      </c>
      <c r="B209" s="51"/>
      <c r="C209" s="35" t="s">
        <v>45</v>
      </c>
      <c r="D209" s="35"/>
      <c r="E209" s="48">
        <v>2306120</v>
      </c>
      <c r="F209" s="48"/>
      <c r="G209" s="48">
        <v>0</v>
      </c>
      <c r="H209" s="48"/>
      <c r="I209" s="48">
        <v>0</v>
      </c>
      <c r="J209" s="48"/>
      <c r="K209" s="48">
        <v>0</v>
      </c>
      <c r="L209" s="48"/>
      <c r="M209" s="48">
        <v>150393</v>
      </c>
      <c r="N209" s="48"/>
      <c r="O209" s="48">
        <v>733806</v>
      </c>
      <c r="P209" s="48"/>
      <c r="Q209" s="48">
        <v>2463364</v>
      </c>
      <c r="R209" s="48"/>
      <c r="S209" s="48">
        <f t="shared" si="7"/>
        <v>5653683</v>
      </c>
      <c r="T209" s="44"/>
      <c r="U209" s="48">
        <v>722722</v>
      </c>
      <c r="W209" s="44">
        <f>+S209-'Stmt net assets'!O209-U209</f>
        <v>0</v>
      </c>
    </row>
    <row r="210" spans="1:25" s="65" customFormat="1" ht="12.75" customHeight="1" x14ac:dyDescent="0.2">
      <c r="A210" s="35" t="s">
        <v>235</v>
      </c>
      <c r="B210" s="51"/>
      <c r="C210" s="35" t="s">
        <v>183</v>
      </c>
      <c r="D210" s="35"/>
      <c r="E210" s="48">
        <f>7924000+4856000-155000+80000-7000</f>
        <v>12698000</v>
      </c>
      <c r="F210" s="48"/>
      <c r="G210" s="48">
        <v>0</v>
      </c>
      <c r="H210" s="48"/>
      <c r="I210" s="48">
        <v>0</v>
      </c>
      <c r="J210" s="48"/>
      <c r="K210" s="48">
        <v>0</v>
      </c>
      <c r="L210" s="48"/>
      <c r="M210" s="48">
        <v>0</v>
      </c>
      <c r="N210" s="48"/>
      <c r="O210" s="48">
        <v>7260000</v>
      </c>
      <c r="P210" s="48"/>
      <c r="Q210" s="48">
        <v>1187000</v>
      </c>
      <c r="R210" s="48"/>
      <c r="S210" s="48">
        <f t="shared" si="7"/>
        <v>21145000</v>
      </c>
      <c r="T210" s="44"/>
      <c r="U210" s="48">
        <v>3486000</v>
      </c>
      <c r="W210" s="44">
        <f>+S210-'Stmt net assets'!O210-U210</f>
        <v>243</v>
      </c>
      <c r="Y210" s="65" t="s">
        <v>510</v>
      </c>
    </row>
    <row r="211" spans="1:25" s="65" customFormat="1" ht="12.75" customHeight="1" x14ac:dyDescent="0.2">
      <c r="A211" s="35" t="s">
        <v>236</v>
      </c>
      <c r="B211" s="51"/>
      <c r="C211" s="35" t="s">
        <v>45</v>
      </c>
      <c r="D211" s="35"/>
      <c r="E211" s="48">
        <v>1765000</v>
      </c>
      <c r="F211" s="48"/>
      <c r="G211" s="48">
        <v>0</v>
      </c>
      <c r="H211" s="48"/>
      <c r="I211" s="48">
        <v>2800000</v>
      </c>
      <c r="J211" s="48"/>
      <c r="K211" s="48">
        <v>26398</v>
      </c>
      <c r="L211" s="48"/>
      <c r="M211" s="48">
        <v>0</v>
      </c>
      <c r="N211" s="48"/>
      <c r="O211" s="48">
        <v>1774378</v>
      </c>
      <c r="P211" s="48"/>
      <c r="Q211" s="48">
        <v>747194</v>
      </c>
      <c r="R211" s="48"/>
      <c r="S211" s="48">
        <f t="shared" si="7"/>
        <v>7112970</v>
      </c>
      <c r="T211" s="44"/>
      <c r="U211" s="48">
        <v>992021</v>
      </c>
      <c r="W211" s="44">
        <f>+S211-'Stmt net assets'!O211-U211</f>
        <v>0</v>
      </c>
    </row>
    <row r="212" spans="1:25" s="65" customFormat="1" ht="12.75" customHeight="1" x14ac:dyDescent="0.2">
      <c r="A212" s="35" t="s">
        <v>237</v>
      </c>
      <c r="B212" s="51"/>
      <c r="C212" s="35" t="s">
        <v>33</v>
      </c>
      <c r="D212" s="35"/>
      <c r="E212" s="48">
        <v>165000</v>
      </c>
      <c r="F212" s="48"/>
      <c r="G212" s="48">
        <v>0</v>
      </c>
      <c r="H212" s="48"/>
      <c r="I212" s="48">
        <v>0</v>
      </c>
      <c r="J212" s="48"/>
      <c r="K212" s="48">
        <f>271789+784311</f>
        <v>1056100</v>
      </c>
      <c r="L212" s="48"/>
      <c r="M212" s="48">
        <v>18755</v>
      </c>
      <c r="N212" s="48"/>
      <c r="O212" s="48">
        <v>102505</v>
      </c>
      <c r="P212" s="48"/>
      <c r="Q212" s="48">
        <v>0</v>
      </c>
      <c r="R212" s="48"/>
      <c r="S212" s="48">
        <f t="shared" si="7"/>
        <v>1342360</v>
      </c>
      <c r="T212" s="44"/>
      <c r="U212" s="48">
        <v>157730</v>
      </c>
      <c r="W212" s="44">
        <f>+S212-'Stmt net assets'!O212-U212</f>
        <v>0</v>
      </c>
    </row>
    <row r="213" spans="1:25" s="65" customFormat="1" ht="12.75" customHeight="1" x14ac:dyDescent="0.2">
      <c r="A213" s="35" t="s">
        <v>238</v>
      </c>
      <c r="B213" s="51"/>
      <c r="C213" s="35" t="s">
        <v>239</v>
      </c>
      <c r="D213" s="35"/>
      <c r="E213" s="48">
        <v>0</v>
      </c>
      <c r="F213" s="48"/>
      <c r="G213" s="48">
        <v>0</v>
      </c>
      <c r="H213" s="48"/>
      <c r="I213" s="48">
        <v>95000</v>
      </c>
      <c r="J213" s="48"/>
      <c r="K213" s="48">
        <v>0</v>
      </c>
      <c r="L213" s="48"/>
      <c r="M213" s="48">
        <v>0</v>
      </c>
      <c r="N213" s="48"/>
      <c r="O213" s="48">
        <v>423836</v>
      </c>
      <c r="P213" s="48"/>
      <c r="Q213" s="48">
        <v>0</v>
      </c>
      <c r="R213" s="48"/>
      <c r="S213" s="48">
        <f t="shared" si="7"/>
        <v>518836</v>
      </c>
      <c r="T213" s="44"/>
      <c r="U213" s="48">
        <v>189121</v>
      </c>
      <c r="W213" s="44">
        <f>+S213-'Stmt net assets'!O213-U213</f>
        <v>0</v>
      </c>
    </row>
    <row r="214" spans="1:25" s="65" customFormat="1" ht="12.75" customHeight="1" x14ac:dyDescent="0.2">
      <c r="A214" s="35" t="s">
        <v>486</v>
      </c>
      <c r="B214" s="51"/>
      <c r="C214" s="35" t="s">
        <v>249</v>
      </c>
      <c r="D214" s="35"/>
      <c r="E214" s="48">
        <f>3434894+126338</f>
        <v>3561232</v>
      </c>
      <c r="F214" s="48"/>
      <c r="G214" s="48">
        <v>0</v>
      </c>
      <c r="H214" s="48"/>
      <c r="I214" s="48">
        <v>0</v>
      </c>
      <c r="J214" s="48"/>
      <c r="K214" s="48">
        <v>960164</v>
      </c>
      <c r="L214" s="48"/>
      <c r="M214" s="48">
        <v>1794</v>
      </c>
      <c r="N214" s="48"/>
      <c r="O214" s="48">
        <v>1432373</v>
      </c>
      <c r="P214" s="48"/>
      <c r="Q214" s="48">
        <v>1899367</v>
      </c>
      <c r="R214" s="48"/>
      <c r="S214" s="48">
        <f t="shared" si="7"/>
        <v>7854930</v>
      </c>
      <c r="T214" s="44"/>
      <c r="U214" s="48">
        <v>309824</v>
      </c>
      <c r="W214" s="44">
        <f>+S214-'Stmt net assets'!O214-U214</f>
        <v>0</v>
      </c>
    </row>
    <row r="215" spans="1:25" s="65" customFormat="1" ht="12.75" customHeight="1" x14ac:dyDescent="0.2">
      <c r="A215" s="35" t="s">
        <v>240</v>
      </c>
      <c r="B215" s="51"/>
      <c r="C215" s="35" t="s">
        <v>13</v>
      </c>
      <c r="D215" s="35"/>
      <c r="E215" s="48">
        <v>14739257</v>
      </c>
      <c r="F215" s="48"/>
      <c r="G215" s="48">
        <v>0</v>
      </c>
      <c r="H215" s="48"/>
      <c r="I215" s="48">
        <v>7025000</v>
      </c>
      <c r="J215" s="48"/>
      <c r="K215" s="48">
        <v>0</v>
      </c>
      <c r="L215" s="48"/>
      <c r="M215" s="48">
        <v>989182</v>
      </c>
      <c r="N215" s="48"/>
      <c r="O215" s="48">
        <v>4753709</v>
      </c>
      <c r="P215" s="48"/>
      <c r="Q215" s="48">
        <v>0</v>
      </c>
      <c r="R215" s="48"/>
      <c r="S215" s="48">
        <f t="shared" si="7"/>
        <v>27507148</v>
      </c>
      <c r="T215" s="44"/>
      <c r="U215" s="48">
        <v>1954683</v>
      </c>
      <c r="W215" s="44">
        <f>+S215-'Stmt net assets'!O215-U215</f>
        <v>0</v>
      </c>
    </row>
    <row r="216" spans="1:25" s="66" customFormat="1" ht="12.75" customHeight="1" x14ac:dyDescent="0.2">
      <c r="A216" s="35" t="s">
        <v>241</v>
      </c>
      <c r="B216" s="51"/>
      <c r="C216" s="35" t="s">
        <v>22</v>
      </c>
      <c r="D216" s="35"/>
      <c r="E216" s="48">
        <f>2270000+11685-58922</f>
        <v>2222763</v>
      </c>
      <c r="F216" s="48"/>
      <c r="G216" s="48">
        <v>0</v>
      </c>
      <c r="H216" s="48"/>
      <c r="I216" s="48">
        <v>4300000</v>
      </c>
      <c r="J216" s="48"/>
      <c r="K216" s="48">
        <v>81462</v>
      </c>
      <c r="L216" s="48"/>
      <c r="M216" s="48">
        <v>607516</v>
      </c>
      <c r="N216" s="48"/>
      <c r="O216" s="48">
        <v>350953</v>
      </c>
      <c r="P216" s="48"/>
      <c r="Q216" s="48">
        <f>1541923+616989</f>
        <v>2158912</v>
      </c>
      <c r="R216" s="48"/>
      <c r="S216" s="48">
        <f t="shared" si="7"/>
        <v>9721606</v>
      </c>
      <c r="T216" s="44"/>
      <c r="U216" s="48">
        <v>5194558</v>
      </c>
      <c r="V216" s="65"/>
      <c r="W216" s="44">
        <f>+S216-'Stmt net assets'!O216-U216</f>
        <v>0</v>
      </c>
    </row>
    <row r="217" spans="1:25" s="65" customFormat="1" ht="12.75" customHeight="1" x14ac:dyDescent="0.2">
      <c r="A217" s="35" t="s">
        <v>242</v>
      </c>
      <c r="B217" s="51"/>
      <c r="C217" s="35" t="s">
        <v>27</v>
      </c>
      <c r="D217" s="35"/>
      <c r="E217" s="48">
        <f>48535000+1506267-516429</f>
        <v>49524838</v>
      </c>
      <c r="F217" s="48"/>
      <c r="G217" s="48">
        <v>865000</v>
      </c>
      <c r="H217" s="48"/>
      <c r="I217" s="48">
        <v>0</v>
      </c>
      <c r="J217" s="48"/>
      <c r="K217" s="48">
        <v>0</v>
      </c>
      <c r="L217" s="48"/>
      <c r="M217" s="48">
        <v>0</v>
      </c>
      <c r="N217" s="48"/>
      <c r="O217" s="48">
        <v>3212973</v>
      </c>
      <c r="P217" s="48"/>
      <c r="Q217" s="48">
        <v>696717</v>
      </c>
      <c r="R217" s="48"/>
      <c r="S217" s="48">
        <f t="shared" si="7"/>
        <v>54299528</v>
      </c>
      <c r="T217" s="44"/>
      <c r="U217" s="48">
        <v>2850635</v>
      </c>
      <c r="W217" s="44">
        <f>+S217-'Stmt net assets'!O217-U217</f>
        <v>0</v>
      </c>
    </row>
    <row r="218" spans="1:25" s="65" customFormat="1" ht="12.75" customHeight="1" x14ac:dyDescent="0.2">
      <c r="A218" s="35" t="s">
        <v>243</v>
      </c>
      <c r="C218" s="35" t="s">
        <v>163</v>
      </c>
      <c r="D218" s="35"/>
      <c r="E218" s="48">
        <v>23120000</v>
      </c>
      <c r="F218" s="48"/>
      <c r="G218" s="48">
        <v>0</v>
      </c>
      <c r="H218" s="48"/>
      <c r="I218" s="48">
        <v>172918</v>
      </c>
      <c r="J218" s="48"/>
      <c r="K218" s="48">
        <v>0</v>
      </c>
      <c r="L218" s="48"/>
      <c r="M218" s="48">
        <v>0</v>
      </c>
      <c r="N218" s="48"/>
      <c r="O218" s="48">
        <v>1250947</v>
      </c>
      <c r="P218" s="48"/>
      <c r="Q218" s="48">
        <v>0</v>
      </c>
      <c r="R218" s="48"/>
      <c r="S218" s="48">
        <f t="shared" ref="S218:S254" si="8">SUM(E218:Q218)</f>
        <v>24543865</v>
      </c>
      <c r="T218" s="44"/>
      <c r="U218" s="48">
        <v>1334422</v>
      </c>
      <c r="W218" s="44">
        <f>+S218-'Stmt net assets'!O218-U218</f>
        <v>0</v>
      </c>
    </row>
    <row r="219" spans="1:25" s="65" customFormat="1" ht="12.75" customHeight="1" x14ac:dyDescent="0.2">
      <c r="A219" s="35" t="s">
        <v>244</v>
      </c>
      <c r="B219" s="51"/>
      <c r="C219" s="35" t="s">
        <v>13</v>
      </c>
      <c r="D219" s="35"/>
      <c r="E219" s="48">
        <f>9957000+80479-24818-57925</f>
        <v>9954736</v>
      </c>
      <c r="F219" s="48"/>
      <c r="G219" s="48">
        <v>640000</v>
      </c>
      <c r="H219" s="48"/>
      <c r="I219" s="48">
        <v>0</v>
      </c>
      <c r="J219" s="48"/>
      <c r="K219" s="48">
        <v>0</v>
      </c>
      <c r="L219" s="48"/>
      <c r="M219" s="48">
        <v>134754</v>
      </c>
      <c r="N219" s="48"/>
      <c r="O219" s="48">
        <v>737396</v>
      </c>
      <c r="P219" s="48"/>
      <c r="Q219" s="48">
        <v>0</v>
      </c>
      <c r="R219" s="48"/>
      <c r="S219" s="48">
        <f t="shared" si="8"/>
        <v>11466886</v>
      </c>
      <c r="T219" s="44"/>
      <c r="U219" s="48">
        <v>854881</v>
      </c>
      <c r="W219" s="44">
        <f>+S219-'Stmt net assets'!O219-U219</f>
        <v>0</v>
      </c>
    </row>
    <row r="220" spans="1:25" s="65" customFormat="1" ht="12.75" customHeight="1" x14ac:dyDescent="0.2">
      <c r="A220" s="35" t="s">
        <v>341</v>
      </c>
      <c r="B220" s="51"/>
      <c r="C220" s="35" t="s">
        <v>110</v>
      </c>
      <c r="D220" s="35"/>
      <c r="E220" s="48">
        <f>2310000+43700</f>
        <v>2353700</v>
      </c>
      <c r="F220" s="48"/>
      <c r="G220" s="48">
        <v>310000</v>
      </c>
      <c r="H220" s="48"/>
      <c r="I220" s="48">
        <v>0</v>
      </c>
      <c r="J220" s="48"/>
      <c r="K220" s="48">
        <v>0</v>
      </c>
      <c r="L220" s="48"/>
      <c r="M220" s="48">
        <v>27177</v>
      </c>
      <c r="N220" s="48"/>
      <c r="O220" s="48">
        <v>1015668</v>
      </c>
      <c r="P220" s="48"/>
      <c r="Q220" s="48">
        <v>0</v>
      </c>
      <c r="R220" s="48"/>
      <c r="S220" s="48">
        <f t="shared" si="8"/>
        <v>3706545</v>
      </c>
      <c r="T220" s="44"/>
      <c r="U220" s="48">
        <v>577297</v>
      </c>
      <c r="W220" s="44">
        <f>+S220-'Stmt net assets'!O220-U220</f>
        <v>0</v>
      </c>
    </row>
    <row r="221" spans="1:25" s="65" customFormat="1" ht="12.75" customHeight="1" x14ac:dyDescent="0.2">
      <c r="A221" s="35" t="s">
        <v>246</v>
      </c>
      <c r="B221" s="51"/>
      <c r="C221" s="35" t="s">
        <v>209</v>
      </c>
      <c r="D221" s="35"/>
      <c r="E221" s="48">
        <v>2290000</v>
      </c>
      <c r="F221" s="48"/>
      <c r="G221" s="48">
        <v>675000</v>
      </c>
      <c r="H221" s="48"/>
      <c r="I221" s="48">
        <v>0</v>
      </c>
      <c r="J221" s="48"/>
      <c r="K221" s="48">
        <v>0</v>
      </c>
      <c r="L221" s="48"/>
      <c r="M221" s="48">
        <v>0</v>
      </c>
      <c r="N221" s="48"/>
      <c r="O221" s="48">
        <v>583393</v>
      </c>
      <c r="P221" s="48"/>
      <c r="Q221" s="48">
        <v>0</v>
      </c>
      <c r="R221" s="48"/>
      <c r="S221" s="48">
        <f t="shared" si="8"/>
        <v>3548393</v>
      </c>
      <c r="T221" s="44"/>
      <c r="U221" s="48">
        <v>1110930</v>
      </c>
      <c r="W221" s="44">
        <f>+S221-'Stmt net assets'!O221-U221</f>
        <v>0</v>
      </c>
    </row>
    <row r="222" spans="1:25" s="125" customFormat="1" ht="12.75" hidden="1" customHeight="1" x14ac:dyDescent="0.2">
      <c r="A222" s="126" t="s">
        <v>247</v>
      </c>
      <c r="C222" s="126" t="s">
        <v>163</v>
      </c>
      <c r="D222" s="126"/>
      <c r="E222" s="130">
        <f>99704000+125000</f>
        <v>99829000</v>
      </c>
      <c r="F222" s="130"/>
      <c r="G222" s="130">
        <v>0</v>
      </c>
      <c r="H222" s="130"/>
      <c r="I222" s="130">
        <v>0</v>
      </c>
      <c r="J222" s="130"/>
      <c r="K222" s="130">
        <f>5728000+5520000+4846000+2975000+12270000+13459000</f>
        <v>44798000</v>
      </c>
      <c r="L222" s="130"/>
      <c r="M222" s="130">
        <f>1215000+188000+953000+708000+150000</f>
        <v>3214000</v>
      </c>
      <c r="N222" s="130"/>
      <c r="O222" s="130">
        <v>30928000</v>
      </c>
      <c r="P222" s="130"/>
      <c r="Q222" s="130">
        <v>14719000</v>
      </c>
      <c r="R222" s="130"/>
      <c r="S222" s="130">
        <f t="shared" si="8"/>
        <v>193488000</v>
      </c>
      <c r="T222" s="121"/>
      <c r="U222" s="130">
        <v>19907000</v>
      </c>
      <c r="W222" s="121">
        <f>+S222-'Stmt net assets'!O222-U222</f>
        <v>-19600000</v>
      </c>
      <c r="Y222" s="122" t="s">
        <v>513</v>
      </c>
    </row>
    <row r="223" spans="1:25" s="65" customFormat="1" ht="12.75" customHeight="1" x14ac:dyDescent="0.2">
      <c r="A223" s="35" t="s">
        <v>248</v>
      </c>
      <c r="C223" s="35" t="s">
        <v>249</v>
      </c>
      <c r="D223" s="35"/>
      <c r="E223" s="48">
        <v>40000</v>
      </c>
      <c r="F223" s="48"/>
      <c r="G223" s="48">
        <v>0</v>
      </c>
      <c r="H223" s="48"/>
      <c r="I223" s="48">
        <v>0</v>
      </c>
      <c r="J223" s="48"/>
      <c r="K223" s="48">
        <f>654945+97241</f>
        <v>752186</v>
      </c>
      <c r="L223" s="48"/>
      <c r="M223" s="48">
        <v>0</v>
      </c>
      <c r="N223" s="48"/>
      <c r="O223" s="48">
        <v>409777</v>
      </c>
      <c r="P223" s="48"/>
      <c r="Q223" s="48">
        <v>0</v>
      </c>
      <c r="R223" s="48"/>
      <c r="S223" s="48">
        <f t="shared" si="8"/>
        <v>1201963</v>
      </c>
      <c r="T223" s="44"/>
      <c r="U223" s="48">
        <v>97118</v>
      </c>
      <c r="W223" s="44">
        <f>+S223-'Stmt net assets'!O223-U223</f>
        <v>0</v>
      </c>
    </row>
    <row r="224" spans="1:25" s="65" customFormat="1" ht="12.75" customHeight="1" x14ac:dyDescent="0.2">
      <c r="A224" s="35" t="s">
        <v>250</v>
      </c>
      <c r="B224" s="51"/>
      <c r="C224" s="35" t="s">
        <v>103</v>
      </c>
      <c r="D224" s="35"/>
      <c r="E224" s="48">
        <f>132671+34873</f>
        <v>167544</v>
      </c>
      <c r="F224" s="48"/>
      <c r="G224" s="48">
        <v>0</v>
      </c>
      <c r="H224" s="48"/>
      <c r="I224" s="48">
        <v>0</v>
      </c>
      <c r="J224" s="48"/>
      <c r="K224" s="48">
        <v>0</v>
      </c>
      <c r="L224" s="48"/>
      <c r="M224" s="48">
        <v>0</v>
      </c>
      <c r="N224" s="48"/>
      <c r="O224" s="48">
        <v>200893</v>
      </c>
      <c r="P224" s="48"/>
      <c r="Q224" s="48">
        <v>0</v>
      </c>
      <c r="R224" s="48"/>
      <c r="S224" s="48">
        <f t="shared" si="8"/>
        <v>368437</v>
      </c>
      <c r="T224" s="44"/>
      <c r="U224" s="48">
        <v>163441</v>
      </c>
      <c r="W224" s="44">
        <f>+S224-'Stmt net assets'!O224-U224</f>
        <v>0</v>
      </c>
    </row>
    <row r="225" spans="1:23" s="65" customFormat="1" ht="12.75" customHeight="1" x14ac:dyDescent="0.2">
      <c r="A225" s="35" t="s">
        <v>251</v>
      </c>
      <c r="B225" s="51"/>
      <c r="C225" s="35" t="s">
        <v>66</v>
      </c>
      <c r="D225" s="35"/>
      <c r="E225" s="48">
        <f>2385000+4355000+7865000+421940</f>
        <v>15026940</v>
      </c>
      <c r="F225" s="48"/>
      <c r="G225" s="48">
        <v>0</v>
      </c>
      <c r="H225" s="48"/>
      <c r="I225" s="48">
        <v>0</v>
      </c>
      <c r="J225" s="48"/>
      <c r="K225" s="48">
        <v>0</v>
      </c>
      <c r="L225" s="48"/>
      <c r="M225" s="48">
        <v>949802</v>
      </c>
      <c r="N225" s="48"/>
      <c r="O225" s="48">
        <v>783710</v>
      </c>
      <c r="P225" s="48"/>
      <c r="Q225" s="48">
        <v>0</v>
      </c>
      <c r="R225" s="48"/>
      <c r="S225" s="48">
        <f t="shared" si="8"/>
        <v>16760452</v>
      </c>
      <c r="T225" s="44"/>
      <c r="U225" s="48">
        <v>1379437</v>
      </c>
      <c r="W225" s="44">
        <f>+S225-'Stmt net assets'!O225-U225</f>
        <v>0</v>
      </c>
    </row>
    <row r="226" spans="1:23" s="65" customFormat="1" ht="12.75" customHeight="1" x14ac:dyDescent="0.2">
      <c r="A226" s="35" t="s">
        <v>252</v>
      </c>
      <c r="B226" s="51"/>
      <c r="C226" s="35" t="s">
        <v>209</v>
      </c>
      <c r="D226" s="35"/>
      <c r="E226" s="48">
        <v>9187852</v>
      </c>
      <c r="F226" s="48"/>
      <c r="G226" s="48">
        <v>0</v>
      </c>
      <c r="H226" s="48"/>
      <c r="I226" s="48">
        <v>0</v>
      </c>
      <c r="J226" s="48"/>
      <c r="K226" s="48">
        <v>0</v>
      </c>
      <c r="L226" s="48"/>
      <c r="M226" s="48">
        <v>0</v>
      </c>
      <c r="N226" s="48"/>
      <c r="O226" s="48">
        <v>1902376</v>
      </c>
      <c r="P226" s="48"/>
      <c r="Q226" s="48">
        <v>0</v>
      </c>
      <c r="R226" s="48"/>
      <c r="S226" s="48">
        <f t="shared" si="8"/>
        <v>11090228</v>
      </c>
      <c r="T226" s="44"/>
      <c r="U226" s="48">
        <v>1080055</v>
      </c>
      <c r="W226" s="44">
        <f>+S226-'Stmt net assets'!O226-U226</f>
        <v>0</v>
      </c>
    </row>
    <row r="227" spans="1:23" s="65" customFormat="1" ht="12.75" customHeight="1" x14ac:dyDescent="0.2">
      <c r="A227" s="35" t="s">
        <v>253</v>
      </c>
      <c r="B227" s="51"/>
      <c r="C227" s="35" t="s">
        <v>13</v>
      </c>
      <c r="D227" s="35"/>
      <c r="E227" s="48">
        <v>11623452</v>
      </c>
      <c r="F227" s="48"/>
      <c r="G227" s="48">
        <v>256000</v>
      </c>
      <c r="H227" s="48"/>
      <c r="I227" s="48">
        <v>0</v>
      </c>
      <c r="J227" s="48"/>
      <c r="K227" s="48">
        <f>795000+656964+342965+343808+824256</f>
        <v>2962993</v>
      </c>
      <c r="L227" s="48"/>
      <c r="M227" s="48">
        <v>54904</v>
      </c>
      <c r="N227" s="48"/>
      <c r="O227" s="48">
        <v>1593122</v>
      </c>
      <c r="P227" s="48"/>
      <c r="Q227" s="48">
        <v>0</v>
      </c>
      <c r="R227" s="48"/>
      <c r="S227" s="48">
        <f t="shared" si="8"/>
        <v>16490471</v>
      </c>
      <c r="T227" s="44"/>
      <c r="U227" s="48">
        <v>1977957</v>
      </c>
      <c r="W227" s="44">
        <f>+S227-'Stmt net assets'!O227-U227</f>
        <v>0</v>
      </c>
    </row>
    <row r="228" spans="1:23" s="65" customFormat="1" ht="12" customHeight="1" x14ac:dyDescent="0.2">
      <c r="A228" s="35" t="s">
        <v>254</v>
      </c>
      <c r="B228" s="51"/>
      <c r="C228" s="35" t="s">
        <v>89</v>
      </c>
      <c r="D228" s="35"/>
      <c r="E228" s="48">
        <v>0</v>
      </c>
      <c r="F228" s="48"/>
      <c r="G228" s="48">
        <v>0</v>
      </c>
      <c r="H228" s="48"/>
      <c r="I228" s="48">
        <v>0</v>
      </c>
      <c r="J228" s="48"/>
      <c r="K228" s="48">
        <f>240000+578893+280580+263152+90250+138397+75000</f>
        <v>1666272</v>
      </c>
      <c r="L228" s="48"/>
      <c r="M228" s="48">
        <v>585444</v>
      </c>
      <c r="N228" s="48"/>
      <c r="O228" s="48">
        <v>214793</v>
      </c>
      <c r="P228" s="48"/>
      <c r="Q228" s="48">
        <v>282993</v>
      </c>
      <c r="R228" s="48"/>
      <c r="S228" s="48">
        <f t="shared" si="8"/>
        <v>2749502</v>
      </c>
      <c r="T228" s="44"/>
      <c r="U228" s="48">
        <v>301193</v>
      </c>
      <c r="W228" s="44">
        <f>+S228-'Stmt net assets'!O228-U228</f>
        <v>0</v>
      </c>
    </row>
    <row r="229" spans="1:23" s="65" customFormat="1" ht="12.75" customHeight="1" x14ac:dyDescent="0.2">
      <c r="A229" s="35" t="s">
        <v>159</v>
      </c>
      <c r="C229" s="35" t="s">
        <v>66</v>
      </c>
      <c r="D229" s="35"/>
      <c r="E229" s="48">
        <v>1144250</v>
      </c>
      <c r="F229" s="48"/>
      <c r="G229" s="48">
        <v>0</v>
      </c>
      <c r="H229" s="48"/>
      <c r="I229" s="48">
        <v>0</v>
      </c>
      <c r="J229" s="48"/>
      <c r="K229" s="48">
        <v>0</v>
      </c>
      <c r="L229" s="48"/>
      <c r="M229" s="48">
        <v>235515</v>
      </c>
      <c r="N229" s="48"/>
      <c r="O229" s="48">
        <v>75289</v>
      </c>
      <c r="P229" s="48"/>
      <c r="Q229" s="48">
        <v>0</v>
      </c>
      <c r="R229" s="48"/>
      <c r="S229" s="48">
        <f t="shared" si="8"/>
        <v>1455054</v>
      </c>
      <c r="T229" s="44"/>
      <c r="U229" s="48">
        <v>116340</v>
      </c>
      <c r="W229" s="44">
        <f>+S229-'Stmt net assets'!O229-U229</f>
        <v>0</v>
      </c>
    </row>
    <row r="230" spans="1:23" s="65" customFormat="1" ht="12.75" customHeight="1" x14ac:dyDescent="0.2">
      <c r="A230" s="35" t="s">
        <v>255</v>
      </c>
      <c r="B230" s="51"/>
      <c r="C230" s="35" t="s">
        <v>27</v>
      </c>
      <c r="D230" s="35"/>
      <c r="E230" s="48">
        <v>405000</v>
      </c>
      <c r="F230" s="48"/>
      <c r="G230" s="48">
        <v>0</v>
      </c>
      <c r="H230" s="48"/>
      <c r="I230" s="48">
        <v>2716000</v>
      </c>
      <c r="J230" s="48"/>
      <c r="K230" s="48">
        <v>386415</v>
      </c>
      <c r="L230" s="48"/>
      <c r="M230" s="48">
        <v>179925</v>
      </c>
      <c r="N230" s="48"/>
      <c r="O230" s="48">
        <v>1330571</v>
      </c>
      <c r="P230" s="48"/>
      <c r="Q230" s="48">
        <v>266021</v>
      </c>
      <c r="R230" s="48"/>
      <c r="S230" s="48">
        <f t="shared" si="8"/>
        <v>5283932</v>
      </c>
      <c r="T230" s="44"/>
      <c r="U230" s="48">
        <v>3611388</v>
      </c>
      <c r="W230" s="44">
        <f>+S230-'Stmt net assets'!O230-U230</f>
        <v>0</v>
      </c>
    </row>
    <row r="231" spans="1:23" s="65" customFormat="1" ht="12.75" customHeight="1" x14ac:dyDescent="0.2">
      <c r="A231" s="35" t="s">
        <v>256</v>
      </c>
      <c r="C231" s="35" t="s">
        <v>43</v>
      </c>
      <c r="D231" s="35"/>
      <c r="E231" s="48">
        <v>41793533</v>
      </c>
      <c r="F231" s="48"/>
      <c r="G231" s="48">
        <v>0</v>
      </c>
      <c r="H231" s="48"/>
      <c r="I231" s="48">
        <v>0</v>
      </c>
      <c r="J231" s="48"/>
      <c r="K231" s="48">
        <v>0</v>
      </c>
      <c r="L231" s="48"/>
      <c r="M231" s="48">
        <v>0</v>
      </c>
      <c r="N231" s="48"/>
      <c r="O231" s="48">
        <v>2687205</v>
      </c>
      <c r="P231" s="48"/>
      <c r="Q231" s="48">
        <v>0</v>
      </c>
      <c r="R231" s="48"/>
      <c r="S231" s="48">
        <f t="shared" si="8"/>
        <v>44480738</v>
      </c>
      <c r="T231" s="44"/>
      <c r="U231" s="48">
        <v>4125137</v>
      </c>
      <c r="W231" s="44">
        <f>+S231-'Stmt net assets'!O231-U231</f>
        <v>0</v>
      </c>
    </row>
    <row r="232" spans="1:23" s="65" customFormat="1" ht="12.75" customHeight="1" x14ac:dyDescent="0.2">
      <c r="A232" s="35"/>
      <c r="B232" s="51"/>
      <c r="C232" s="35"/>
      <c r="D232" s="35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4"/>
      <c r="U232" s="48" t="s">
        <v>484</v>
      </c>
      <c r="W232" s="44"/>
    </row>
    <row r="233" spans="1:23" s="65" customFormat="1" ht="12.75" customHeight="1" x14ac:dyDescent="0.2">
      <c r="A233" s="35" t="s">
        <v>257</v>
      </c>
      <c r="B233" s="51"/>
      <c r="C233" s="35" t="s">
        <v>258</v>
      </c>
      <c r="D233" s="35"/>
      <c r="E233" s="68">
        <v>417000</v>
      </c>
      <c r="F233" s="68"/>
      <c r="G233" s="68">
        <v>0</v>
      </c>
      <c r="H233" s="68"/>
      <c r="I233" s="68">
        <v>0</v>
      </c>
      <c r="J233" s="68"/>
      <c r="K233" s="68">
        <f>4796049+548192</f>
        <v>5344241</v>
      </c>
      <c r="L233" s="68"/>
      <c r="M233" s="68">
        <v>44266</v>
      </c>
      <c r="N233" s="68"/>
      <c r="O233" s="68">
        <v>135422</v>
      </c>
      <c r="P233" s="68"/>
      <c r="Q233" s="68">
        <v>0</v>
      </c>
      <c r="R233" s="68"/>
      <c r="S233" s="68">
        <f t="shared" si="8"/>
        <v>5940929</v>
      </c>
      <c r="T233" s="46"/>
      <c r="U233" s="68">
        <v>625616</v>
      </c>
      <c r="W233" s="44">
        <f>+S233-'Stmt net assets'!O233-U233</f>
        <v>0</v>
      </c>
    </row>
    <row r="234" spans="1:23" s="65" customFormat="1" ht="12.75" customHeight="1" x14ac:dyDescent="0.2">
      <c r="A234" s="35" t="s">
        <v>259</v>
      </c>
      <c r="B234" s="51"/>
      <c r="C234" s="35" t="s">
        <v>369</v>
      </c>
      <c r="D234" s="35"/>
      <c r="E234" s="48">
        <v>2758360</v>
      </c>
      <c r="F234" s="48"/>
      <c r="G234" s="48">
        <v>0</v>
      </c>
      <c r="H234" s="48"/>
      <c r="I234" s="48">
        <v>0</v>
      </c>
      <c r="J234" s="48"/>
      <c r="K234" s="48">
        <v>0</v>
      </c>
      <c r="L234" s="48"/>
      <c r="M234" s="48">
        <v>0</v>
      </c>
      <c r="N234" s="48"/>
      <c r="O234" s="48">
        <v>872938</v>
      </c>
      <c r="P234" s="48"/>
      <c r="Q234" s="48">
        <f>1092591+246253</f>
        <v>1338844</v>
      </c>
      <c r="R234" s="48"/>
      <c r="S234" s="48">
        <f t="shared" si="8"/>
        <v>4970142</v>
      </c>
      <c r="T234" s="44"/>
      <c r="U234" s="48">
        <v>863618</v>
      </c>
      <c r="W234" s="44">
        <f>+S234-'Stmt net assets'!O234-U234</f>
        <v>0</v>
      </c>
    </row>
    <row r="235" spans="1:23" s="65" customFormat="1" ht="12.75" customHeight="1" x14ac:dyDescent="0.2">
      <c r="A235" s="35" t="s">
        <v>261</v>
      </c>
      <c r="C235" s="35" t="s">
        <v>66</v>
      </c>
      <c r="D235" s="35"/>
      <c r="E235" s="48">
        <v>11420417</v>
      </c>
      <c r="F235" s="48"/>
      <c r="G235" s="48">
        <v>0</v>
      </c>
      <c r="H235" s="48"/>
      <c r="I235" s="48">
        <v>0</v>
      </c>
      <c r="J235" s="48"/>
      <c r="K235" s="48">
        <v>0</v>
      </c>
      <c r="L235" s="48"/>
      <c r="M235" s="48">
        <v>473832</v>
      </c>
      <c r="N235" s="48"/>
      <c r="O235" s="48">
        <v>1521324</v>
      </c>
      <c r="P235" s="48"/>
      <c r="Q235" s="48">
        <v>0</v>
      </c>
      <c r="R235" s="48"/>
      <c r="S235" s="48">
        <f t="shared" si="8"/>
        <v>13415573</v>
      </c>
      <c r="T235" s="44"/>
      <c r="U235" s="48">
        <v>1817179</v>
      </c>
      <c r="W235" s="44">
        <f>+S235-'Stmt net assets'!O235-U235</f>
        <v>0</v>
      </c>
    </row>
    <row r="236" spans="1:23" s="65" customFormat="1" ht="12.75" customHeight="1" x14ac:dyDescent="0.2">
      <c r="A236" s="35" t="s">
        <v>262</v>
      </c>
      <c r="C236" s="35" t="s">
        <v>132</v>
      </c>
      <c r="D236" s="35"/>
      <c r="E236" s="48">
        <v>794720</v>
      </c>
      <c r="F236" s="48"/>
      <c r="G236" s="48">
        <v>321280</v>
      </c>
      <c r="H236" s="48"/>
      <c r="I236" s="48">
        <v>2792000</v>
      </c>
      <c r="J236" s="48"/>
      <c r="K236" s="48">
        <v>779269</v>
      </c>
      <c r="L236" s="48"/>
      <c r="M236" s="48">
        <v>105294</v>
      </c>
      <c r="N236" s="48"/>
      <c r="O236" s="48">
        <v>412667</v>
      </c>
      <c r="P236" s="48"/>
      <c r="Q236" s="48">
        <f>64145+37598</f>
        <v>101743</v>
      </c>
      <c r="R236" s="48"/>
      <c r="S236" s="48">
        <f t="shared" si="8"/>
        <v>5306973</v>
      </c>
      <c r="T236" s="44"/>
      <c r="U236" s="48">
        <v>3176001</v>
      </c>
      <c r="W236" s="44">
        <f>+S236-'Stmt net assets'!O236-U236</f>
        <v>0</v>
      </c>
    </row>
    <row r="237" spans="1:23" s="65" customFormat="1" ht="12.75" customHeight="1" x14ac:dyDescent="0.2">
      <c r="A237" s="44" t="s">
        <v>512</v>
      </c>
      <c r="B237" s="47"/>
      <c r="C237" s="44" t="s">
        <v>45</v>
      </c>
      <c r="D237" s="35"/>
      <c r="E237" s="48">
        <v>2800175</v>
      </c>
      <c r="F237" s="48"/>
      <c r="G237" s="48">
        <v>0</v>
      </c>
      <c r="H237" s="48"/>
      <c r="I237" s="48">
        <v>0</v>
      </c>
      <c r="J237" s="48"/>
      <c r="K237" s="48">
        <v>0</v>
      </c>
      <c r="L237" s="48"/>
      <c r="M237" s="48">
        <v>0</v>
      </c>
      <c r="N237" s="48"/>
      <c r="O237" s="48">
        <v>1610821</v>
      </c>
      <c r="P237" s="48"/>
      <c r="Q237" s="48">
        <v>0</v>
      </c>
      <c r="R237" s="48"/>
      <c r="S237" s="48">
        <f t="shared" si="8"/>
        <v>4410996</v>
      </c>
      <c r="T237" s="44"/>
      <c r="U237" s="48">
        <v>1005061</v>
      </c>
      <c r="W237" s="44">
        <f>+S237-'Stmt net assets'!O237-U237</f>
        <v>0</v>
      </c>
    </row>
    <row r="238" spans="1:23" s="65" customFormat="1" ht="12.75" customHeight="1" x14ac:dyDescent="0.2">
      <c r="A238" s="35" t="s">
        <v>263</v>
      </c>
      <c r="B238" s="51"/>
      <c r="C238" s="35" t="s">
        <v>53</v>
      </c>
      <c r="D238" s="35"/>
      <c r="E238" s="48">
        <f>55000+872+65000+1071+505000+8369-103548</f>
        <v>531764</v>
      </c>
      <c r="F238" s="48"/>
      <c r="G238" s="48">
        <v>0</v>
      </c>
      <c r="H238" s="48"/>
      <c r="I238" s="48">
        <v>0</v>
      </c>
      <c r="J238" s="48"/>
      <c r="K238" s="48">
        <v>0</v>
      </c>
      <c r="L238" s="48"/>
      <c r="M238" s="48">
        <v>0</v>
      </c>
      <c r="N238" s="48"/>
      <c r="O238" s="48">
        <v>3091273</v>
      </c>
      <c r="P238" s="48"/>
      <c r="Q238" s="48">
        <f>92050+18290000</f>
        <v>18382050</v>
      </c>
      <c r="R238" s="48"/>
      <c r="S238" s="48">
        <f t="shared" si="8"/>
        <v>22005087</v>
      </c>
      <c r="T238" s="44"/>
      <c r="U238" s="48">
        <v>1132204</v>
      </c>
      <c r="W238" s="44">
        <f>+S238-'Stmt net assets'!O238-U238</f>
        <v>0</v>
      </c>
    </row>
    <row r="239" spans="1:23" s="65" customFormat="1" ht="12.75" customHeight="1" x14ac:dyDescent="0.2">
      <c r="A239" s="35" t="s">
        <v>264</v>
      </c>
      <c r="B239" s="51"/>
      <c r="C239" s="35" t="s">
        <v>239</v>
      </c>
      <c r="D239" s="35"/>
      <c r="E239" s="48">
        <v>429106</v>
      </c>
      <c r="F239" s="48"/>
      <c r="G239" s="48">
        <v>0</v>
      </c>
      <c r="H239" s="48"/>
      <c r="I239" s="48">
        <v>0</v>
      </c>
      <c r="J239" s="48"/>
      <c r="K239" s="48">
        <f>44809+281121</f>
        <v>325930</v>
      </c>
      <c r="L239" s="48"/>
      <c r="M239" s="48">
        <v>0</v>
      </c>
      <c r="N239" s="48"/>
      <c r="O239" s="48">
        <v>483203</v>
      </c>
      <c r="P239" s="48"/>
      <c r="Q239" s="48">
        <v>0</v>
      </c>
      <c r="R239" s="48"/>
      <c r="S239" s="48">
        <f t="shared" si="8"/>
        <v>1238239</v>
      </c>
      <c r="T239" s="44"/>
      <c r="U239" s="48">
        <v>372346</v>
      </c>
      <c r="W239" s="44">
        <f>+S239-'Stmt net assets'!O239-U239</f>
        <v>0</v>
      </c>
    </row>
    <row r="240" spans="1:23" s="65" customFormat="1" ht="12.75" customHeight="1" x14ac:dyDescent="0.2">
      <c r="A240" s="35" t="s">
        <v>111</v>
      </c>
      <c r="B240" s="51"/>
      <c r="C240" s="35" t="s">
        <v>80</v>
      </c>
      <c r="D240" s="35"/>
      <c r="E240" s="48">
        <f>1524500+8591-58795</f>
        <v>1474296</v>
      </c>
      <c r="F240" s="48"/>
      <c r="G240" s="48">
        <v>0</v>
      </c>
      <c r="H240" s="48"/>
      <c r="I240" s="48">
        <v>53928</v>
      </c>
      <c r="J240" s="48"/>
      <c r="K240" s="48">
        <f>450000+1405000+205251</f>
        <v>2060251</v>
      </c>
      <c r="L240" s="48"/>
      <c r="M240" s="48">
        <v>119660</v>
      </c>
      <c r="N240" s="48"/>
      <c r="O240" s="48">
        <v>5056393</v>
      </c>
      <c r="P240" s="48"/>
      <c r="Q240" s="48">
        <f>2132701+713804+2515380</f>
        <v>5361885</v>
      </c>
      <c r="R240" s="48"/>
      <c r="S240" s="48">
        <f t="shared" si="8"/>
        <v>14126413</v>
      </c>
      <c r="T240" s="44"/>
      <c r="U240" s="48">
        <v>3185784</v>
      </c>
      <c r="W240" s="44">
        <f>+S240-'Stmt net assets'!O240-U240</f>
        <v>0</v>
      </c>
    </row>
    <row r="241" spans="1:23" s="65" customFormat="1" ht="12.75" customHeight="1" x14ac:dyDescent="0.2">
      <c r="A241" s="35" t="s">
        <v>265</v>
      </c>
      <c r="B241" s="51"/>
      <c r="C241" s="35" t="s">
        <v>27</v>
      </c>
      <c r="D241" s="35"/>
      <c r="E241" s="48">
        <v>658572</v>
      </c>
      <c r="F241" s="48"/>
      <c r="G241" s="48">
        <v>55000</v>
      </c>
      <c r="H241" s="48"/>
      <c r="I241" s="48">
        <v>8680060</v>
      </c>
      <c r="J241" s="48"/>
      <c r="K241" s="48">
        <v>0</v>
      </c>
      <c r="L241" s="48"/>
      <c r="M241" s="48">
        <v>720684</v>
      </c>
      <c r="N241" s="48"/>
      <c r="O241" s="48">
        <v>2042260</v>
      </c>
      <c r="P241" s="48"/>
      <c r="Q241" s="48">
        <f>11215829+188272+791316</f>
        <v>12195417</v>
      </c>
      <c r="R241" s="48"/>
      <c r="S241" s="48">
        <f t="shared" si="8"/>
        <v>24351993</v>
      </c>
      <c r="T241" s="44"/>
      <c r="U241" s="48">
        <v>12940758</v>
      </c>
      <c r="W241" s="44">
        <f>+S241-'Stmt net assets'!O241-U241</f>
        <v>0</v>
      </c>
    </row>
    <row r="242" spans="1:23" s="65" customFormat="1" ht="12.75" customHeight="1" x14ac:dyDescent="0.2">
      <c r="A242" s="35" t="s">
        <v>514</v>
      </c>
      <c r="B242" s="51"/>
      <c r="C242" s="47" t="s">
        <v>451</v>
      </c>
      <c r="D242" s="35"/>
      <c r="E242" s="48">
        <f>15138276-440116-220309-938193</f>
        <v>13539658</v>
      </c>
      <c r="F242" s="48"/>
      <c r="G242" s="48">
        <v>0</v>
      </c>
      <c r="H242" s="48"/>
      <c r="I242" s="48">
        <v>0</v>
      </c>
      <c r="J242" s="48"/>
      <c r="K242" s="48">
        <v>220309</v>
      </c>
      <c r="L242" s="48"/>
      <c r="M242" s="48">
        <v>440116</v>
      </c>
      <c r="N242" s="48"/>
      <c r="O242" s="48">
        <v>938193</v>
      </c>
      <c r="P242" s="48"/>
      <c r="Q242" s="48">
        <v>0</v>
      </c>
      <c r="R242" s="48"/>
      <c r="S242" s="48">
        <f t="shared" si="8"/>
        <v>15138276</v>
      </c>
      <c r="T242" s="44"/>
      <c r="U242" s="48">
        <v>911887</v>
      </c>
      <c r="W242" s="44">
        <f>+S242-'Stmt net assets'!O242-U242</f>
        <v>0</v>
      </c>
    </row>
    <row r="243" spans="1:23" s="65" customFormat="1" ht="12.75" customHeight="1" x14ac:dyDescent="0.2">
      <c r="A243" s="44" t="s">
        <v>515</v>
      </c>
      <c r="B243" s="47"/>
      <c r="C243" s="44" t="s">
        <v>163</v>
      </c>
      <c r="D243" s="35"/>
      <c r="E243" s="48">
        <v>1500000</v>
      </c>
      <c r="F243" s="48"/>
      <c r="G243" s="48">
        <v>0</v>
      </c>
      <c r="H243" s="48"/>
      <c r="I243" s="48">
        <v>2352821</v>
      </c>
      <c r="J243" s="48"/>
      <c r="K243" s="48">
        <v>289260</v>
      </c>
      <c r="L243" s="48"/>
      <c r="M243" s="48">
        <v>8448</v>
      </c>
      <c r="N243" s="48"/>
      <c r="O243" s="48">
        <v>177465</v>
      </c>
      <c r="P243" s="48"/>
      <c r="Q243" s="48">
        <v>0</v>
      </c>
      <c r="R243" s="48"/>
      <c r="S243" s="48">
        <f t="shared" si="8"/>
        <v>4327994</v>
      </c>
      <c r="T243" s="44"/>
      <c r="U243" s="48">
        <v>2531039</v>
      </c>
      <c r="W243" s="44">
        <f>+S243-'Stmt net assets'!O243-U243</f>
        <v>0</v>
      </c>
    </row>
    <row r="244" spans="1:23" s="65" customFormat="1" ht="12.75" customHeight="1" x14ac:dyDescent="0.2">
      <c r="A244" s="35" t="s">
        <v>266</v>
      </c>
      <c r="B244" s="51"/>
      <c r="C244" s="35" t="s">
        <v>267</v>
      </c>
      <c r="D244" s="35"/>
      <c r="E244" s="48">
        <v>2845000</v>
      </c>
      <c r="F244" s="48"/>
      <c r="G244" s="48">
        <v>0</v>
      </c>
      <c r="H244" s="48"/>
      <c r="I244" s="48">
        <v>0</v>
      </c>
      <c r="J244" s="48"/>
      <c r="K244" s="48">
        <v>0</v>
      </c>
      <c r="L244" s="48"/>
      <c r="M244" s="48">
        <v>35000</v>
      </c>
      <c r="N244" s="48"/>
      <c r="O244" s="48">
        <v>333214</v>
      </c>
      <c r="P244" s="48"/>
      <c r="Q244" s="48">
        <v>0</v>
      </c>
      <c r="R244" s="48"/>
      <c r="S244" s="48">
        <f t="shared" si="8"/>
        <v>3213214</v>
      </c>
      <c r="T244" s="44"/>
      <c r="U244" s="48">
        <v>291986</v>
      </c>
      <c r="W244" s="44">
        <f>+S244-'Stmt net assets'!O244-U244</f>
        <v>0</v>
      </c>
    </row>
    <row r="245" spans="1:23" s="65" customFormat="1" ht="12.75" customHeight="1" x14ac:dyDescent="0.2">
      <c r="A245" s="64" t="s">
        <v>268</v>
      </c>
      <c r="B245" s="66"/>
      <c r="C245" s="64" t="s">
        <v>269</v>
      </c>
      <c r="D245" s="64"/>
      <c r="E245" s="48">
        <v>0</v>
      </c>
      <c r="F245" s="48"/>
      <c r="G245" s="48">
        <v>0</v>
      </c>
      <c r="H245" s="48"/>
      <c r="I245" s="48">
        <f>98246+366685+113260+41817</f>
        <v>620008</v>
      </c>
      <c r="J245" s="48"/>
      <c r="K245" s="48">
        <f>13498+31730+91667</f>
        <v>136895</v>
      </c>
      <c r="L245" s="48"/>
      <c r="M245" s="48">
        <v>0</v>
      </c>
      <c r="N245" s="48"/>
      <c r="O245" s="48">
        <v>0</v>
      </c>
      <c r="P245" s="48"/>
      <c r="Q245" s="48">
        <v>55526</v>
      </c>
      <c r="R245" s="48"/>
      <c r="S245" s="48">
        <f t="shared" si="8"/>
        <v>812429</v>
      </c>
      <c r="T245" s="44"/>
      <c r="U245" s="48">
        <v>644471</v>
      </c>
      <c r="W245" s="44">
        <f>+S245-'Stmt net assets'!O245-U245</f>
        <v>0</v>
      </c>
    </row>
    <row r="246" spans="1:23" s="65" customFormat="1" ht="12.75" customHeight="1" x14ac:dyDescent="0.2">
      <c r="A246" s="35" t="s">
        <v>270</v>
      </c>
      <c r="B246" s="51"/>
      <c r="C246" s="35" t="s">
        <v>136</v>
      </c>
      <c r="D246" s="35"/>
      <c r="E246" s="48">
        <v>0</v>
      </c>
      <c r="F246" s="48"/>
      <c r="G246" s="48">
        <v>0</v>
      </c>
      <c r="H246" s="48"/>
      <c r="I246" s="48">
        <v>0</v>
      </c>
      <c r="J246" s="48"/>
      <c r="K246" s="48">
        <v>152652</v>
      </c>
      <c r="L246" s="48"/>
      <c r="M246" s="48">
        <v>0</v>
      </c>
      <c r="N246" s="48"/>
      <c r="O246" s="48">
        <v>75547</v>
      </c>
      <c r="P246" s="48"/>
      <c r="Q246" s="48">
        <v>0</v>
      </c>
      <c r="R246" s="48"/>
      <c r="S246" s="48">
        <f t="shared" si="8"/>
        <v>228199</v>
      </c>
      <c r="T246" s="44"/>
      <c r="U246" s="48">
        <v>58634</v>
      </c>
      <c r="W246" s="44">
        <f>+S246-'Stmt net assets'!O246-U246</f>
        <v>0</v>
      </c>
    </row>
    <row r="247" spans="1:23" s="65" customFormat="1" ht="12.75" customHeight="1" x14ac:dyDescent="0.2">
      <c r="A247" s="35" t="s">
        <v>271</v>
      </c>
      <c r="B247" s="51"/>
      <c r="C247" s="35" t="s">
        <v>66</v>
      </c>
      <c r="D247" s="35"/>
      <c r="E247" s="48">
        <v>2890000</v>
      </c>
      <c r="F247" s="48"/>
      <c r="G247" s="48">
        <v>0</v>
      </c>
      <c r="H247" s="48"/>
      <c r="I247" s="48">
        <v>0</v>
      </c>
      <c r="J247" s="48"/>
      <c r="K247" s="48">
        <f>15000+85998+277874+2700</f>
        <v>381572</v>
      </c>
      <c r="L247" s="48"/>
      <c r="M247" s="48">
        <v>0</v>
      </c>
      <c r="N247" s="48"/>
      <c r="O247" s="48">
        <v>882581</v>
      </c>
      <c r="P247" s="48"/>
      <c r="Q247" s="48">
        <v>0</v>
      </c>
      <c r="R247" s="48"/>
      <c r="S247" s="48">
        <f t="shared" si="8"/>
        <v>4154153</v>
      </c>
      <c r="T247" s="44"/>
      <c r="U247" s="48">
        <v>786805</v>
      </c>
      <c r="W247" s="44">
        <f>+S247-'Stmt net assets'!O247-U247</f>
        <v>0</v>
      </c>
    </row>
    <row r="248" spans="1:23" s="65" customFormat="1" ht="12.75" customHeight="1" x14ac:dyDescent="0.2">
      <c r="A248" s="35" t="s">
        <v>272</v>
      </c>
      <c r="B248" s="51"/>
      <c r="C248" s="35" t="s">
        <v>43</v>
      </c>
      <c r="D248" s="35"/>
      <c r="E248" s="48">
        <v>30140774</v>
      </c>
      <c r="F248" s="48"/>
      <c r="G248" s="48">
        <v>0</v>
      </c>
      <c r="H248" s="48"/>
      <c r="I248" s="48">
        <v>0</v>
      </c>
      <c r="J248" s="48"/>
      <c r="K248" s="48">
        <v>1417199</v>
      </c>
      <c r="L248" s="48"/>
      <c r="M248" s="48">
        <v>0</v>
      </c>
      <c r="N248" s="48"/>
      <c r="O248" s="48">
        <v>3449769</v>
      </c>
      <c r="P248" s="48"/>
      <c r="Q248" s="48">
        <v>18964</v>
      </c>
      <c r="R248" s="48"/>
      <c r="S248" s="48">
        <f t="shared" si="8"/>
        <v>35026706</v>
      </c>
      <c r="T248" s="44"/>
      <c r="U248" s="48">
        <v>5004473</v>
      </c>
      <c r="W248" s="44">
        <f>+S248-'Stmt net assets'!O248-U248</f>
        <v>0</v>
      </c>
    </row>
    <row r="249" spans="1:23" s="66" customFormat="1" ht="12.75" customHeight="1" x14ac:dyDescent="0.2">
      <c r="A249" s="35" t="s">
        <v>273</v>
      </c>
      <c r="B249" s="51"/>
      <c r="C249" s="35" t="s">
        <v>27</v>
      </c>
      <c r="D249" s="35"/>
      <c r="E249" s="48">
        <v>16253598</v>
      </c>
      <c r="F249" s="48"/>
      <c r="G249" s="48">
        <v>4442359</v>
      </c>
      <c r="H249" s="48"/>
      <c r="I249" s="48">
        <v>0</v>
      </c>
      <c r="J249" s="48"/>
      <c r="K249" s="48">
        <v>564950</v>
      </c>
      <c r="L249" s="48"/>
      <c r="M249" s="48">
        <v>10918</v>
      </c>
      <c r="N249" s="48"/>
      <c r="O249" s="48">
        <v>5635138</v>
      </c>
      <c r="P249" s="48"/>
      <c r="Q249" s="48">
        <v>560162</v>
      </c>
      <c r="R249" s="48"/>
      <c r="S249" s="48">
        <f t="shared" si="8"/>
        <v>27467125</v>
      </c>
      <c r="T249" s="44"/>
      <c r="U249" s="48">
        <v>2743451</v>
      </c>
      <c r="V249" s="65"/>
      <c r="W249" s="44">
        <f>+S249-'Stmt net assets'!O249-U249</f>
        <v>0</v>
      </c>
    </row>
    <row r="250" spans="1:23" s="65" customFormat="1" ht="12.75" customHeight="1" x14ac:dyDescent="0.2">
      <c r="A250" s="35" t="s">
        <v>274</v>
      </c>
      <c r="B250" s="51"/>
      <c r="C250" s="35" t="s">
        <v>43</v>
      </c>
      <c r="D250" s="35"/>
      <c r="E250" s="48">
        <f>1255000+4385-33879</f>
        <v>1225506</v>
      </c>
      <c r="F250" s="48"/>
      <c r="G250" s="48">
        <v>0</v>
      </c>
      <c r="H250" s="48"/>
      <c r="I250" s="48">
        <v>0</v>
      </c>
      <c r="J250" s="48"/>
      <c r="K250" s="48">
        <v>161376</v>
      </c>
      <c r="L250" s="48"/>
      <c r="M250" s="48">
        <v>28695</v>
      </c>
      <c r="N250" s="48"/>
      <c r="O250" s="48">
        <v>1739903</v>
      </c>
      <c r="P250" s="48"/>
      <c r="Q250" s="48">
        <v>58196</v>
      </c>
      <c r="R250" s="48"/>
      <c r="S250" s="48">
        <f t="shared" si="8"/>
        <v>3213676</v>
      </c>
      <c r="T250" s="44"/>
      <c r="U250" s="48">
        <v>1326282</v>
      </c>
      <c r="W250" s="44">
        <f>+S250-'Stmt net assets'!O250-U250</f>
        <v>0</v>
      </c>
    </row>
    <row r="251" spans="1:23" s="65" customFormat="1" ht="12.75" customHeight="1" x14ac:dyDescent="0.2">
      <c r="A251" s="35" t="s">
        <v>275</v>
      </c>
      <c r="B251" s="51"/>
      <c r="C251" s="35" t="s">
        <v>92</v>
      </c>
      <c r="D251" s="35"/>
      <c r="E251" s="48">
        <v>1925000</v>
      </c>
      <c r="F251" s="48"/>
      <c r="G251" s="48">
        <v>0</v>
      </c>
      <c r="H251" s="48"/>
      <c r="I251" s="48">
        <v>0</v>
      </c>
      <c r="J251" s="48"/>
      <c r="K251" s="48">
        <v>72097</v>
      </c>
      <c r="L251" s="48"/>
      <c r="M251" s="48">
        <v>0</v>
      </c>
      <c r="N251" s="48"/>
      <c r="O251" s="48">
        <v>1537148</v>
      </c>
      <c r="P251" s="48"/>
      <c r="Q251" s="48">
        <v>0</v>
      </c>
      <c r="R251" s="48"/>
      <c r="S251" s="48">
        <f t="shared" si="8"/>
        <v>3534245</v>
      </c>
      <c r="T251" s="44"/>
      <c r="U251" s="48">
        <v>231858</v>
      </c>
      <c r="W251" s="44">
        <f>+S251-'Stmt net assets'!O251-U251</f>
        <v>0</v>
      </c>
    </row>
    <row r="252" spans="1:23" s="65" customFormat="1" ht="12.75" customHeight="1" x14ac:dyDescent="0.2">
      <c r="A252" s="35" t="s">
        <v>276</v>
      </c>
      <c r="B252" s="51"/>
      <c r="C252" s="35" t="s">
        <v>38</v>
      </c>
      <c r="D252" s="35"/>
      <c r="E252" s="48">
        <v>770000</v>
      </c>
      <c r="F252" s="48"/>
      <c r="G252" s="48">
        <v>0</v>
      </c>
      <c r="H252" s="48"/>
      <c r="I252" s="48">
        <v>0</v>
      </c>
      <c r="J252" s="48"/>
      <c r="K252" s="48">
        <v>302526</v>
      </c>
      <c r="L252" s="48"/>
      <c r="M252" s="48">
        <v>0</v>
      </c>
      <c r="N252" s="48"/>
      <c r="O252" s="48">
        <v>289050</v>
      </c>
      <c r="P252" s="48"/>
      <c r="Q252" s="48">
        <v>0</v>
      </c>
      <c r="R252" s="48"/>
      <c r="S252" s="48">
        <f t="shared" si="8"/>
        <v>1361576</v>
      </c>
      <c r="T252" s="44"/>
      <c r="U252" s="48">
        <v>339955</v>
      </c>
      <c r="W252" s="44">
        <f>+S252-'Stmt net assets'!O252-U252</f>
        <v>0</v>
      </c>
    </row>
    <row r="253" spans="1:23" s="65" customFormat="1" ht="12.75" customHeight="1" x14ac:dyDescent="0.2">
      <c r="A253" s="35" t="s">
        <v>277</v>
      </c>
      <c r="B253" s="51"/>
      <c r="C253" s="35" t="s">
        <v>92</v>
      </c>
      <c r="D253" s="35"/>
      <c r="E253" s="48">
        <f>3967950+81550+905000+4495000</f>
        <v>9449500</v>
      </c>
      <c r="F253" s="48"/>
      <c r="G253" s="48">
        <v>170000</v>
      </c>
      <c r="H253" s="48"/>
      <c r="I253" s="48">
        <v>0</v>
      </c>
      <c r="J253" s="48"/>
      <c r="K253" s="48">
        <f>4051+8622</f>
        <v>12673</v>
      </c>
      <c r="L253" s="48"/>
      <c r="M253" s="48">
        <v>0</v>
      </c>
      <c r="N253" s="48"/>
      <c r="O253" s="48">
        <v>5643084</v>
      </c>
      <c r="P253" s="48"/>
      <c r="Q253" s="48">
        <f>109125+775437</f>
        <v>884562</v>
      </c>
      <c r="R253" s="48"/>
      <c r="S253" s="48">
        <f t="shared" si="8"/>
        <v>16159819</v>
      </c>
      <c r="T253" s="44"/>
      <c r="U253" s="48">
        <v>2352453</v>
      </c>
      <c r="W253" s="44">
        <f>+S253-'Stmt net assets'!O253-U253</f>
        <v>0</v>
      </c>
    </row>
    <row r="254" spans="1:23" s="65" customFormat="1" ht="12.75" customHeight="1" x14ac:dyDescent="0.2">
      <c r="A254" s="35" t="s">
        <v>278</v>
      </c>
      <c r="B254" s="51"/>
      <c r="C254" s="35" t="s">
        <v>92</v>
      </c>
      <c r="D254" s="35"/>
      <c r="E254" s="48">
        <v>1801484</v>
      </c>
      <c r="F254" s="48"/>
      <c r="G254" s="48">
        <v>34716</v>
      </c>
      <c r="H254" s="48"/>
      <c r="I254" s="48">
        <v>1200000</v>
      </c>
      <c r="J254" s="48"/>
      <c r="K254" s="48">
        <v>0</v>
      </c>
      <c r="L254" s="48"/>
      <c r="M254" s="48">
        <v>168084</v>
      </c>
      <c r="N254" s="48"/>
      <c r="O254" s="48">
        <v>755326</v>
      </c>
      <c r="P254" s="48"/>
      <c r="Q254" s="48">
        <v>65966</v>
      </c>
      <c r="R254" s="48"/>
      <c r="S254" s="48">
        <f t="shared" si="8"/>
        <v>4025576</v>
      </c>
      <c r="T254" s="44"/>
      <c r="U254" s="48">
        <v>430476</v>
      </c>
      <c r="W254" s="44">
        <f>+S254-'Stmt net assets'!O254-U254</f>
        <v>0</v>
      </c>
    </row>
    <row r="255" spans="1:23" s="65" customFormat="1" ht="12.75" customHeight="1" x14ac:dyDescent="0.2">
      <c r="A255" s="35" t="s">
        <v>279</v>
      </c>
      <c r="B255" s="51"/>
      <c r="C255" s="35" t="s">
        <v>92</v>
      </c>
      <c r="D255" s="35"/>
      <c r="E255" s="48">
        <v>0</v>
      </c>
      <c r="F255" s="48"/>
      <c r="G255" s="48">
        <v>0</v>
      </c>
      <c r="H255" s="48"/>
      <c r="I255" s="48">
        <v>2200000</v>
      </c>
      <c r="J255" s="48"/>
      <c r="K255" s="48">
        <f>207477+96288+76313</f>
        <v>380078</v>
      </c>
      <c r="L255" s="48"/>
      <c r="M255" s="48">
        <v>13592</v>
      </c>
      <c r="N255" s="48"/>
      <c r="O255" s="48">
        <v>1222494</v>
      </c>
      <c r="P255" s="48"/>
      <c r="Q255" s="48">
        <v>0</v>
      </c>
      <c r="R255" s="48"/>
      <c r="S255" s="48">
        <f t="shared" ref="S255:S262" si="9">SUM(E255:Q255)</f>
        <v>3816164</v>
      </c>
      <c r="T255" s="44"/>
      <c r="U255" s="48">
        <v>908850</v>
      </c>
      <c r="W255" s="44">
        <f>+S255-'Stmt net assets'!O255-U255</f>
        <v>0</v>
      </c>
    </row>
    <row r="256" spans="1:23" s="65" customFormat="1" ht="12.75" customHeight="1" x14ac:dyDescent="0.2">
      <c r="A256" s="35" t="s">
        <v>280</v>
      </c>
      <c r="B256" s="51"/>
      <c r="C256" s="35" t="s">
        <v>281</v>
      </c>
      <c r="D256" s="35"/>
      <c r="E256" s="48">
        <v>4780000</v>
      </c>
      <c r="F256" s="48"/>
      <c r="G256" s="48">
        <v>0</v>
      </c>
      <c r="H256" s="48"/>
      <c r="I256" s="48">
        <v>1221332</v>
      </c>
      <c r="J256" s="48"/>
      <c r="K256" s="48">
        <v>0</v>
      </c>
      <c r="L256" s="48"/>
      <c r="M256" s="48">
        <v>347536</v>
      </c>
      <c r="N256" s="48"/>
      <c r="O256" s="48">
        <v>757234</v>
      </c>
      <c r="P256" s="48"/>
      <c r="Q256" s="48">
        <v>95117</v>
      </c>
      <c r="R256" s="48"/>
      <c r="S256" s="48">
        <f t="shared" si="9"/>
        <v>7201219</v>
      </c>
      <c r="T256" s="44"/>
      <c r="U256" s="48">
        <v>609320</v>
      </c>
      <c r="W256" s="44">
        <f>+S256-'Stmt net assets'!O256-U256</f>
        <v>0</v>
      </c>
    </row>
    <row r="257" spans="1:23" s="65" customFormat="1" ht="12.75" customHeight="1" x14ac:dyDescent="0.2">
      <c r="A257" s="35" t="s">
        <v>282</v>
      </c>
      <c r="B257" s="51"/>
      <c r="C257" s="35" t="s">
        <v>199</v>
      </c>
      <c r="D257" s="35"/>
      <c r="E257" s="48">
        <v>3343398</v>
      </c>
      <c r="F257" s="48"/>
      <c r="G257" s="48">
        <v>734798</v>
      </c>
      <c r="H257" s="48"/>
      <c r="I257" s="48">
        <v>0</v>
      </c>
      <c r="J257" s="48"/>
      <c r="K257" s="48">
        <v>153192</v>
      </c>
      <c r="L257" s="48"/>
      <c r="M257" s="48">
        <v>0</v>
      </c>
      <c r="N257" s="48"/>
      <c r="O257" s="48">
        <v>2113907</v>
      </c>
      <c r="P257" s="48"/>
      <c r="Q257" s="48">
        <v>0</v>
      </c>
      <c r="R257" s="48"/>
      <c r="S257" s="48">
        <f t="shared" si="9"/>
        <v>6345295</v>
      </c>
      <c r="T257" s="44"/>
      <c r="U257" s="48">
        <v>914031</v>
      </c>
      <c r="W257" s="44">
        <f>+S257-'Stmt net assets'!O257-U257</f>
        <v>0</v>
      </c>
    </row>
    <row r="258" spans="1:23" s="65" customFormat="1" ht="12.75" customHeight="1" x14ac:dyDescent="0.2">
      <c r="A258" s="35" t="s">
        <v>283</v>
      </c>
      <c r="B258" s="51"/>
      <c r="C258" s="35" t="s">
        <v>43</v>
      </c>
      <c r="D258" s="35"/>
      <c r="E258" s="48">
        <v>6511478</v>
      </c>
      <c r="F258" s="48"/>
      <c r="G258" s="48">
        <v>0</v>
      </c>
      <c r="H258" s="48"/>
      <c r="I258" s="48">
        <v>0</v>
      </c>
      <c r="J258" s="48"/>
      <c r="K258" s="48">
        <v>128866</v>
      </c>
      <c r="L258" s="48"/>
      <c r="M258" s="48">
        <v>0</v>
      </c>
      <c r="N258" s="48"/>
      <c r="O258" s="48">
        <v>1556677</v>
      </c>
      <c r="P258" s="48"/>
      <c r="Q258" s="48">
        <v>0</v>
      </c>
      <c r="R258" s="48"/>
      <c r="S258" s="48">
        <f t="shared" si="9"/>
        <v>8197021</v>
      </c>
      <c r="T258" s="44"/>
      <c r="U258" s="48">
        <v>1020500</v>
      </c>
      <c r="W258" s="44">
        <f>+S258-'Stmt net assets'!O258-U258</f>
        <v>0</v>
      </c>
    </row>
    <row r="259" spans="1:23" s="65" customFormat="1" ht="12.75" customHeight="1" x14ac:dyDescent="0.2">
      <c r="A259" s="35" t="s">
        <v>284</v>
      </c>
      <c r="B259" s="51"/>
      <c r="C259" s="35" t="s">
        <v>45</v>
      </c>
      <c r="D259" s="35"/>
      <c r="E259" s="48">
        <v>11883323</v>
      </c>
      <c r="F259" s="48"/>
      <c r="G259" s="48">
        <v>0</v>
      </c>
      <c r="H259" s="48"/>
      <c r="I259" s="48">
        <v>0</v>
      </c>
      <c r="J259" s="48"/>
      <c r="K259" s="48">
        <v>0</v>
      </c>
      <c r="L259" s="48"/>
      <c r="M259" s="48">
        <v>0</v>
      </c>
      <c r="N259" s="48"/>
      <c r="O259" s="48">
        <v>648323</v>
      </c>
      <c r="P259" s="48"/>
      <c r="Q259" s="48">
        <v>165758</v>
      </c>
      <c r="R259" s="48"/>
      <c r="S259" s="48">
        <f t="shared" si="9"/>
        <v>12697404</v>
      </c>
      <c r="T259" s="44"/>
      <c r="U259" s="48">
        <v>678529</v>
      </c>
      <c r="W259" s="44">
        <f>+S259-'Stmt net assets'!O259-U259</f>
        <v>0</v>
      </c>
    </row>
    <row r="260" spans="1:23" s="65" customFormat="1" ht="12.75" customHeight="1" x14ac:dyDescent="0.2">
      <c r="A260" s="35" t="s">
        <v>285</v>
      </c>
      <c r="B260" s="51"/>
      <c r="C260" s="35" t="s">
        <v>30</v>
      </c>
      <c r="D260" s="35"/>
      <c r="E260" s="48">
        <f>850000+953712</f>
        <v>1803712</v>
      </c>
      <c r="F260" s="48"/>
      <c r="G260" s="48">
        <v>0</v>
      </c>
      <c r="H260" s="48"/>
      <c r="I260" s="48">
        <v>0</v>
      </c>
      <c r="J260" s="48"/>
      <c r="K260" s="48">
        <v>0</v>
      </c>
      <c r="L260" s="48"/>
      <c r="M260" s="48">
        <v>856036</v>
      </c>
      <c r="N260" s="48"/>
      <c r="O260" s="48">
        <v>1816302</v>
      </c>
      <c r="P260" s="48"/>
      <c r="Q260" s="48">
        <v>0</v>
      </c>
      <c r="R260" s="48"/>
      <c r="S260" s="48">
        <f t="shared" si="9"/>
        <v>4476050</v>
      </c>
      <c r="T260" s="44"/>
      <c r="U260" s="48">
        <v>613610</v>
      </c>
      <c r="W260" s="44">
        <f>+S260-'Stmt net assets'!O260-U260</f>
        <v>0</v>
      </c>
    </row>
    <row r="261" spans="1:23" s="125" customFormat="1" ht="12.75" customHeight="1" x14ac:dyDescent="0.2">
      <c r="A261" s="35" t="s">
        <v>286</v>
      </c>
      <c r="B261" s="65"/>
      <c r="C261" s="35" t="s">
        <v>61</v>
      </c>
      <c r="D261" s="35"/>
      <c r="E261" s="48">
        <f>17045000+125977-514041</f>
        <v>16656936</v>
      </c>
      <c r="F261" s="48"/>
      <c r="G261" s="48">
        <v>0</v>
      </c>
      <c r="H261" s="48"/>
      <c r="I261" s="48">
        <v>0</v>
      </c>
      <c r="J261" s="48"/>
      <c r="K261" s="48">
        <f>2179950+300002</f>
        <v>2479952</v>
      </c>
      <c r="L261" s="48"/>
      <c r="M261" s="48">
        <v>172394</v>
      </c>
      <c r="N261" s="48"/>
      <c r="O261" s="48">
        <v>7805107</v>
      </c>
      <c r="P261" s="48"/>
      <c r="Q261" s="48">
        <f>1053106+2880244</f>
        <v>3933350</v>
      </c>
      <c r="R261" s="48"/>
      <c r="S261" s="48">
        <f t="shared" si="9"/>
        <v>31047739</v>
      </c>
      <c r="T261" s="44"/>
      <c r="U261" s="48">
        <v>4135032</v>
      </c>
      <c r="W261" s="121">
        <f>+S261-'Stmt net assets'!O261-U261</f>
        <v>0</v>
      </c>
    </row>
    <row r="262" spans="1:23" s="65" customFormat="1" ht="12.75" customHeight="1" x14ac:dyDescent="0.2">
      <c r="A262" s="35" t="s">
        <v>287</v>
      </c>
      <c r="C262" s="35" t="s">
        <v>288</v>
      </c>
      <c r="D262" s="35"/>
      <c r="E262" s="48">
        <v>2335803</v>
      </c>
      <c r="F262" s="48"/>
      <c r="G262" s="48">
        <v>0</v>
      </c>
      <c r="H262" s="48"/>
      <c r="I262" s="48">
        <v>0</v>
      </c>
      <c r="J262" s="48"/>
      <c r="K262" s="48">
        <v>3803121</v>
      </c>
      <c r="L262" s="48"/>
      <c r="M262" s="48">
        <v>0</v>
      </c>
      <c r="N262" s="48"/>
      <c r="O262" s="48">
        <v>1630176</v>
      </c>
      <c r="P262" s="48"/>
      <c r="Q262" s="48">
        <v>0</v>
      </c>
      <c r="R262" s="48"/>
      <c r="S262" s="48">
        <f t="shared" si="9"/>
        <v>7769100</v>
      </c>
      <c r="T262" s="44"/>
      <c r="U262" s="48">
        <v>1752123</v>
      </c>
      <c r="W262" s="44">
        <f>+S262-'Stmt net assets'!O262-U262</f>
        <v>0</v>
      </c>
    </row>
    <row r="263" spans="1:23" s="65" customFormat="1" ht="12.75" customHeight="1" x14ac:dyDescent="0.2">
      <c r="A263" s="35"/>
      <c r="B263" s="51"/>
      <c r="C263" s="35"/>
      <c r="D263" s="35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4"/>
      <c r="U263" s="44"/>
      <c r="W263" s="44"/>
    </row>
    <row r="264" spans="1:23" s="65" customFormat="1" ht="12.75" customHeight="1" x14ac:dyDescent="0.2">
      <c r="B264" s="51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U264" s="44"/>
      <c r="W264" s="44"/>
    </row>
    <row r="265" spans="1:23" s="65" customFormat="1" ht="12.75" customHeight="1" x14ac:dyDescent="0.2">
      <c r="B265" s="51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U265" s="44"/>
      <c r="W265" s="44"/>
    </row>
    <row r="266" spans="1:23" s="65" customFormat="1" ht="12.75" customHeight="1" x14ac:dyDescent="0.2">
      <c r="B266" s="51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U266" s="44"/>
      <c r="W266" s="44"/>
    </row>
    <row r="267" spans="1:23" s="65" customFormat="1" ht="12.75" customHeight="1" x14ac:dyDescent="0.2">
      <c r="B267" s="51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U267" s="44"/>
      <c r="W267" s="44"/>
    </row>
    <row r="268" spans="1:23" s="65" customFormat="1" ht="12.75" customHeight="1" x14ac:dyDescent="0.2">
      <c r="B268" s="51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U268" s="44"/>
      <c r="W268" s="44"/>
    </row>
    <row r="269" spans="1:23" s="65" customFormat="1" ht="12.75" customHeight="1" x14ac:dyDescent="0.2">
      <c r="B269" s="51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U269" s="44"/>
      <c r="W269" s="44"/>
    </row>
    <row r="270" spans="1:23" s="65" customFormat="1" ht="12.75" customHeight="1" x14ac:dyDescent="0.2">
      <c r="B270" s="51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U270" s="44"/>
      <c r="W270" s="44"/>
    </row>
    <row r="271" spans="1:23" s="65" customFormat="1" ht="12.75" customHeight="1" x14ac:dyDescent="0.2">
      <c r="B271" s="51"/>
      <c r="U271" s="44"/>
      <c r="W271" s="44"/>
    </row>
    <row r="272" spans="1:23" s="65" customFormat="1" ht="12.75" customHeight="1" x14ac:dyDescent="0.2">
      <c r="B272" s="51"/>
      <c r="U272" s="44"/>
      <c r="W272" s="44"/>
    </row>
    <row r="273" spans="1:23" s="65" customFormat="1" ht="12.75" customHeight="1" x14ac:dyDescent="0.2">
      <c r="A273" s="44"/>
      <c r="B273" s="51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W273" s="44"/>
    </row>
    <row r="274" spans="1:23" s="65" customFormat="1" ht="12.75" customHeight="1" x14ac:dyDescent="0.2">
      <c r="A274" s="44"/>
      <c r="B274" s="51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8"/>
      <c r="T274" s="44"/>
      <c r="U274" s="44"/>
      <c r="W274" s="44"/>
    </row>
    <row r="275" spans="1:23" s="65" customFormat="1" ht="12.75" customHeight="1" x14ac:dyDescent="0.2">
      <c r="A275" s="44"/>
      <c r="B275" s="51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W275" s="44"/>
    </row>
    <row r="276" spans="1:23" s="65" customFormat="1" ht="12.75" customHeight="1" x14ac:dyDescent="0.2">
      <c r="A276" s="44"/>
      <c r="B276" s="51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W276" s="44"/>
    </row>
    <row r="277" spans="1:23" s="65" customFormat="1" ht="12.75" customHeight="1" x14ac:dyDescent="0.2">
      <c r="A277" s="44"/>
      <c r="B277" s="51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W277" s="44"/>
    </row>
    <row r="278" spans="1:23" s="65" customFormat="1" ht="12.75" customHeight="1" x14ac:dyDescent="0.2">
      <c r="A278" s="44"/>
      <c r="B278" s="51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W278" s="44"/>
    </row>
    <row r="279" spans="1:23" s="65" customFormat="1" ht="12.75" customHeight="1" x14ac:dyDescent="0.2">
      <c r="A279" s="44"/>
      <c r="B279" s="51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W279" s="44"/>
    </row>
    <row r="280" spans="1:23" s="65" customFormat="1" ht="12.75" customHeight="1" x14ac:dyDescent="0.2">
      <c r="A280" s="44"/>
      <c r="B280" s="51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W280" s="44"/>
    </row>
    <row r="281" spans="1:23" s="65" customFormat="1" ht="12.75" customHeight="1" x14ac:dyDescent="0.2">
      <c r="A281" s="44"/>
      <c r="B281" s="51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W281" s="44"/>
    </row>
    <row r="282" spans="1:23" s="65" customFormat="1" ht="12.75" customHeight="1" x14ac:dyDescent="0.2">
      <c r="A282" s="44"/>
      <c r="B282" s="51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W282" s="44"/>
    </row>
    <row r="283" spans="1:23" s="65" customFormat="1" ht="12.75" customHeight="1" x14ac:dyDescent="0.2">
      <c r="A283" s="44"/>
      <c r="B283" s="51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W283" s="44"/>
    </row>
    <row r="284" spans="1:23" ht="12.75" customHeight="1" x14ac:dyDescent="0.2">
      <c r="A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3" ht="12.75" customHeight="1" x14ac:dyDescent="0.2">
      <c r="A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3" ht="12.75" customHeight="1" x14ac:dyDescent="0.2">
      <c r="A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3" ht="12.75" customHeight="1" x14ac:dyDescent="0.2">
      <c r="A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3" ht="12.75" customHeight="1" x14ac:dyDescent="0.2">
      <c r="A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2.75" customHeight="1" x14ac:dyDescent="0.2">
      <c r="A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2.75" customHeight="1" x14ac:dyDescent="0.2">
      <c r="A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2.75" customHeight="1" x14ac:dyDescent="0.2">
      <c r="A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2.75" customHeight="1" x14ac:dyDescent="0.2">
      <c r="A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2.75" customHeight="1" x14ac:dyDescent="0.2">
      <c r="A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2.75" customHeight="1" x14ac:dyDescent="0.2">
      <c r="A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2.75" customHeight="1" x14ac:dyDescent="0.2">
      <c r="A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2.75" customHeight="1" x14ac:dyDescent="0.2">
      <c r="A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2.75" customHeight="1" x14ac:dyDescent="0.2">
      <c r="A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2.75" customHeight="1" x14ac:dyDescent="0.2">
      <c r="A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2.75" customHeight="1" x14ac:dyDescent="0.2">
      <c r="A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2.75" customHeight="1" x14ac:dyDescent="0.2">
      <c r="A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2.75" customHeight="1" x14ac:dyDescent="0.2">
      <c r="A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2.75" customHeight="1" x14ac:dyDescent="0.2">
      <c r="A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2.75" customHeight="1" x14ac:dyDescent="0.2">
      <c r="A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2.75" customHeight="1" x14ac:dyDescent="0.2">
      <c r="A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2.75" customHeight="1" x14ac:dyDescent="0.2">
      <c r="A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2.75" customHeight="1" x14ac:dyDescent="0.2">
      <c r="A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2.75" customHeight="1" x14ac:dyDescent="0.2">
      <c r="A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</sheetData>
  <phoneticPr fontId="4" type="noConversion"/>
  <pageMargins left="0.75" right="0.75" top="0.5" bottom="0.5" header="0" footer="0.25"/>
  <pageSetup scale="84" firstPageNumber="136" pageOrder="overThenDown" orientation="portrait" useFirstPageNumber="1" r:id="rId1"/>
  <headerFooter alignWithMargins="0">
    <oddFooter>&amp;C&amp;"Times New Roman,Regular"&amp;11&amp;P</oddFooter>
  </headerFooter>
  <rowBreaks count="4" manualBreakCount="4">
    <brk id="65" max="20" man="1"/>
    <brk id="123" max="20" man="1"/>
    <brk id="177" max="20" man="1"/>
    <brk id="232" max="20" man="1"/>
  </rowBreaks>
  <colBreaks count="1" manualBreakCount="1">
    <brk id="14" min="9" max="26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15"/>
  <sheetViews>
    <sheetView view="pageBreakPreview" zoomScale="90" zoomScaleNormal="100" zoomScaleSheetLayoutView="90" workbookViewId="0">
      <pane xSplit="4" ySplit="10" topLeftCell="AO121" activePane="bottomRight" state="frozen"/>
      <selection pane="topRight" activeCell="E1" sqref="E1"/>
      <selection pane="bottomLeft" activeCell="A11" sqref="A11"/>
      <selection pane="bottomRight" activeCell="A46" sqref="A46:XFD47"/>
    </sheetView>
  </sheetViews>
  <sheetFormatPr defaultColWidth="8.42578125" defaultRowHeight="12.75" customHeight="1" x14ac:dyDescent="0.2"/>
  <cols>
    <col min="1" max="1" width="16.7109375" style="55" customWidth="1"/>
    <col min="2" max="2" width="1.7109375" style="51" customWidth="1"/>
    <col min="3" max="3" width="10.5703125" style="55" customWidth="1"/>
    <col min="4" max="4" width="1.7109375" style="55" customWidth="1"/>
    <col min="5" max="5" width="11.7109375" style="55" customWidth="1"/>
    <col min="6" max="6" width="1.7109375" style="55" customWidth="1"/>
    <col min="7" max="7" width="11.7109375" style="55" customWidth="1"/>
    <col min="8" max="8" width="1.7109375" style="55" customWidth="1"/>
    <col min="9" max="9" width="11.7109375" style="55" customWidth="1"/>
    <col min="10" max="10" width="1.7109375" style="55" customWidth="1"/>
    <col min="11" max="11" width="11.7109375" style="55" customWidth="1"/>
    <col min="12" max="12" width="1.7109375" style="55" customWidth="1"/>
    <col min="13" max="13" width="11.7109375" style="55" customWidth="1"/>
    <col min="14" max="14" width="1.7109375" style="55" customWidth="1"/>
    <col min="15" max="15" width="11.7109375" style="55" customWidth="1"/>
    <col min="16" max="16" width="1.7109375" style="55" customWidth="1"/>
    <col min="17" max="17" width="11.7109375" style="55" customWidth="1"/>
    <col min="18" max="18" width="1.85546875" style="55" customWidth="1"/>
    <col min="19" max="19" width="11.7109375" style="55" customWidth="1"/>
    <col min="20" max="20" width="1.7109375" style="55" customWidth="1"/>
    <col min="21" max="21" width="11.7109375" style="55" customWidth="1"/>
    <col min="22" max="22" width="1.7109375" style="55" customWidth="1"/>
    <col min="23" max="23" width="11.7109375" style="55" customWidth="1"/>
    <col min="24" max="24" width="14.5703125" style="55" customWidth="1"/>
    <col min="25" max="25" width="16.42578125" style="55" customWidth="1"/>
    <col min="26" max="26" width="1.7109375" style="47" customWidth="1"/>
    <col min="27" max="27" width="10.5703125" style="55" customWidth="1"/>
    <col min="28" max="28" width="1.7109375" style="55" customWidth="1"/>
    <col min="29" max="29" width="11.7109375" style="55" customWidth="1"/>
    <col min="30" max="30" width="1.7109375" style="55" customWidth="1"/>
    <col min="31" max="31" width="11.7109375" style="55" customWidth="1"/>
    <col min="32" max="32" width="1.7109375" style="55" customWidth="1"/>
    <col min="33" max="33" width="11.7109375" style="55" customWidth="1"/>
    <col min="34" max="34" width="1.7109375" style="55" customWidth="1"/>
    <col min="35" max="35" width="11.7109375" style="55" customWidth="1"/>
    <col min="36" max="36" width="1.7109375" style="55" customWidth="1"/>
    <col min="37" max="37" width="11.7109375" style="45" customWidth="1"/>
    <col min="38" max="38" width="1.7109375" style="45" customWidth="1"/>
    <col min="39" max="39" width="11.7109375" style="45" customWidth="1"/>
    <col min="40" max="40" width="1.7109375" style="45" customWidth="1"/>
    <col min="41" max="41" width="11.7109375" style="45" customWidth="1"/>
    <col min="42" max="42" width="1.7109375" style="45" customWidth="1"/>
    <col min="43" max="43" width="11.7109375" style="45" customWidth="1"/>
    <col min="44" max="44" width="1.7109375" style="45" customWidth="1"/>
    <col min="45" max="45" width="11.7109375" style="55" customWidth="1"/>
    <col min="46" max="46" width="1.7109375" style="55" customWidth="1"/>
    <col min="47" max="47" width="11.7109375" style="55" hidden="1" customWidth="1"/>
    <col min="48" max="48" width="1.7109375" style="55" hidden="1" customWidth="1"/>
    <col min="49" max="49" width="11.7109375" style="55" hidden="1" customWidth="1"/>
    <col min="50" max="50" width="1.7109375" style="55" hidden="1" customWidth="1"/>
    <col min="51" max="52" width="11.7109375" style="55" customWidth="1"/>
    <col min="53" max="53" width="16.140625" style="55" customWidth="1"/>
    <col min="54" max="54" width="1.7109375" style="47" customWidth="1"/>
    <col min="55" max="55" width="10.5703125" style="55" customWidth="1"/>
    <col min="56" max="56" width="1.7109375" style="55" customWidth="1"/>
    <col min="57" max="57" width="11.7109375" style="55" customWidth="1"/>
    <col min="58" max="58" width="1.7109375" style="55" customWidth="1"/>
    <col min="59" max="59" width="11.7109375" style="55" customWidth="1"/>
    <col min="60" max="60" width="1.7109375" style="55" customWidth="1"/>
    <col min="61" max="61" width="11.7109375" style="55" customWidth="1"/>
    <col min="62" max="62" width="1.7109375" style="55" customWidth="1"/>
    <col min="63" max="63" width="11.7109375" style="55" customWidth="1"/>
    <col min="64" max="64" width="1.7109375" style="55" customWidth="1"/>
    <col min="65" max="65" width="11.7109375" style="55" customWidth="1"/>
    <col min="66" max="66" width="1.7109375" style="55" hidden="1" customWidth="1"/>
    <col min="67" max="67" width="11.7109375" style="55" hidden="1" customWidth="1"/>
    <col min="68" max="68" width="1.7109375" style="55" hidden="1" customWidth="1"/>
    <col min="69" max="69" width="11.7109375" style="55" hidden="1" customWidth="1"/>
    <col min="70" max="70" width="1.7109375" style="55" customWidth="1"/>
    <col min="71" max="71" width="11.7109375" style="55" customWidth="1"/>
    <col min="72" max="72" width="1.7109375" style="55" customWidth="1"/>
    <col min="73" max="73" width="11.7109375" style="55" customWidth="1"/>
    <col min="74" max="74" width="1.7109375" style="55" customWidth="1"/>
    <col min="75" max="75" width="11.7109375" style="55" customWidth="1"/>
    <col min="76" max="76" width="1.7109375" style="55" customWidth="1"/>
    <col min="77" max="77" width="11.7109375" style="55" customWidth="1"/>
    <col min="78" max="78" width="1.7109375" style="55" customWidth="1"/>
    <col min="79" max="79" width="11.7109375" style="55" customWidth="1"/>
    <col min="80" max="80" width="1.7109375" style="55" customWidth="1"/>
    <col min="81" max="81" width="11.7109375" style="55" customWidth="1"/>
    <col min="82" max="82" width="1.7109375" style="55" customWidth="1"/>
    <col min="83" max="83" width="11.7109375" style="55" customWidth="1"/>
    <col min="84" max="84" width="1.7109375" style="55" customWidth="1"/>
    <col min="85" max="85" width="11.7109375" style="55" customWidth="1"/>
    <col min="86" max="86" width="1.7109375" style="55" customWidth="1"/>
    <col min="87" max="16384" width="8.42578125" style="55"/>
  </cols>
  <sheetData>
    <row r="1" spans="1:71" s="85" customFormat="1" ht="12" x14ac:dyDescent="0.2">
      <c r="A1" s="74" t="s">
        <v>495</v>
      </c>
      <c r="C1" s="86"/>
      <c r="D1" s="86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4" t="s">
        <v>495</v>
      </c>
      <c r="AA1" s="86"/>
      <c r="AB1" s="86"/>
      <c r="AC1" s="74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74" t="s">
        <v>496</v>
      </c>
      <c r="BC1" s="86"/>
      <c r="BD1" s="86"/>
      <c r="BE1" s="35"/>
      <c r="BF1" s="35"/>
      <c r="BG1" s="35"/>
      <c r="BH1" s="35"/>
      <c r="BI1" s="35"/>
      <c r="BJ1" s="35"/>
      <c r="BK1" s="35"/>
      <c r="BL1" s="35"/>
      <c r="BM1" s="75"/>
      <c r="BN1" s="75"/>
    </row>
    <row r="2" spans="1:71" s="85" customFormat="1" ht="12" x14ac:dyDescent="0.2">
      <c r="A2" s="92" t="s">
        <v>472</v>
      </c>
      <c r="C2" s="86"/>
      <c r="D2" s="86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92" t="s">
        <v>473</v>
      </c>
      <c r="AA2" s="86"/>
      <c r="AB2" s="86"/>
      <c r="AC2" s="92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76" t="s">
        <v>348</v>
      </c>
      <c r="BC2" s="86"/>
      <c r="BD2" s="86"/>
      <c r="BE2" s="35"/>
      <c r="BF2" s="35"/>
      <c r="BG2" s="35"/>
      <c r="BH2" s="35"/>
      <c r="BI2" s="35"/>
      <c r="BJ2" s="35"/>
      <c r="BK2" s="35"/>
      <c r="BL2" s="35"/>
      <c r="BM2" s="75"/>
      <c r="BN2" s="75"/>
    </row>
    <row r="3" spans="1:71" x14ac:dyDescent="0.2">
      <c r="A3" s="74" t="s">
        <v>500</v>
      </c>
      <c r="C3" s="87"/>
      <c r="D3" s="87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74" t="s">
        <v>500</v>
      </c>
      <c r="Z3" s="55"/>
      <c r="AA3" s="87"/>
      <c r="AB3" s="87"/>
      <c r="AC3" s="74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74" t="s">
        <v>500</v>
      </c>
      <c r="BB3" s="55"/>
      <c r="BC3" s="87"/>
      <c r="BD3" s="87"/>
      <c r="BE3" s="35"/>
      <c r="BF3" s="35"/>
      <c r="BG3" s="35"/>
      <c r="BH3" s="35"/>
      <c r="BI3" s="35"/>
      <c r="BJ3" s="35"/>
      <c r="BK3" s="35"/>
      <c r="BL3" s="35"/>
      <c r="BM3" s="35"/>
      <c r="BN3" s="35"/>
    </row>
    <row r="4" spans="1:71" x14ac:dyDescent="0.2">
      <c r="A4" s="88" t="s">
        <v>289</v>
      </c>
      <c r="C4" s="87"/>
      <c r="D4" s="87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88" t="s">
        <v>289</v>
      </c>
      <c r="Z4" s="55"/>
      <c r="AA4" s="87"/>
      <c r="AB4" s="87"/>
      <c r="AC4" s="8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88" t="s">
        <v>289</v>
      </c>
      <c r="BB4" s="55"/>
      <c r="BC4" s="87"/>
      <c r="BD4" s="87"/>
      <c r="BE4" s="35"/>
      <c r="BF4" s="35"/>
      <c r="BG4" s="35"/>
      <c r="BH4" s="35"/>
      <c r="BI4" s="35"/>
      <c r="BJ4" s="35"/>
      <c r="BK4" s="35"/>
      <c r="BL4" s="35"/>
      <c r="BM4" s="35"/>
      <c r="BN4" s="35"/>
    </row>
    <row r="5" spans="1:71" x14ac:dyDescent="0.2">
      <c r="A5" s="88"/>
      <c r="C5" s="87"/>
      <c r="D5" s="87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V5" s="35"/>
      <c r="W5" s="35"/>
      <c r="X5" s="35"/>
      <c r="Y5" s="88"/>
      <c r="Z5" s="55"/>
      <c r="AA5" s="87"/>
      <c r="AB5" s="87"/>
      <c r="AC5" s="74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88"/>
      <c r="BB5" s="55"/>
      <c r="BC5" s="87"/>
      <c r="BD5" s="87"/>
      <c r="BL5" s="35"/>
      <c r="BM5" s="35"/>
      <c r="BN5" s="35"/>
    </row>
    <row r="6" spans="1:71" x14ac:dyDescent="0.2">
      <c r="A6" s="89"/>
      <c r="C6" s="89"/>
      <c r="D6" s="89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156" t="s">
        <v>2</v>
      </c>
      <c r="R6" s="156"/>
      <c r="S6" s="156"/>
      <c r="T6" s="156"/>
      <c r="U6" s="156"/>
      <c r="V6" s="93"/>
      <c r="W6" s="93"/>
      <c r="X6" s="77"/>
      <c r="Y6" s="89"/>
      <c r="Z6" s="55"/>
      <c r="AA6" s="89"/>
      <c r="AB6" s="89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8" t="s">
        <v>411</v>
      </c>
      <c r="AV6" s="35"/>
      <c r="AW6" s="8" t="s">
        <v>412</v>
      </c>
      <c r="AX6" s="35"/>
      <c r="AY6" s="35"/>
      <c r="AZ6" s="35"/>
      <c r="BA6" s="89"/>
      <c r="BB6" s="55"/>
      <c r="BC6" s="89"/>
      <c r="BD6" s="89"/>
      <c r="BE6" s="34" t="s">
        <v>348</v>
      </c>
      <c r="BF6" s="34"/>
      <c r="BG6" s="34"/>
      <c r="BH6" s="34"/>
      <c r="BI6" s="34"/>
      <c r="BJ6" s="34"/>
      <c r="BK6" s="34"/>
      <c r="BL6" s="77"/>
      <c r="BM6" s="35"/>
      <c r="BN6" s="35"/>
    </row>
    <row r="7" spans="1:71" s="89" customFormat="1" ht="12" x14ac:dyDescent="0.2"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 t="s">
        <v>7</v>
      </c>
      <c r="AC7" s="8"/>
      <c r="AD7" s="8"/>
      <c r="AE7" s="8"/>
      <c r="AF7" s="8"/>
      <c r="AG7" s="8"/>
      <c r="AH7" s="8"/>
      <c r="AI7" s="8"/>
      <c r="AJ7" s="8"/>
      <c r="AK7" s="8" t="s">
        <v>354</v>
      </c>
      <c r="AL7" s="8"/>
      <c r="AM7" s="8"/>
      <c r="AN7" s="8"/>
      <c r="AO7" s="8"/>
      <c r="AP7" s="8"/>
      <c r="AQ7" s="8"/>
      <c r="AR7" s="8"/>
      <c r="AS7" s="8"/>
      <c r="AT7" s="8"/>
      <c r="AU7" s="8" t="s">
        <v>349</v>
      </c>
      <c r="AV7" s="8"/>
      <c r="AW7" s="8" t="s">
        <v>349</v>
      </c>
      <c r="AX7" s="8"/>
      <c r="AY7" s="8"/>
      <c r="AZ7" s="8"/>
      <c r="BE7" s="8" t="s">
        <v>296</v>
      </c>
      <c r="BF7" s="8"/>
      <c r="BG7" s="8" t="s">
        <v>350</v>
      </c>
      <c r="BH7" s="8"/>
      <c r="BI7" s="8"/>
      <c r="BJ7" s="8"/>
      <c r="BK7" s="8" t="s">
        <v>294</v>
      </c>
      <c r="BL7" s="8"/>
      <c r="BM7" s="8" t="s">
        <v>6</v>
      </c>
      <c r="BN7" s="54"/>
    </row>
    <row r="8" spans="1:71" s="89" customFormat="1" ht="12" x14ac:dyDescent="0.2">
      <c r="E8" s="8" t="s">
        <v>3</v>
      </c>
      <c r="F8" s="8"/>
      <c r="G8" s="8" t="s">
        <v>351</v>
      </c>
      <c r="H8" s="8"/>
      <c r="I8" s="8" t="s">
        <v>6</v>
      </c>
      <c r="J8" s="8"/>
      <c r="K8" s="8" t="s">
        <v>3</v>
      </c>
      <c r="L8" s="8"/>
      <c r="M8" s="8" t="s">
        <v>352</v>
      </c>
      <c r="N8" s="8"/>
      <c r="O8" s="8" t="s">
        <v>6</v>
      </c>
      <c r="P8" s="8"/>
      <c r="Q8" s="89" t="s">
        <v>4</v>
      </c>
      <c r="R8" s="8"/>
      <c r="S8" s="8"/>
      <c r="T8" s="8"/>
      <c r="U8" s="8"/>
      <c r="V8" s="8"/>
      <c r="W8" s="8" t="s">
        <v>6</v>
      </c>
      <c r="X8" s="8"/>
      <c r="AC8" s="8" t="s">
        <v>345</v>
      </c>
      <c r="AD8" s="8"/>
      <c r="AE8" s="8" t="s">
        <v>353</v>
      </c>
      <c r="AF8" s="8"/>
      <c r="AG8" s="8"/>
      <c r="AH8" s="8"/>
      <c r="AI8" s="8" t="s">
        <v>345</v>
      </c>
      <c r="AJ8" s="8"/>
      <c r="AK8" s="89" t="s">
        <v>373</v>
      </c>
      <c r="AL8" s="8"/>
      <c r="AM8" s="8"/>
      <c r="AN8" s="8"/>
      <c r="AO8" s="8"/>
      <c r="AP8" s="8"/>
      <c r="AQ8" s="8" t="s">
        <v>4</v>
      </c>
      <c r="AR8" s="8"/>
      <c r="AS8" s="8" t="s">
        <v>368</v>
      </c>
      <c r="AT8" s="8"/>
      <c r="AU8" s="8" t="s">
        <v>413</v>
      </c>
      <c r="AV8" s="8"/>
      <c r="AW8" s="8" t="s">
        <v>419</v>
      </c>
      <c r="AX8" s="8"/>
      <c r="AY8" s="8" t="s">
        <v>355</v>
      </c>
      <c r="AZ8" s="8"/>
      <c r="BE8" s="8" t="s">
        <v>356</v>
      </c>
      <c r="BF8" s="8"/>
      <c r="BG8" s="8" t="s">
        <v>302</v>
      </c>
      <c r="BH8" s="8"/>
      <c r="BI8" s="8"/>
      <c r="BJ8" s="8"/>
      <c r="BK8" s="8" t="s">
        <v>352</v>
      </c>
      <c r="BL8" s="8"/>
      <c r="BM8" s="8" t="s">
        <v>352</v>
      </c>
      <c r="BN8" s="54"/>
    </row>
    <row r="9" spans="1:71" s="89" customFormat="1" ht="12" x14ac:dyDescent="0.2">
      <c r="A9" s="148" t="s">
        <v>8</v>
      </c>
      <c r="C9" s="144" t="s">
        <v>9</v>
      </c>
      <c r="D9" s="8"/>
      <c r="E9" s="144" t="s">
        <v>0</v>
      </c>
      <c r="F9" s="8"/>
      <c r="G9" s="144" t="s">
        <v>0</v>
      </c>
      <c r="H9" s="8"/>
      <c r="I9" s="144" t="s">
        <v>0</v>
      </c>
      <c r="J9" s="8"/>
      <c r="K9" s="144" t="s">
        <v>1</v>
      </c>
      <c r="L9" s="8"/>
      <c r="M9" s="144" t="s">
        <v>1</v>
      </c>
      <c r="N9" s="144"/>
      <c r="O9" s="144" t="s">
        <v>1</v>
      </c>
      <c r="P9" s="8"/>
      <c r="Q9" s="144" t="s">
        <v>0</v>
      </c>
      <c r="R9" s="8"/>
      <c r="S9" s="144" t="s">
        <v>10</v>
      </c>
      <c r="T9" s="8"/>
      <c r="U9" s="144" t="s">
        <v>11</v>
      </c>
      <c r="V9" s="8"/>
      <c r="W9" s="144" t="s">
        <v>2</v>
      </c>
      <c r="X9" s="8"/>
      <c r="Y9" s="144" t="s">
        <v>8</v>
      </c>
      <c r="AA9" s="144" t="s">
        <v>9</v>
      </c>
      <c r="AB9" s="8"/>
      <c r="AC9" s="78" t="s">
        <v>302</v>
      </c>
      <c r="AD9" s="8"/>
      <c r="AE9" s="78" t="s">
        <v>357</v>
      </c>
      <c r="AF9" s="8"/>
      <c r="AG9" s="78" t="s">
        <v>357</v>
      </c>
      <c r="AH9" s="8"/>
      <c r="AI9" s="78" t="s">
        <v>358</v>
      </c>
      <c r="AJ9" s="8"/>
      <c r="AK9" s="78" t="s">
        <v>374</v>
      </c>
      <c r="AL9" s="8"/>
      <c r="AM9" s="78" t="s">
        <v>359</v>
      </c>
      <c r="AN9" s="8"/>
      <c r="AO9" s="78" t="s">
        <v>360</v>
      </c>
      <c r="AP9" s="8"/>
      <c r="AQ9" s="144" t="s">
        <v>361</v>
      </c>
      <c r="AR9" s="8"/>
      <c r="AS9" s="78" t="s">
        <v>2</v>
      </c>
      <c r="AT9" s="8"/>
      <c r="AU9" s="144" t="s">
        <v>415</v>
      </c>
      <c r="AV9" s="8"/>
      <c r="AW9" s="144" t="s">
        <v>415</v>
      </c>
      <c r="AX9" s="8"/>
      <c r="AY9" s="78" t="s">
        <v>4</v>
      </c>
      <c r="AZ9" s="8"/>
      <c r="BA9" s="144" t="s">
        <v>8</v>
      </c>
      <c r="BC9" s="144" t="s">
        <v>9</v>
      </c>
      <c r="BD9" s="8"/>
      <c r="BE9" s="78" t="s">
        <v>362</v>
      </c>
      <c r="BF9" s="8"/>
      <c r="BG9" s="78" t="s">
        <v>362</v>
      </c>
      <c r="BH9" s="8"/>
      <c r="BI9" s="78" t="s">
        <v>363</v>
      </c>
      <c r="BJ9" s="8"/>
      <c r="BK9" s="78" t="s">
        <v>364</v>
      </c>
      <c r="BL9" s="8"/>
      <c r="BM9" s="144" t="s">
        <v>364</v>
      </c>
      <c r="BN9" s="54"/>
    </row>
    <row r="10" spans="1:71" s="89" customFormat="1" ht="12" x14ac:dyDescent="0.2">
      <c r="A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54"/>
    </row>
    <row r="11" spans="1:71" hidden="1" x14ac:dyDescent="0.2">
      <c r="A11" s="35" t="s">
        <v>12</v>
      </c>
      <c r="C11" s="35" t="s">
        <v>13</v>
      </c>
      <c r="D11" s="35"/>
      <c r="E11" s="35">
        <f t="shared" ref="E11:E76" si="0">I11-G11</f>
        <v>0</v>
      </c>
      <c r="F11" s="35"/>
      <c r="G11" s="35"/>
      <c r="H11" s="35"/>
      <c r="I11" s="35"/>
      <c r="J11" s="35"/>
      <c r="K11" s="35">
        <f t="shared" ref="K11:K76" si="1">O11-M11</f>
        <v>0</v>
      </c>
      <c r="L11" s="35"/>
      <c r="M11" s="35">
        <f t="shared" ref="M11:M12" si="2">SUM(BM11)</f>
        <v>0</v>
      </c>
      <c r="N11" s="35"/>
      <c r="O11" s="35"/>
      <c r="P11" s="35"/>
      <c r="Q11" s="35"/>
      <c r="R11" s="35"/>
      <c r="S11" s="35"/>
      <c r="T11" s="35"/>
      <c r="U11" s="35"/>
      <c r="V11" s="35"/>
      <c r="W11" s="35">
        <f t="shared" ref="W11:W33" si="3">SUM(Q11:U11)</f>
        <v>0</v>
      </c>
      <c r="X11" s="35"/>
      <c r="Y11" s="35" t="s">
        <v>12</v>
      </c>
      <c r="Z11" s="55"/>
      <c r="AA11" s="35" t="s">
        <v>13</v>
      </c>
      <c r="AB11" s="35"/>
      <c r="AC11" s="35"/>
      <c r="AD11" s="35"/>
      <c r="AE11" s="35"/>
      <c r="AF11" s="35"/>
      <c r="AG11" s="35"/>
      <c r="AH11" s="35"/>
      <c r="AI11" s="45">
        <f>+AC11-AE11-AG11</f>
        <v>0</v>
      </c>
      <c r="AJ11" s="45"/>
      <c r="AK11" s="35"/>
      <c r="AL11" s="35"/>
      <c r="AM11" s="35"/>
      <c r="AN11" s="35"/>
      <c r="AO11" s="35"/>
      <c r="AP11" s="35"/>
      <c r="AQ11" s="35"/>
      <c r="AR11" s="35"/>
      <c r="AS11" s="45">
        <f>+AI11+AK11+AM11-AO11+AQ11</f>
        <v>0</v>
      </c>
      <c r="AT11" s="45"/>
      <c r="AU11" s="35">
        <v>0</v>
      </c>
      <c r="AV11" s="35"/>
      <c r="AW11" s="35">
        <v>0</v>
      </c>
      <c r="AX11" s="35"/>
      <c r="AY11" s="35">
        <f t="shared" ref="AY11:AY61" si="4">+E11-K11</f>
        <v>0</v>
      </c>
      <c r="AZ11" s="35"/>
      <c r="BA11" s="35" t="s">
        <v>12</v>
      </c>
      <c r="BB11" s="55"/>
      <c r="BC11" s="35" t="s">
        <v>13</v>
      </c>
      <c r="BD11" s="35"/>
      <c r="BE11" s="35"/>
      <c r="BF11" s="35"/>
      <c r="BG11" s="35"/>
      <c r="BH11" s="35"/>
      <c r="BI11" s="35"/>
      <c r="BJ11" s="35"/>
      <c r="BK11" s="35"/>
      <c r="BL11" s="35"/>
      <c r="BM11" s="35">
        <f t="shared" ref="BM11:BM27" si="5">SUM(BE11:BK11)</f>
        <v>0</v>
      </c>
      <c r="BN11" s="54" t="s">
        <v>347</v>
      </c>
    </row>
    <row r="12" spans="1:71" hidden="1" x14ac:dyDescent="0.2">
      <c r="A12" s="35" t="s">
        <v>14</v>
      </c>
      <c r="C12" s="35" t="s">
        <v>15</v>
      </c>
      <c r="D12" s="35"/>
      <c r="E12" s="35">
        <f t="shared" si="0"/>
        <v>0</v>
      </c>
      <c r="F12" s="35"/>
      <c r="G12" s="35">
        <v>0</v>
      </c>
      <c r="H12" s="35"/>
      <c r="I12" s="35">
        <v>0</v>
      </c>
      <c r="J12" s="35"/>
      <c r="K12" s="35">
        <f t="shared" si="1"/>
        <v>0</v>
      </c>
      <c r="L12" s="35"/>
      <c r="M12" s="35">
        <f t="shared" si="2"/>
        <v>0</v>
      </c>
      <c r="N12" s="35"/>
      <c r="O12" s="35">
        <v>0</v>
      </c>
      <c r="P12" s="35"/>
      <c r="Q12" s="35">
        <v>0</v>
      </c>
      <c r="R12" s="35"/>
      <c r="S12" s="35">
        <v>0</v>
      </c>
      <c r="T12" s="35"/>
      <c r="U12" s="35">
        <v>0</v>
      </c>
      <c r="V12" s="35"/>
      <c r="W12" s="35">
        <f t="shared" si="3"/>
        <v>0</v>
      </c>
      <c r="X12" s="35"/>
      <c r="Y12" s="35" t="s">
        <v>14</v>
      </c>
      <c r="Z12" s="55"/>
      <c r="AA12" s="35" t="s">
        <v>15</v>
      </c>
      <c r="AB12" s="35"/>
      <c r="AC12" s="35">
        <v>0</v>
      </c>
      <c r="AD12" s="35"/>
      <c r="AE12" s="35">
        <v>0</v>
      </c>
      <c r="AF12" s="35"/>
      <c r="AG12" s="35">
        <v>0</v>
      </c>
      <c r="AH12" s="35"/>
      <c r="AI12" s="45">
        <v>0</v>
      </c>
      <c r="AJ12" s="45"/>
      <c r="AK12" s="35">
        <v>0</v>
      </c>
      <c r="AL12" s="35"/>
      <c r="AM12" s="35">
        <v>0</v>
      </c>
      <c r="AN12" s="35"/>
      <c r="AO12" s="35">
        <v>0</v>
      </c>
      <c r="AP12" s="35"/>
      <c r="AQ12" s="35">
        <v>0</v>
      </c>
      <c r="AR12" s="35"/>
      <c r="AS12" s="45">
        <v>0</v>
      </c>
      <c r="AT12" s="45"/>
      <c r="AU12" s="35">
        <v>0</v>
      </c>
      <c r="AV12" s="35"/>
      <c r="AW12" s="35">
        <v>0</v>
      </c>
      <c r="AX12" s="35"/>
      <c r="AY12" s="35">
        <f t="shared" si="4"/>
        <v>0</v>
      </c>
      <c r="AZ12" s="35"/>
      <c r="BA12" s="35" t="s">
        <v>14</v>
      </c>
      <c r="BB12" s="55"/>
      <c r="BC12" s="35" t="s">
        <v>15</v>
      </c>
      <c r="BD12" s="35"/>
      <c r="BE12" s="35">
        <v>0</v>
      </c>
      <c r="BF12" s="35"/>
      <c r="BG12" s="35">
        <v>0</v>
      </c>
      <c r="BH12" s="35"/>
      <c r="BI12" s="35">
        <v>0</v>
      </c>
      <c r="BJ12" s="35"/>
      <c r="BK12" s="35">
        <v>0</v>
      </c>
      <c r="BL12" s="35"/>
      <c r="BM12" s="35">
        <f t="shared" si="5"/>
        <v>0</v>
      </c>
      <c r="BN12" s="54" t="s">
        <v>347</v>
      </c>
    </row>
    <row r="13" spans="1:71" s="90" customFormat="1" hidden="1" x14ac:dyDescent="0.2">
      <c r="A13" s="35" t="s">
        <v>16</v>
      </c>
      <c r="B13" s="51"/>
      <c r="C13" s="35" t="s">
        <v>17</v>
      </c>
      <c r="D13" s="35"/>
      <c r="E13" s="64">
        <f t="shared" si="0"/>
        <v>0</v>
      </c>
      <c r="F13" s="64"/>
      <c r="G13" s="64"/>
      <c r="H13" s="64"/>
      <c r="I13" s="64"/>
      <c r="J13" s="64"/>
      <c r="K13" s="64">
        <f t="shared" si="1"/>
        <v>0</v>
      </c>
      <c r="L13" s="64"/>
      <c r="M13" s="64">
        <v>0</v>
      </c>
      <c r="N13" s="64"/>
      <c r="O13" s="64"/>
      <c r="P13" s="64"/>
      <c r="Q13" s="64"/>
      <c r="R13" s="64"/>
      <c r="S13" s="64">
        <v>0</v>
      </c>
      <c r="T13" s="64"/>
      <c r="U13" s="64"/>
      <c r="V13" s="64"/>
      <c r="W13" s="64">
        <f t="shared" si="3"/>
        <v>0</v>
      </c>
      <c r="X13" s="35"/>
      <c r="Y13" s="35" t="s">
        <v>16</v>
      </c>
      <c r="Z13" s="55"/>
      <c r="AA13" s="35" t="s">
        <v>17</v>
      </c>
      <c r="AB13" s="35"/>
      <c r="AC13" s="64">
        <v>0</v>
      </c>
      <c r="AD13" s="64"/>
      <c r="AE13" s="64">
        <v>0</v>
      </c>
      <c r="AF13" s="64"/>
      <c r="AG13" s="64">
        <v>0</v>
      </c>
      <c r="AH13" s="64"/>
      <c r="AI13" s="94">
        <f>+AC13-AE13-AG13</f>
        <v>0</v>
      </c>
      <c r="AJ13" s="94"/>
      <c r="AK13" s="64"/>
      <c r="AL13" s="64"/>
      <c r="AM13" s="64">
        <v>0</v>
      </c>
      <c r="AN13" s="64"/>
      <c r="AO13" s="64">
        <v>0</v>
      </c>
      <c r="AP13" s="64"/>
      <c r="AQ13" s="64">
        <v>0</v>
      </c>
      <c r="AR13" s="64"/>
      <c r="AS13" s="94">
        <f>+AI13+AK13+AM13-AO13+AQ13</f>
        <v>0</v>
      </c>
      <c r="AT13" s="94"/>
      <c r="AU13" s="64">
        <v>0</v>
      </c>
      <c r="AV13" s="64"/>
      <c r="AW13" s="64">
        <v>0</v>
      </c>
      <c r="AX13" s="64"/>
      <c r="AY13" s="64">
        <f t="shared" si="4"/>
        <v>0</v>
      </c>
      <c r="AZ13" s="35"/>
      <c r="BA13" s="35" t="s">
        <v>16</v>
      </c>
      <c r="BB13" s="55"/>
      <c r="BC13" s="35" t="s">
        <v>17</v>
      </c>
      <c r="BD13" s="35"/>
      <c r="BE13" s="64">
        <v>0</v>
      </c>
      <c r="BF13" s="64"/>
      <c r="BG13" s="64"/>
      <c r="BH13" s="64"/>
      <c r="BI13" s="64"/>
      <c r="BJ13" s="64"/>
      <c r="BK13" s="64"/>
      <c r="BL13" s="64"/>
      <c r="BM13" s="64">
        <f t="shared" si="5"/>
        <v>0</v>
      </c>
      <c r="BN13" s="91" t="s">
        <v>347</v>
      </c>
    </row>
    <row r="14" spans="1:71" s="90" customFormat="1" x14ac:dyDescent="0.2">
      <c r="A14" s="64" t="s">
        <v>18</v>
      </c>
      <c r="B14" s="66"/>
      <c r="C14" s="64" t="s">
        <v>18</v>
      </c>
      <c r="D14" s="64"/>
      <c r="E14" s="64">
        <f t="shared" si="0"/>
        <v>1032692</v>
      </c>
      <c r="F14" s="64"/>
      <c r="G14" s="64">
        <v>225565</v>
      </c>
      <c r="H14" s="64"/>
      <c r="I14" s="64">
        <v>1258257</v>
      </c>
      <c r="J14" s="64"/>
      <c r="K14" s="64">
        <f t="shared" si="1"/>
        <v>33115</v>
      </c>
      <c r="L14" s="64"/>
      <c r="M14" s="64">
        <v>29708</v>
      </c>
      <c r="N14" s="64"/>
      <c r="O14" s="64">
        <v>62823</v>
      </c>
      <c r="P14" s="64"/>
      <c r="Q14" s="64">
        <v>225565</v>
      </c>
      <c r="R14" s="64"/>
      <c r="S14" s="64">
        <v>0</v>
      </c>
      <c r="T14" s="64"/>
      <c r="U14" s="64">
        <v>969869</v>
      </c>
      <c r="V14" s="64"/>
      <c r="W14" s="64">
        <f t="shared" si="3"/>
        <v>1195434</v>
      </c>
      <c r="X14" s="64"/>
      <c r="Y14" s="64" t="s">
        <v>18</v>
      </c>
      <c r="AA14" s="64" t="s">
        <v>18</v>
      </c>
      <c r="AB14" s="64"/>
      <c r="AC14" s="64">
        <v>1886001</v>
      </c>
      <c r="AD14" s="64"/>
      <c r="AE14" s="64">
        <f>1709293-60940</f>
        <v>1648353</v>
      </c>
      <c r="AF14" s="64"/>
      <c r="AG14" s="64">
        <v>60940</v>
      </c>
      <c r="AH14" s="64"/>
      <c r="AI14" s="94">
        <f>+AC14-AE14-AG14</f>
        <v>176708</v>
      </c>
      <c r="AJ14" s="94"/>
      <c r="AK14" s="64">
        <v>0</v>
      </c>
      <c r="AL14" s="64"/>
      <c r="AM14" s="64">
        <v>0</v>
      </c>
      <c r="AN14" s="64"/>
      <c r="AO14" s="64">
        <v>0</v>
      </c>
      <c r="AP14" s="64"/>
      <c r="AQ14" s="64">
        <v>0</v>
      </c>
      <c r="AR14" s="64"/>
      <c r="AS14" s="94">
        <f>+AI14+AK14+AM14-AO14+AQ14</f>
        <v>176708</v>
      </c>
      <c r="AT14" s="94"/>
      <c r="AU14" s="64">
        <v>0</v>
      </c>
      <c r="AV14" s="64"/>
      <c r="AW14" s="64">
        <v>0</v>
      </c>
      <c r="AX14" s="64"/>
      <c r="AY14" s="64">
        <f t="shared" si="4"/>
        <v>999577</v>
      </c>
      <c r="AZ14" s="64"/>
      <c r="BA14" s="64" t="s">
        <v>18</v>
      </c>
      <c r="BC14" s="64" t="s">
        <v>18</v>
      </c>
      <c r="BD14" s="64"/>
      <c r="BE14" s="64">
        <v>0</v>
      </c>
      <c r="BF14" s="64"/>
      <c r="BG14" s="64">
        <v>0</v>
      </c>
      <c r="BH14" s="64"/>
      <c r="BI14" s="64">
        <v>0</v>
      </c>
      <c r="BJ14" s="64"/>
      <c r="BK14" s="64">
        <f>2015+29708</f>
        <v>31723</v>
      </c>
      <c r="BL14" s="64"/>
      <c r="BM14" s="64">
        <f t="shared" si="5"/>
        <v>31723</v>
      </c>
      <c r="BN14" s="91" t="s">
        <v>347</v>
      </c>
    </row>
    <row r="15" spans="1:71" s="140" customFormat="1" ht="12.75" hidden="1" customHeight="1" x14ac:dyDescent="0.2">
      <c r="A15" s="126" t="s">
        <v>19</v>
      </c>
      <c r="B15" s="124"/>
      <c r="C15" s="126" t="s">
        <v>19</v>
      </c>
      <c r="D15" s="126"/>
      <c r="E15" s="126">
        <f t="shared" si="0"/>
        <v>1177780</v>
      </c>
      <c r="F15" s="126"/>
      <c r="G15" s="126">
        <v>739922</v>
      </c>
      <c r="H15" s="126"/>
      <c r="I15" s="126">
        <v>1917702</v>
      </c>
      <c r="J15" s="126"/>
      <c r="K15" s="126">
        <f t="shared" si="1"/>
        <v>135750</v>
      </c>
      <c r="L15" s="126"/>
      <c r="M15" s="126">
        <v>294393</v>
      </c>
      <c r="N15" s="126"/>
      <c r="O15" s="126">
        <v>430143</v>
      </c>
      <c r="P15" s="126"/>
      <c r="Q15" s="126">
        <v>739922</v>
      </c>
      <c r="R15" s="126"/>
      <c r="S15" s="126">
        <v>0</v>
      </c>
      <c r="T15" s="126"/>
      <c r="U15" s="126">
        <v>747637</v>
      </c>
      <c r="V15" s="126"/>
      <c r="W15" s="126">
        <f>SUM(Q15:U15)</f>
        <v>1487559</v>
      </c>
      <c r="X15" s="126"/>
      <c r="Y15" s="126" t="s">
        <v>19</v>
      </c>
      <c r="AA15" s="126" t="s">
        <v>19</v>
      </c>
      <c r="AB15" s="126"/>
      <c r="AC15" s="126">
        <v>1576051</v>
      </c>
      <c r="AD15" s="126"/>
      <c r="AE15" s="126">
        <f>1783038-76996</f>
        <v>1706042</v>
      </c>
      <c r="AF15" s="126"/>
      <c r="AG15" s="126">
        <v>76996</v>
      </c>
      <c r="AH15" s="126"/>
      <c r="AI15" s="127">
        <v>0</v>
      </c>
      <c r="AJ15" s="127"/>
      <c r="AK15" s="126">
        <v>35002</v>
      </c>
      <c r="AL15" s="126"/>
      <c r="AM15" s="126">
        <v>0</v>
      </c>
      <c r="AN15" s="126"/>
      <c r="AO15" s="126">
        <v>0</v>
      </c>
      <c r="AP15" s="126"/>
      <c r="AQ15" s="126">
        <v>0</v>
      </c>
      <c r="AR15" s="126"/>
      <c r="AS15" s="127">
        <f>+AI15+AK15+AM15-AO15+AQ15</f>
        <v>35002</v>
      </c>
      <c r="AT15" s="127"/>
      <c r="AU15" s="126">
        <v>0</v>
      </c>
      <c r="AV15" s="126"/>
      <c r="AW15" s="126">
        <v>0</v>
      </c>
      <c r="AX15" s="126"/>
      <c r="AY15" s="126">
        <f t="shared" si="4"/>
        <v>1042030</v>
      </c>
      <c r="AZ15" s="126"/>
      <c r="BA15" s="126" t="s">
        <v>19</v>
      </c>
      <c r="BC15" s="126" t="s">
        <v>19</v>
      </c>
      <c r="BD15" s="126"/>
      <c r="BE15" s="126">
        <v>0</v>
      </c>
      <c r="BF15" s="126"/>
      <c r="BG15" s="126">
        <v>0</v>
      </c>
      <c r="BH15" s="126"/>
      <c r="BI15" s="126">
        <v>0</v>
      </c>
      <c r="BJ15" s="126"/>
      <c r="BK15" s="126">
        <f>76562+31758+153002+141391</f>
        <v>402713</v>
      </c>
      <c r="BL15" s="126"/>
      <c r="BM15" s="126">
        <f t="shared" si="5"/>
        <v>402713</v>
      </c>
      <c r="BN15" s="139" t="s">
        <v>347</v>
      </c>
      <c r="BS15" s="121" t="s">
        <v>502</v>
      </c>
    </row>
    <row r="16" spans="1:71" ht="12.75" hidden="1" customHeight="1" x14ac:dyDescent="0.2">
      <c r="A16" s="35" t="s">
        <v>20</v>
      </c>
      <c r="C16" s="35" t="s">
        <v>20</v>
      </c>
      <c r="D16" s="35"/>
      <c r="E16" s="35">
        <f t="shared" si="0"/>
        <v>0</v>
      </c>
      <c r="F16" s="35"/>
      <c r="G16" s="35"/>
      <c r="H16" s="35"/>
      <c r="I16" s="35"/>
      <c r="J16" s="35"/>
      <c r="K16" s="35">
        <f t="shared" si="1"/>
        <v>0</v>
      </c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>
        <f t="shared" si="3"/>
        <v>0</v>
      </c>
      <c r="X16" s="35"/>
      <c r="Y16" s="35" t="s">
        <v>20</v>
      </c>
      <c r="Z16" s="55"/>
      <c r="AA16" s="35" t="s">
        <v>20</v>
      </c>
      <c r="AB16" s="35"/>
      <c r="AC16" s="35"/>
      <c r="AD16" s="35"/>
      <c r="AE16" s="35"/>
      <c r="AF16" s="35"/>
      <c r="AG16" s="35"/>
      <c r="AH16" s="35"/>
      <c r="AI16" s="45">
        <v>0</v>
      </c>
      <c r="AJ16" s="45"/>
      <c r="AK16" s="35"/>
      <c r="AL16" s="35"/>
      <c r="AM16" s="35"/>
      <c r="AN16" s="35"/>
      <c r="AO16" s="35"/>
      <c r="AP16" s="35"/>
      <c r="AQ16" s="35"/>
      <c r="AR16" s="35"/>
      <c r="AS16" s="45">
        <f>+AI16+AK16+AM16-AO16+AQ16</f>
        <v>0</v>
      </c>
      <c r="AT16" s="45"/>
      <c r="AU16" s="35">
        <v>0</v>
      </c>
      <c r="AV16" s="35"/>
      <c r="AW16" s="35">
        <v>0</v>
      </c>
      <c r="AX16" s="35"/>
      <c r="AY16" s="35">
        <f t="shared" si="4"/>
        <v>0</v>
      </c>
      <c r="AZ16" s="35"/>
      <c r="BA16" s="35" t="s">
        <v>20</v>
      </c>
      <c r="BB16" s="55"/>
      <c r="BC16" s="35" t="s">
        <v>20</v>
      </c>
      <c r="BD16" s="35"/>
      <c r="BE16" s="35"/>
      <c r="BF16" s="35"/>
      <c r="BG16" s="35"/>
      <c r="BH16" s="35"/>
      <c r="BI16" s="35"/>
      <c r="BJ16" s="35"/>
      <c r="BK16" s="35"/>
      <c r="BL16" s="35"/>
      <c r="BM16" s="35">
        <f t="shared" si="5"/>
        <v>0</v>
      </c>
      <c r="BN16" s="54" t="s">
        <v>347</v>
      </c>
    </row>
    <row r="17" spans="1:67" ht="12.75" hidden="1" customHeight="1" x14ac:dyDescent="0.2">
      <c r="A17" s="35" t="s">
        <v>21</v>
      </c>
      <c r="C17" s="35" t="s">
        <v>22</v>
      </c>
      <c r="D17" s="35"/>
      <c r="E17" s="35">
        <f t="shared" si="0"/>
        <v>0</v>
      </c>
      <c r="F17" s="35"/>
      <c r="G17" s="35"/>
      <c r="H17" s="35"/>
      <c r="I17" s="35"/>
      <c r="J17" s="35"/>
      <c r="K17" s="35">
        <f t="shared" si="1"/>
        <v>0</v>
      </c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>
        <f t="shared" si="3"/>
        <v>0</v>
      </c>
      <c r="X17" s="35"/>
      <c r="Y17" s="35" t="s">
        <v>21</v>
      </c>
      <c r="Z17" s="55"/>
      <c r="AA17" s="35" t="s">
        <v>22</v>
      </c>
      <c r="AB17" s="35"/>
      <c r="AC17" s="35"/>
      <c r="AD17" s="35"/>
      <c r="AE17" s="35"/>
      <c r="AF17" s="35"/>
      <c r="AG17" s="35"/>
      <c r="AH17" s="35"/>
      <c r="AI17" s="45">
        <f t="shared" ref="AI17:AI31" si="6">+AC17-AE17-AG17</f>
        <v>0</v>
      </c>
      <c r="AJ17" s="45"/>
      <c r="AK17" s="35"/>
      <c r="AL17" s="35"/>
      <c r="AM17" s="35"/>
      <c r="AN17" s="35"/>
      <c r="AO17" s="35"/>
      <c r="AP17" s="35"/>
      <c r="AQ17" s="35"/>
      <c r="AR17" s="35"/>
      <c r="AS17" s="45">
        <f>+AI17+AK17+AM17-AO17+AQ17</f>
        <v>0</v>
      </c>
      <c r="AT17" s="45"/>
      <c r="AU17" s="35">
        <v>0</v>
      </c>
      <c r="AV17" s="35"/>
      <c r="AW17" s="35">
        <v>0</v>
      </c>
      <c r="AX17" s="35"/>
      <c r="AY17" s="35">
        <f t="shared" si="4"/>
        <v>0</v>
      </c>
      <c r="AZ17" s="35"/>
      <c r="BA17" s="35" t="s">
        <v>21</v>
      </c>
      <c r="BB17" s="55"/>
      <c r="BC17" s="35" t="s">
        <v>22</v>
      </c>
      <c r="BD17" s="35"/>
      <c r="BE17" s="35"/>
      <c r="BF17" s="35"/>
      <c r="BG17" s="35"/>
      <c r="BH17" s="35"/>
      <c r="BI17" s="35"/>
      <c r="BJ17" s="35"/>
      <c r="BK17" s="35"/>
      <c r="BL17" s="35"/>
      <c r="BM17" s="35">
        <f t="shared" si="5"/>
        <v>0</v>
      </c>
      <c r="BN17" s="54" t="s">
        <v>347</v>
      </c>
    </row>
    <row r="18" spans="1:67" ht="12.75" hidden="1" customHeight="1" x14ac:dyDescent="0.2">
      <c r="A18" s="35" t="s">
        <v>23</v>
      </c>
      <c r="C18" s="35" t="s">
        <v>17</v>
      </c>
      <c r="D18" s="35"/>
      <c r="E18" s="35">
        <f t="shared" si="0"/>
        <v>0</v>
      </c>
      <c r="F18" s="35"/>
      <c r="G18" s="35"/>
      <c r="H18" s="35"/>
      <c r="I18" s="35"/>
      <c r="J18" s="35"/>
      <c r="K18" s="35">
        <f t="shared" si="1"/>
        <v>0</v>
      </c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>
        <f t="shared" si="3"/>
        <v>0</v>
      </c>
      <c r="X18" s="35"/>
      <c r="Y18" s="35" t="s">
        <v>23</v>
      </c>
      <c r="Z18" s="55"/>
      <c r="AA18" s="35" t="s">
        <v>17</v>
      </c>
      <c r="AB18" s="35"/>
      <c r="AC18" s="35"/>
      <c r="AD18" s="35"/>
      <c r="AE18" s="35"/>
      <c r="AF18" s="35"/>
      <c r="AG18" s="35"/>
      <c r="AH18" s="35"/>
      <c r="AI18" s="45">
        <f t="shared" si="6"/>
        <v>0</v>
      </c>
      <c r="AJ18" s="45"/>
      <c r="AK18" s="35"/>
      <c r="AL18" s="35"/>
      <c r="AM18" s="35"/>
      <c r="AN18" s="35"/>
      <c r="AO18" s="35"/>
      <c r="AP18" s="35"/>
      <c r="AQ18" s="35"/>
      <c r="AR18" s="35"/>
      <c r="AS18" s="45">
        <v>0</v>
      </c>
      <c r="AT18" s="45"/>
      <c r="AU18" s="35">
        <v>0</v>
      </c>
      <c r="AV18" s="35"/>
      <c r="AW18" s="35">
        <v>0</v>
      </c>
      <c r="AX18" s="35"/>
      <c r="AY18" s="35">
        <f t="shared" si="4"/>
        <v>0</v>
      </c>
      <c r="AZ18" s="35"/>
      <c r="BA18" s="35" t="s">
        <v>23</v>
      </c>
      <c r="BB18" s="55"/>
      <c r="BC18" s="35" t="s">
        <v>17</v>
      </c>
      <c r="BD18" s="35"/>
      <c r="BE18" s="35"/>
      <c r="BF18" s="35"/>
      <c r="BG18" s="35"/>
      <c r="BH18" s="35"/>
      <c r="BI18" s="35"/>
      <c r="BJ18" s="35"/>
      <c r="BK18" s="35"/>
      <c r="BL18" s="35"/>
      <c r="BM18" s="35">
        <f t="shared" si="5"/>
        <v>0</v>
      </c>
      <c r="BN18" s="54" t="s">
        <v>347</v>
      </c>
    </row>
    <row r="19" spans="1:67" ht="12.75" hidden="1" customHeight="1" x14ac:dyDescent="0.2">
      <c r="A19" s="35" t="s">
        <v>24</v>
      </c>
      <c r="C19" s="35" t="s">
        <v>17</v>
      </c>
      <c r="D19" s="35"/>
      <c r="E19" s="35">
        <f t="shared" si="0"/>
        <v>0</v>
      </c>
      <c r="F19" s="35"/>
      <c r="G19" s="35"/>
      <c r="H19" s="35"/>
      <c r="I19" s="35"/>
      <c r="J19" s="35"/>
      <c r="K19" s="35">
        <f t="shared" si="1"/>
        <v>0</v>
      </c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>
        <f t="shared" si="3"/>
        <v>0</v>
      </c>
      <c r="X19" s="35"/>
      <c r="Y19" s="35" t="s">
        <v>24</v>
      </c>
      <c r="Z19" s="55"/>
      <c r="AA19" s="35" t="s">
        <v>17</v>
      </c>
      <c r="AB19" s="35"/>
      <c r="AC19" s="35"/>
      <c r="AD19" s="35"/>
      <c r="AE19" s="35"/>
      <c r="AF19" s="35"/>
      <c r="AG19" s="35"/>
      <c r="AH19" s="35"/>
      <c r="AI19" s="45">
        <f t="shared" si="6"/>
        <v>0</v>
      </c>
      <c r="AJ19" s="45"/>
      <c r="AK19" s="35"/>
      <c r="AL19" s="35"/>
      <c r="AM19" s="35"/>
      <c r="AN19" s="35"/>
      <c r="AO19" s="35"/>
      <c r="AP19" s="35"/>
      <c r="AQ19" s="35"/>
      <c r="AR19" s="35"/>
      <c r="AS19" s="45">
        <f t="shared" ref="AS19:AS27" si="7">+AI19+AK19+AM19-AO19+AQ19</f>
        <v>0</v>
      </c>
      <c r="AT19" s="45"/>
      <c r="AU19" s="35">
        <v>0</v>
      </c>
      <c r="AV19" s="35"/>
      <c r="AW19" s="35">
        <v>0</v>
      </c>
      <c r="AX19" s="35"/>
      <c r="AY19" s="35">
        <f t="shared" si="4"/>
        <v>0</v>
      </c>
      <c r="AZ19" s="35"/>
      <c r="BA19" s="35" t="s">
        <v>24</v>
      </c>
      <c r="BB19" s="55"/>
      <c r="BC19" s="35" t="s">
        <v>17</v>
      </c>
      <c r="BD19" s="35"/>
      <c r="BE19" s="35"/>
      <c r="BF19" s="35"/>
      <c r="BG19" s="35"/>
      <c r="BH19" s="35"/>
      <c r="BI19" s="35"/>
      <c r="BJ19" s="35"/>
      <c r="BK19" s="35"/>
      <c r="BL19" s="35"/>
      <c r="BM19" s="35">
        <f t="shared" si="5"/>
        <v>0</v>
      </c>
      <c r="BN19" s="54" t="s">
        <v>347</v>
      </c>
    </row>
    <row r="20" spans="1:67" hidden="1" x14ac:dyDescent="0.2">
      <c r="A20" s="35" t="s">
        <v>25</v>
      </c>
      <c r="C20" s="35" t="s">
        <v>13</v>
      </c>
      <c r="D20" s="35"/>
      <c r="E20" s="35">
        <f t="shared" si="0"/>
        <v>0</v>
      </c>
      <c r="F20" s="35"/>
      <c r="G20" s="35"/>
      <c r="H20" s="35"/>
      <c r="I20" s="35"/>
      <c r="J20" s="35"/>
      <c r="K20" s="35">
        <f t="shared" si="1"/>
        <v>0</v>
      </c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>
        <f t="shared" si="3"/>
        <v>0</v>
      </c>
      <c r="X20" s="35"/>
      <c r="Y20" s="35" t="s">
        <v>25</v>
      </c>
      <c r="Z20" s="55"/>
      <c r="AA20" s="35" t="s">
        <v>13</v>
      </c>
      <c r="AB20" s="35"/>
      <c r="AC20" s="35"/>
      <c r="AD20" s="35"/>
      <c r="AE20" s="35"/>
      <c r="AF20" s="35"/>
      <c r="AG20" s="35"/>
      <c r="AH20" s="35"/>
      <c r="AI20" s="45">
        <f t="shared" si="6"/>
        <v>0</v>
      </c>
      <c r="AJ20" s="45"/>
      <c r="AK20" s="35"/>
      <c r="AL20" s="35"/>
      <c r="AM20" s="35"/>
      <c r="AN20" s="35"/>
      <c r="AO20" s="35"/>
      <c r="AP20" s="35"/>
      <c r="AQ20" s="35"/>
      <c r="AR20" s="35"/>
      <c r="AS20" s="45">
        <f t="shared" si="7"/>
        <v>0</v>
      </c>
      <c r="AT20" s="45"/>
      <c r="AU20" s="35">
        <v>0</v>
      </c>
      <c r="AV20" s="35"/>
      <c r="AW20" s="35">
        <v>0</v>
      </c>
      <c r="AX20" s="35"/>
      <c r="AY20" s="35">
        <f t="shared" si="4"/>
        <v>0</v>
      </c>
      <c r="AZ20" s="35"/>
      <c r="BA20" s="35" t="s">
        <v>25</v>
      </c>
      <c r="BB20" s="55"/>
      <c r="BC20" s="35" t="s">
        <v>13</v>
      </c>
      <c r="BD20" s="35"/>
      <c r="BE20" s="35"/>
      <c r="BF20" s="35"/>
      <c r="BG20" s="35"/>
      <c r="BH20" s="35"/>
      <c r="BI20" s="35"/>
      <c r="BJ20" s="35"/>
      <c r="BK20" s="35"/>
      <c r="BL20" s="35"/>
      <c r="BM20" s="35">
        <f t="shared" si="5"/>
        <v>0</v>
      </c>
      <c r="BN20" s="54" t="s">
        <v>347</v>
      </c>
    </row>
    <row r="21" spans="1:67" hidden="1" x14ac:dyDescent="0.2">
      <c r="A21" s="35" t="s">
        <v>26</v>
      </c>
      <c r="C21" s="35" t="s">
        <v>27</v>
      </c>
      <c r="D21" s="35"/>
      <c r="E21" s="35">
        <f t="shared" si="0"/>
        <v>0</v>
      </c>
      <c r="F21" s="35"/>
      <c r="G21" s="35"/>
      <c r="H21" s="35"/>
      <c r="I21" s="35"/>
      <c r="J21" s="35"/>
      <c r="K21" s="35">
        <f t="shared" si="1"/>
        <v>0</v>
      </c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>
        <f t="shared" si="3"/>
        <v>0</v>
      </c>
      <c r="X21" s="35"/>
      <c r="Y21" s="35" t="s">
        <v>26</v>
      </c>
      <c r="Z21" s="55"/>
      <c r="AA21" s="35" t="s">
        <v>27</v>
      </c>
      <c r="AB21" s="35"/>
      <c r="AC21" s="35"/>
      <c r="AD21" s="35"/>
      <c r="AE21" s="35"/>
      <c r="AF21" s="35"/>
      <c r="AG21" s="35"/>
      <c r="AH21" s="35"/>
      <c r="AI21" s="45">
        <f t="shared" si="6"/>
        <v>0</v>
      </c>
      <c r="AJ21" s="45"/>
      <c r="AK21" s="35"/>
      <c r="AL21" s="35"/>
      <c r="AM21" s="35"/>
      <c r="AN21" s="35"/>
      <c r="AO21" s="35"/>
      <c r="AP21" s="35"/>
      <c r="AQ21" s="35"/>
      <c r="AR21" s="35"/>
      <c r="AS21" s="45">
        <f t="shared" si="7"/>
        <v>0</v>
      </c>
      <c r="AT21" s="45"/>
      <c r="AU21" s="35">
        <v>0</v>
      </c>
      <c r="AV21" s="35"/>
      <c r="AW21" s="35">
        <v>0</v>
      </c>
      <c r="AX21" s="35"/>
      <c r="AY21" s="35">
        <f t="shared" si="4"/>
        <v>0</v>
      </c>
      <c r="AZ21" s="35"/>
      <c r="BA21" s="35" t="s">
        <v>26</v>
      </c>
      <c r="BB21" s="55"/>
      <c r="BC21" s="35" t="s">
        <v>27</v>
      </c>
      <c r="BD21" s="35"/>
      <c r="BE21" s="35"/>
      <c r="BF21" s="35"/>
      <c r="BG21" s="35"/>
      <c r="BH21" s="35"/>
      <c r="BI21" s="35"/>
      <c r="BJ21" s="35"/>
      <c r="BK21" s="35"/>
      <c r="BL21" s="35"/>
      <c r="BM21" s="35">
        <f t="shared" si="5"/>
        <v>0</v>
      </c>
      <c r="BN21" s="54" t="s">
        <v>347</v>
      </c>
    </row>
    <row r="22" spans="1:67" hidden="1" x14ac:dyDescent="0.2">
      <c r="A22" s="35" t="s">
        <v>28</v>
      </c>
      <c r="C22" s="35" t="s">
        <v>27</v>
      </c>
      <c r="D22" s="35"/>
      <c r="E22" s="35">
        <f t="shared" si="0"/>
        <v>0</v>
      </c>
      <c r="F22" s="35"/>
      <c r="G22" s="35"/>
      <c r="H22" s="35"/>
      <c r="I22" s="35"/>
      <c r="J22" s="35"/>
      <c r="K22" s="35">
        <f t="shared" si="1"/>
        <v>0</v>
      </c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>
        <f t="shared" si="3"/>
        <v>0</v>
      </c>
      <c r="X22" s="35"/>
      <c r="Y22" s="35" t="s">
        <v>28</v>
      </c>
      <c r="Z22" s="55"/>
      <c r="AA22" s="35" t="s">
        <v>27</v>
      </c>
      <c r="AB22" s="35"/>
      <c r="AC22" s="35"/>
      <c r="AD22" s="35"/>
      <c r="AE22" s="35"/>
      <c r="AF22" s="35"/>
      <c r="AG22" s="35"/>
      <c r="AH22" s="35"/>
      <c r="AI22" s="45">
        <f t="shared" si="6"/>
        <v>0</v>
      </c>
      <c r="AJ22" s="45"/>
      <c r="AK22" s="35"/>
      <c r="AL22" s="35"/>
      <c r="AM22" s="35"/>
      <c r="AN22" s="35"/>
      <c r="AO22" s="35"/>
      <c r="AP22" s="35"/>
      <c r="AQ22" s="35"/>
      <c r="AR22" s="35"/>
      <c r="AS22" s="45">
        <f t="shared" si="7"/>
        <v>0</v>
      </c>
      <c r="AT22" s="45"/>
      <c r="AU22" s="35">
        <v>0</v>
      </c>
      <c r="AV22" s="35"/>
      <c r="AW22" s="35">
        <v>0</v>
      </c>
      <c r="AX22" s="35"/>
      <c r="AY22" s="35">
        <f t="shared" si="4"/>
        <v>0</v>
      </c>
      <c r="AZ22" s="35"/>
      <c r="BA22" s="35" t="s">
        <v>28</v>
      </c>
      <c r="BB22" s="55"/>
      <c r="BC22" s="35" t="s">
        <v>27</v>
      </c>
      <c r="BD22" s="35"/>
      <c r="BE22" s="35"/>
      <c r="BF22" s="35"/>
      <c r="BG22" s="35"/>
      <c r="BH22" s="35"/>
      <c r="BI22" s="35"/>
      <c r="BJ22" s="35"/>
      <c r="BK22" s="35"/>
      <c r="BL22" s="35"/>
      <c r="BM22" s="35">
        <f t="shared" si="5"/>
        <v>0</v>
      </c>
      <c r="BN22" s="54" t="s">
        <v>347</v>
      </c>
    </row>
    <row r="23" spans="1:67" hidden="1" x14ac:dyDescent="0.2">
      <c r="A23" s="35" t="s">
        <v>29</v>
      </c>
      <c r="C23" s="35" t="s">
        <v>30</v>
      </c>
      <c r="D23" s="35"/>
      <c r="E23" s="35">
        <f t="shared" si="0"/>
        <v>0</v>
      </c>
      <c r="F23" s="35"/>
      <c r="G23" s="35"/>
      <c r="H23" s="35"/>
      <c r="I23" s="35"/>
      <c r="J23" s="35"/>
      <c r="K23" s="35">
        <f t="shared" si="1"/>
        <v>0</v>
      </c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>
        <f t="shared" si="3"/>
        <v>0</v>
      </c>
      <c r="X23" s="35"/>
      <c r="Y23" s="35" t="s">
        <v>29</v>
      </c>
      <c r="Z23" s="55"/>
      <c r="AA23" s="35" t="s">
        <v>30</v>
      </c>
      <c r="AB23" s="35"/>
      <c r="AC23" s="35"/>
      <c r="AD23" s="35"/>
      <c r="AE23" s="35"/>
      <c r="AF23" s="35"/>
      <c r="AG23" s="35"/>
      <c r="AH23" s="35"/>
      <c r="AI23" s="45">
        <f t="shared" si="6"/>
        <v>0</v>
      </c>
      <c r="AJ23" s="45"/>
      <c r="AK23" s="35"/>
      <c r="AL23" s="35"/>
      <c r="AM23" s="35"/>
      <c r="AN23" s="35"/>
      <c r="AO23" s="35"/>
      <c r="AP23" s="35"/>
      <c r="AQ23" s="35"/>
      <c r="AR23" s="35"/>
      <c r="AS23" s="45">
        <f t="shared" si="7"/>
        <v>0</v>
      </c>
      <c r="AT23" s="45"/>
      <c r="AU23" s="35">
        <v>0</v>
      </c>
      <c r="AV23" s="35"/>
      <c r="AW23" s="35">
        <v>0</v>
      </c>
      <c r="AX23" s="35"/>
      <c r="AY23" s="35">
        <f t="shared" si="4"/>
        <v>0</v>
      </c>
      <c r="AZ23" s="35"/>
      <c r="BA23" s="35" t="s">
        <v>29</v>
      </c>
      <c r="BB23" s="55"/>
      <c r="BC23" s="35" t="s">
        <v>30</v>
      </c>
      <c r="BD23" s="35"/>
      <c r="BE23" s="35"/>
      <c r="BF23" s="35"/>
      <c r="BG23" s="35"/>
      <c r="BH23" s="35"/>
      <c r="BI23" s="35"/>
      <c r="BJ23" s="35"/>
      <c r="BK23" s="35"/>
      <c r="BL23" s="35"/>
      <c r="BM23" s="35">
        <f t="shared" si="5"/>
        <v>0</v>
      </c>
      <c r="BN23" s="54" t="s">
        <v>347</v>
      </c>
    </row>
    <row r="24" spans="1:67" hidden="1" x14ac:dyDescent="0.2">
      <c r="A24" s="35" t="s">
        <v>31</v>
      </c>
      <c r="C24" s="35" t="s">
        <v>27</v>
      </c>
      <c r="D24" s="35"/>
      <c r="E24" s="35">
        <f t="shared" si="0"/>
        <v>0</v>
      </c>
      <c r="F24" s="35"/>
      <c r="G24" s="35"/>
      <c r="H24" s="35"/>
      <c r="I24" s="35"/>
      <c r="J24" s="35"/>
      <c r="K24" s="35">
        <f t="shared" si="1"/>
        <v>0</v>
      </c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>
        <f t="shared" si="3"/>
        <v>0</v>
      </c>
      <c r="X24" s="35"/>
      <c r="Y24" s="35" t="s">
        <v>31</v>
      </c>
      <c r="Z24" s="55"/>
      <c r="AA24" s="35" t="s">
        <v>27</v>
      </c>
      <c r="AB24" s="35"/>
      <c r="AC24" s="35"/>
      <c r="AD24" s="35"/>
      <c r="AE24" s="35"/>
      <c r="AF24" s="35"/>
      <c r="AG24" s="35"/>
      <c r="AH24" s="35"/>
      <c r="AI24" s="45">
        <f t="shared" si="6"/>
        <v>0</v>
      </c>
      <c r="AJ24" s="45"/>
      <c r="AK24" s="35"/>
      <c r="AL24" s="35"/>
      <c r="AM24" s="35"/>
      <c r="AN24" s="35"/>
      <c r="AO24" s="35"/>
      <c r="AP24" s="35"/>
      <c r="AQ24" s="35"/>
      <c r="AR24" s="35"/>
      <c r="AS24" s="45">
        <f t="shared" si="7"/>
        <v>0</v>
      </c>
      <c r="AT24" s="45"/>
      <c r="AU24" s="35">
        <v>0</v>
      </c>
      <c r="AV24" s="35"/>
      <c r="AW24" s="35">
        <v>0</v>
      </c>
      <c r="AX24" s="35"/>
      <c r="AY24" s="35">
        <f t="shared" si="4"/>
        <v>0</v>
      </c>
      <c r="AZ24" s="35"/>
      <c r="BA24" s="35" t="s">
        <v>31</v>
      </c>
      <c r="BB24" s="55"/>
      <c r="BC24" s="35" t="s">
        <v>27</v>
      </c>
      <c r="BD24" s="35"/>
      <c r="BE24" s="35"/>
      <c r="BF24" s="35"/>
      <c r="BG24" s="35"/>
      <c r="BH24" s="35"/>
      <c r="BI24" s="35"/>
      <c r="BJ24" s="35"/>
      <c r="BK24" s="35"/>
      <c r="BL24" s="35"/>
      <c r="BM24" s="35">
        <f t="shared" si="5"/>
        <v>0</v>
      </c>
      <c r="BN24" s="54" t="s">
        <v>347</v>
      </c>
      <c r="BO24" s="55" t="s">
        <v>371</v>
      </c>
    </row>
    <row r="25" spans="1:67" hidden="1" x14ac:dyDescent="0.2">
      <c r="A25" s="35" t="s">
        <v>32</v>
      </c>
      <c r="C25" s="35" t="s">
        <v>27</v>
      </c>
      <c r="D25" s="35"/>
      <c r="E25" s="35">
        <f t="shared" si="0"/>
        <v>0</v>
      </c>
      <c r="F25" s="35"/>
      <c r="G25" s="35"/>
      <c r="H25" s="35"/>
      <c r="I25" s="35"/>
      <c r="J25" s="35"/>
      <c r="K25" s="35">
        <f t="shared" si="1"/>
        <v>0</v>
      </c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>
        <f t="shared" si="3"/>
        <v>0</v>
      </c>
      <c r="X25" s="35"/>
      <c r="Y25" s="35" t="s">
        <v>32</v>
      </c>
      <c r="Z25" s="55"/>
      <c r="AA25" s="35" t="s">
        <v>27</v>
      </c>
      <c r="AB25" s="35"/>
      <c r="AC25" s="35"/>
      <c r="AD25" s="35"/>
      <c r="AE25" s="35"/>
      <c r="AF25" s="35"/>
      <c r="AG25" s="35"/>
      <c r="AH25" s="35"/>
      <c r="AI25" s="45">
        <f t="shared" si="6"/>
        <v>0</v>
      </c>
      <c r="AJ25" s="45"/>
      <c r="AK25" s="35"/>
      <c r="AL25" s="35"/>
      <c r="AM25" s="35"/>
      <c r="AN25" s="35"/>
      <c r="AO25" s="35"/>
      <c r="AP25" s="35"/>
      <c r="AQ25" s="35"/>
      <c r="AR25" s="35"/>
      <c r="AS25" s="45">
        <f t="shared" si="7"/>
        <v>0</v>
      </c>
      <c r="AT25" s="45"/>
      <c r="AU25" s="35">
        <v>0</v>
      </c>
      <c r="AV25" s="35"/>
      <c r="AW25" s="35">
        <v>0</v>
      </c>
      <c r="AX25" s="35"/>
      <c r="AY25" s="35">
        <f t="shared" si="4"/>
        <v>0</v>
      </c>
      <c r="AZ25" s="35"/>
      <c r="BA25" s="35" t="s">
        <v>32</v>
      </c>
      <c r="BB25" s="55"/>
      <c r="BC25" s="35" t="s">
        <v>27</v>
      </c>
      <c r="BD25" s="35"/>
      <c r="BE25" s="35"/>
      <c r="BF25" s="35"/>
      <c r="BG25" s="35"/>
      <c r="BH25" s="35"/>
      <c r="BI25" s="35"/>
      <c r="BJ25" s="35"/>
      <c r="BK25" s="35"/>
      <c r="BL25" s="35"/>
      <c r="BM25" s="35">
        <f t="shared" si="5"/>
        <v>0</v>
      </c>
      <c r="BN25" s="54" t="s">
        <v>347</v>
      </c>
    </row>
    <row r="26" spans="1:67" x14ac:dyDescent="0.2">
      <c r="A26" s="35" t="s">
        <v>34</v>
      </c>
      <c r="C26" s="35" t="s">
        <v>30</v>
      </c>
      <c r="D26" s="35"/>
      <c r="E26" s="53">
        <f t="shared" si="0"/>
        <v>259986</v>
      </c>
      <c r="F26" s="53"/>
      <c r="G26" s="53">
        <v>51245</v>
      </c>
      <c r="H26" s="53"/>
      <c r="I26" s="53">
        <v>311231</v>
      </c>
      <c r="J26" s="53"/>
      <c r="K26" s="53">
        <f t="shared" si="1"/>
        <v>68913</v>
      </c>
      <c r="L26" s="53"/>
      <c r="M26" s="53">
        <v>2120</v>
      </c>
      <c r="N26" s="53"/>
      <c r="O26" s="53">
        <v>71033</v>
      </c>
      <c r="P26" s="53"/>
      <c r="Q26" s="53">
        <v>51245</v>
      </c>
      <c r="R26" s="53"/>
      <c r="S26" s="53">
        <v>0</v>
      </c>
      <c r="T26" s="53"/>
      <c r="U26" s="53">
        <v>188953</v>
      </c>
      <c r="V26" s="53"/>
      <c r="W26" s="53">
        <f>SUM(Q26:U26)</f>
        <v>240198</v>
      </c>
      <c r="X26" s="35"/>
      <c r="Y26" s="35" t="s">
        <v>34</v>
      </c>
      <c r="Z26" s="55"/>
      <c r="AA26" s="35" t="s">
        <v>30</v>
      </c>
      <c r="AB26" s="35"/>
      <c r="AC26" s="53">
        <v>513161</v>
      </c>
      <c r="AD26" s="53"/>
      <c r="AE26" s="53">
        <f>482520-11247</f>
        <v>471273</v>
      </c>
      <c r="AF26" s="53"/>
      <c r="AG26" s="53">
        <v>11247</v>
      </c>
      <c r="AH26" s="53"/>
      <c r="AI26" s="45">
        <f t="shared" si="6"/>
        <v>30641</v>
      </c>
      <c r="AJ26" s="45"/>
      <c r="AK26" s="53">
        <v>0</v>
      </c>
      <c r="AM26" s="53">
        <v>0</v>
      </c>
      <c r="AN26" s="53"/>
      <c r="AO26" s="53">
        <v>0</v>
      </c>
      <c r="AP26" s="53"/>
      <c r="AQ26" s="53">
        <v>0</v>
      </c>
      <c r="AR26" s="53"/>
      <c r="AS26" s="45">
        <f t="shared" si="7"/>
        <v>30641</v>
      </c>
      <c r="AT26" s="45"/>
      <c r="AU26" s="53">
        <v>0</v>
      </c>
      <c r="AV26" s="53"/>
      <c r="AW26" s="53">
        <v>0</v>
      </c>
      <c r="AX26" s="53"/>
      <c r="AY26" s="53">
        <f t="shared" si="4"/>
        <v>191073</v>
      </c>
      <c r="AZ26" s="35"/>
      <c r="BA26" s="35" t="s">
        <v>34</v>
      </c>
      <c r="BB26" s="55"/>
      <c r="BC26" s="35" t="s">
        <v>30</v>
      </c>
      <c r="BD26" s="35"/>
      <c r="BE26" s="53">
        <v>0</v>
      </c>
      <c r="BF26" s="53"/>
      <c r="BG26" s="53">
        <v>0</v>
      </c>
      <c r="BH26" s="53"/>
      <c r="BI26" s="53">
        <v>0</v>
      </c>
      <c r="BJ26" s="53"/>
      <c r="BK26" s="53">
        <f>1321+2120</f>
        <v>3441</v>
      </c>
      <c r="BL26" s="35"/>
      <c r="BM26" s="35">
        <f t="shared" si="5"/>
        <v>3441</v>
      </c>
      <c r="BN26" s="54" t="s">
        <v>347</v>
      </c>
    </row>
    <row r="27" spans="1:67" x14ac:dyDescent="0.2">
      <c r="A27" s="35" t="s">
        <v>35</v>
      </c>
      <c r="C27" s="35" t="s">
        <v>36</v>
      </c>
      <c r="D27" s="35"/>
      <c r="E27" s="35">
        <f t="shared" si="0"/>
        <v>526841</v>
      </c>
      <c r="F27" s="35"/>
      <c r="G27" s="35">
        <v>81331</v>
      </c>
      <c r="H27" s="35"/>
      <c r="I27" s="35">
        <v>608172</v>
      </c>
      <c r="J27" s="35"/>
      <c r="K27" s="35">
        <f t="shared" si="1"/>
        <v>61520</v>
      </c>
      <c r="L27" s="35"/>
      <c r="M27" s="35">
        <v>10125</v>
      </c>
      <c r="N27" s="35"/>
      <c r="O27" s="35">
        <v>71645</v>
      </c>
      <c r="P27" s="35"/>
      <c r="Q27" s="35">
        <v>81331</v>
      </c>
      <c r="R27" s="35"/>
      <c r="S27" s="35">
        <v>0</v>
      </c>
      <c r="T27" s="35"/>
      <c r="U27" s="35">
        <v>455196</v>
      </c>
      <c r="V27" s="35"/>
      <c r="W27" s="35">
        <f t="shared" si="3"/>
        <v>536527</v>
      </c>
      <c r="X27" s="35"/>
      <c r="Y27" s="35" t="s">
        <v>35</v>
      </c>
      <c r="Z27" s="55"/>
      <c r="AA27" s="35" t="s">
        <v>36</v>
      </c>
      <c r="AB27" s="35"/>
      <c r="AC27" s="35">
        <v>903971</v>
      </c>
      <c r="AD27" s="35"/>
      <c r="AE27" s="35">
        <f>749517-9819</f>
        <v>739698</v>
      </c>
      <c r="AF27" s="35"/>
      <c r="AG27" s="35">
        <v>9819</v>
      </c>
      <c r="AH27" s="35"/>
      <c r="AI27" s="45">
        <f t="shared" si="6"/>
        <v>154454</v>
      </c>
      <c r="AJ27" s="45"/>
      <c r="AK27" s="35">
        <v>0</v>
      </c>
      <c r="AL27" s="35"/>
      <c r="AM27" s="35">
        <v>0</v>
      </c>
      <c r="AN27" s="35"/>
      <c r="AO27" s="35">
        <v>0</v>
      </c>
      <c r="AP27" s="35"/>
      <c r="AQ27" s="35">
        <v>0</v>
      </c>
      <c r="AR27" s="35"/>
      <c r="AS27" s="45">
        <f t="shared" si="7"/>
        <v>154454</v>
      </c>
      <c r="AT27" s="45"/>
      <c r="AU27" s="35">
        <v>0</v>
      </c>
      <c r="AV27" s="35"/>
      <c r="AW27" s="35">
        <v>0</v>
      </c>
      <c r="AX27" s="35"/>
      <c r="AY27" s="35">
        <f t="shared" si="4"/>
        <v>465321</v>
      </c>
      <c r="AZ27" s="35"/>
      <c r="BA27" s="35" t="s">
        <v>35</v>
      </c>
      <c r="BB27" s="55"/>
      <c r="BC27" s="35" t="s">
        <v>36</v>
      </c>
      <c r="BD27" s="35"/>
      <c r="BE27" s="35">
        <v>0</v>
      </c>
      <c r="BF27" s="35"/>
      <c r="BG27" s="35">
        <v>0</v>
      </c>
      <c r="BH27" s="35"/>
      <c r="BI27" s="35">
        <v>0</v>
      </c>
      <c r="BJ27" s="35"/>
      <c r="BK27" s="35">
        <f>10125+7193</f>
        <v>17318</v>
      </c>
      <c r="BL27" s="35"/>
      <c r="BM27" s="35">
        <f t="shared" si="5"/>
        <v>17318</v>
      </c>
      <c r="BN27" s="54" t="s">
        <v>347</v>
      </c>
    </row>
    <row r="28" spans="1:67" hidden="1" x14ac:dyDescent="0.2">
      <c r="A28" s="35" t="s">
        <v>37</v>
      </c>
      <c r="C28" s="35" t="s">
        <v>38</v>
      </c>
      <c r="D28" s="35"/>
      <c r="E28" s="35">
        <f t="shared" si="0"/>
        <v>0</v>
      </c>
      <c r="F28" s="35"/>
      <c r="G28" s="35"/>
      <c r="H28" s="35"/>
      <c r="I28" s="35"/>
      <c r="J28" s="35"/>
      <c r="K28" s="35">
        <f t="shared" si="1"/>
        <v>0</v>
      </c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>
        <f t="shared" si="3"/>
        <v>0</v>
      </c>
      <c r="X28" s="35"/>
      <c r="Y28" s="35" t="s">
        <v>37</v>
      </c>
      <c r="Z28" s="55"/>
      <c r="AA28" s="35" t="s">
        <v>38</v>
      </c>
      <c r="AB28" s="35"/>
      <c r="AC28" s="35"/>
      <c r="AD28" s="35"/>
      <c r="AE28" s="35"/>
      <c r="AF28" s="35"/>
      <c r="AG28" s="35"/>
      <c r="AH28" s="35"/>
      <c r="AI28" s="45">
        <f t="shared" si="6"/>
        <v>0</v>
      </c>
      <c r="AJ28" s="45"/>
      <c r="AK28" s="35"/>
      <c r="AL28" s="35"/>
      <c r="AM28" s="35"/>
      <c r="AN28" s="35"/>
      <c r="AO28" s="35"/>
      <c r="AP28" s="35"/>
      <c r="AQ28" s="35"/>
      <c r="AR28" s="35"/>
      <c r="AS28" s="45">
        <v>0</v>
      </c>
      <c r="AT28" s="45"/>
      <c r="AU28" s="35">
        <v>0</v>
      </c>
      <c r="AV28" s="35"/>
      <c r="AW28" s="35">
        <v>0</v>
      </c>
      <c r="AX28" s="35"/>
      <c r="AY28" s="35">
        <f t="shared" si="4"/>
        <v>0</v>
      </c>
      <c r="AZ28" s="35"/>
      <c r="BA28" s="35" t="s">
        <v>37</v>
      </c>
      <c r="BB28" s="55"/>
      <c r="BC28" s="35" t="s">
        <v>38</v>
      </c>
      <c r="BD28" s="35"/>
      <c r="BE28" s="35"/>
      <c r="BF28" s="35"/>
      <c r="BG28" s="35"/>
      <c r="BH28" s="35"/>
      <c r="BI28" s="35"/>
      <c r="BJ28" s="35"/>
      <c r="BK28" s="35"/>
      <c r="BL28" s="35"/>
      <c r="BM28" s="35">
        <v>0</v>
      </c>
      <c r="BN28" s="54" t="s">
        <v>347</v>
      </c>
    </row>
    <row r="29" spans="1:67" hidden="1" x14ac:dyDescent="0.2">
      <c r="A29" s="35" t="s">
        <v>39</v>
      </c>
      <c r="C29" s="35" t="s">
        <v>40</v>
      </c>
      <c r="D29" s="35"/>
      <c r="E29" s="35">
        <f t="shared" si="0"/>
        <v>0</v>
      </c>
      <c r="F29" s="35"/>
      <c r="G29" s="35"/>
      <c r="H29" s="35"/>
      <c r="I29" s="35"/>
      <c r="J29" s="35"/>
      <c r="K29" s="35">
        <f t="shared" si="1"/>
        <v>0</v>
      </c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>
        <f t="shared" si="3"/>
        <v>0</v>
      </c>
      <c r="X29" s="35"/>
      <c r="Y29" s="35" t="s">
        <v>39</v>
      </c>
      <c r="Z29" s="55"/>
      <c r="AA29" s="35" t="s">
        <v>40</v>
      </c>
      <c r="AB29" s="35"/>
      <c r="AC29" s="35"/>
      <c r="AD29" s="35"/>
      <c r="AE29" s="35"/>
      <c r="AF29" s="35"/>
      <c r="AG29" s="35"/>
      <c r="AH29" s="35"/>
      <c r="AI29" s="45">
        <f t="shared" si="6"/>
        <v>0</v>
      </c>
      <c r="AJ29" s="45"/>
      <c r="AK29" s="35"/>
      <c r="AL29" s="35"/>
      <c r="AM29" s="35"/>
      <c r="AN29" s="35"/>
      <c r="AO29" s="35"/>
      <c r="AP29" s="35"/>
      <c r="AQ29" s="35"/>
      <c r="AR29" s="35"/>
      <c r="AS29" s="45">
        <f t="shared" ref="AS29" si="8">+AI29+AK29+AM29-AO29+AQ29</f>
        <v>0</v>
      </c>
      <c r="AT29" s="45"/>
      <c r="AU29" s="35">
        <v>0</v>
      </c>
      <c r="AV29" s="35"/>
      <c r="AW29" s="35">
        <v>0</v>
      </c>
      <c r="AX29" s="35"/>
      <c r="AY29" s="35">
        <f t="shared" si="4"/>
        <v>0</v>
      </c>
      <c r="AZ29" s="35"/>
      <c r="BA29" s="35" t="s">
        <v>39</v>
      </c>
      <c r="BB29" s="55"/>
      <c r="BC29" s="35" t="s">
        <v>40</v>
      </c>
      <c r="BD29" s="35"/>
      <c r="BE29" s="35"/>
      <c r="BF29" s="35"/>
      <c r="BG29" s="35"/>
      <c r="BH29" s="35"/>
      <c r="BI29" s="35"/>
      <c r="BJ29" s="35"/>
      <c r="BK29" s="35"/>
      <c r="BL29" s="35"/>
      <c r="BM29" s="35">
        <f>SUM(BE29:BK29)</f>
        <v>0</v>
      </c>
      <c r="BN29" s="54" t="s">
        <v>347</v>
      </c>
    </row>
    <row r="30" spans="1:67" hidden="1" x14ac:dyDescent="0.2">
      <c r="A30" s="35" t="s">
        <v>41</v>
      </c>
      <c r="C30" s="35" t="s">
        <v>27</v>
      </c>
      <c r="D30" s="35"/>
      <c r="E30" s="35">
        <f t="shared" si="0"/>
        <v>0</v>
      </c>
      <c r="F30" s="35"/>
      <c r="G30" s="35"/>
      <c r="H30" s="35"/>
      <c r="I30" s="35"/>
      <c r="J30" s="35"/>
      <c r="K30" s="35">
        <f t="shared" si="1"/>
        <v>0</v>
      </c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>
        <f t="shared" si="3"/>
        <v>0</v>
      </c>
      <c r="X30" s="35"/>
      <c r="Y30" s="35" t="s">
        <v>41</v>
      </c>
      <c r="Z30" s="55"/>
      <c r="AA30" s="35" t="s">
        <v>27</v>
      </c>
      <c r="AB30" s="35"/>
      <c r="AC30" s="35"/>
      <c r="AD30" s="35"/>
      <c r="AE30" s="35"/>
      <c r="AF30" s="35"/>
      <c r="AG30" s="35"/>
      <c r="AH30" s="35"/>
      <c r="AI30" s="45">
        <f t="shared" si="6"/>
        <v>0</v>
      </c>
      <c r="AJ30" s="45"/>
      <c r="AK30" s="35"/>
      <c r="AL30" s="35"/>
      <c r="AM30" s="35"/>
      <c r="AN30" s="35"/>
      <c r="AO30" s="35"/>
      <c r="AP30" s="35"/>
      <c r="AQ30" s="35"/>
      <c r="AR30" s="35"/>
      <c r="AS30" s="45">
        <f t="shared" ref="AS30:AS34" si="9">+AI30+AK30+AM30-AO30+AQ30</f>
        <v>0</v>
      </c>
      <c r="AT30" s="45"/>
      <c r="AU30" s="35">
        <v>0</v>
      </c>
      <c r="AV30" s="35"/>
      <c r="AW30" s="35">
        <v>0</v>
      </c>
      <c r="AX30" s="35"/>
      <c r="AY30" s="35">
        <f t="shared" si="4"/>
        <v>0</v>
      </c>
      <c r="AZ30" s="35"/>
      <c r="BA30" s="35" t="s">
        <v>41</v>
      </c>
      <c r="BB30" s="55"/>
      <c r="BC30" s="35" t="s">
        <v>27</v>
      </c>
      <c r="BD30" s="35"/>
      <c r="BE30" s="35"/>
      <c r="BF30" s="35"/>
      <c r="BG30" s="35"/>
      <c r="BH30" s="35"/>
      <c r="BI30" s="35"/>
      <c r="BJ30" s="35"/>
      <c r="BK30" s="35"/>
      <c r="BL30" s="35"/>
      <c r="BM30" s="35">
        <f>SUM(BE30:BK30)</f>
        <v>0</v>
      </c>
      <c r="BN30" s="54" t="s">
        <v>347</v>
      </c>
    </row>
    <row r="31" spans="1:67" x14ac:dyDescent="0.2">
      <c r="A31" s="35" t="s">
        <v>42</v>
      </c>
      <c r="C31" s="35" t="s">
        <v>43</v>
      </c>
      <c r="D31" s="35"/>
      <c r="E31" s="35">
        <f t="shared" si="0"/>
        <v>526290</v>
      </c>
      <c r="F31" s="35"/>
      <c r="G31" s="35">
        <v>43742</v>
      </c>
      <c r="H31" s="35"/>
      <c r="I31" s="35">
        <v>570032</v>
      </c>
      <c r="J31" s="35"/>
      <c r="K31" s="35">
        <f t="shared" si="1"/>
        <v>90745</v>
      </c>
      <c r="L31" s="35"/>
      <c r="M31" s="35">
        <v>0</v>
      </c>
      <c r="N31" s="35"/>
      <c r="O31" s="35">
        <v>90745</v>
      </c>
      <c r="P31" s="35"/>
      <c r="Q31" s="35">
        <v>43742</v>
      </c>
      <c r="R31" s="35"/>
      <c r="S31" s="35">
        <v>0</v>
      </c>
      <c r="T31" s="35"/>
      <c r="U31" s="35">
        <v>435545</v>
      </c>
      <c r="V31" s="35"/>
      <c r="W31" s="35">
        <f t="shared" si="3"/>
        <v>479287</v>
      </c>
      <c r="X31" s="35"/>
      <c r="Y31" s="35" t="s">
        <v>42</v>
      </c>
      <c r="Z31" s="55"/>
      <c r="AA31" s="35" t="s">
        <v>43</v>
      </c>
      <c r="AB31" s="35"/>
      <c r="AC31" s="35">
        <v>1264041</v>
      </c>
      <c r="AD31" s="35"/>
      <c r="AE31" s="35">
        <f>1113699-7666</f>
        <v>1106033</v>
      </c>
      <c r="AF31" s="35"/>
      <c r="AG31" s="35">
        <v>7666</v>
      </c>
      <c r="AH31" s="35"/>
      <c r="AI31" s="45">
        <f t="shared" si="6"/>
        <v>150342</v>
      </c>
      <c r="AJ31" s="45"/>
      <c r="AK31" s="35">
        <v>0</v>
      </c>
      <c r="AL31" s="35"/>
      <c r="AM31" s="35">
        <v>0</v>
      </c>
      <c r="AN31" s="35"/>
      <c r="AO31" s="35">
        <v>0</v>
      </c>
      <c r="AP31" s="35"/>
      <c r="AQ31" s="35">
        <v>0</v>
      </c>
      <c r="AR31" s="35"/>
      <c r="AS31" s="45">
        <f t="shared" si="9"/>
        <v>150342</v>
      </c>
      <c r="AT31" s="45"/>
      <c r="AU31" s="35">
        <v>0</v>
      </c>
      <c r="AV31" s="35"/>
      <c r="AW31" s="35">
        <v>0</v>
      </c>
      <c r="AX31" s="35"/>
      <c r="AY31" s="35">
        <f t="shared" si="4"/>
        <v>435545</v>
      </c>
      <c r="AZ31" s="35"/>
      <c r="BA31" s="35" t="s">
        <v>42</v>
      </c>
      <c r="BB31" s="55"/>
      <c r="BC31" s="35" t="s">
        <v>43</v>
      </c>
      <c r="BD31" s="35"/>
      <c r="BE31" s="35">
        <v>0</v>
      </c>
      <c r="BF31" s="35"/>
      <c r="BG31" s="35">
        <v>0</v>
      </c>
      <c r="BH31" s="35"/>
      <c r="BI31" s="35">
        <v>0</v>
      </c>
      <c r="BJ31" s="35"/>
      <c r="BK31" s="35">
        <v>0</v>
      </c>
      <c r="BL31" s="35"/>
      <c r="BM31" s="35">
        <f>SUM(BE31:BK31)</f>
        <v>0</v>
      </c>
      <c r="BN31" s="54" t="s">
        <v>347</v>
      </c>
    </row>
    <row r="32" spans="1:67" hidden="1" x14ac:dyDescent="0.2">
      <c r="A32" s="35" t="s">
        <v>44</v>
      </c>
      <c r="C32" s="35" t="s">
        <v>45</v>
      </c>
      <c r="D32" s="35"/>
      <c r="E32" s="35">
        <f t="shared" si="0"/>
        <v>0</v>
      </c>
      <c r="F32" s="35"/>
      <c r="G32" s="35"/>
      <c r="H32" s="35"/>
      <c r="I32" s="35"/>
      <c r="J32" s="35"/>
      <c r="K32" s="35">
        <f t="shared" si="1"/>
        <v>0</v>
      </c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>
        <f t="shared" si="3"/>
        <v>0</v>
      </c>
      <c r="X32" s="35"/>
      <c r="Y32" s="35" t="s">
        <v>44</v>
      </c>
      <c r="Z32" s="55"/>
      <c r="AA32" s="35" t="s">
        <v>45</v>
      </c>
      <c r="AB32" s="35"/>
      <c r="AC32" s="35"/>
      <c r="AD32" s="35"/>
      <c r="AE32" s="35"/>
      <c r="AF32" s="35"/>
      <c r="AG32" s="35"/>
      <c r="AH32" s="35"/>
      <c r="AI32" s="45">
        <v>0</v>
      </c>
      <c r="AJ32" s="45"/>
      <c r="AK32" s="35"/>
      <c r="AL32" s="35"/>
      <c r="AM32" s="35"/>
      <c r="AN32" s="35"/>
      <c r="AO32" s="35"/>
      <c r="AP32" s="35"/>
      <c r="AQ32" s="35"/>
      <c r="AR32" s="35"/>
      <c r="AS32" s="45">
        <f t="shared" si="9"/>
        <v>0</v>
      </c>
      <c r="AT32" s="45"/>
      <c r="AU32" s="35">
        <v>0</v>
      </c>
      <c r="AV32" s="35"/>
      <c r="AW32" s="35">
        <v>0</v>
      </c>
      <c r="AX32" s="35"/>
      <c r="AY32" s="35">
        <f t="shared" si="4"/>
        <v>0</v>
      </c>
      <c r="AZ32" s="35"/>
      <c r="BA32" s="35" t="s">
        <v>44</v>
      </c>
      <c r="BB32" s="55"/>
      <c r="BC32" s="35" t="s">
        <v>45</v>
      </c>
      <c r="BD32" s="35"/>
      <c r="BE32" s="35"/>
      <c r="BF32" s="35"/>
      <c r="BG32" s="35"/>
      <c r="BH32" s="35"/>
      <c r="BI32" s="35"/>
      <c r="BJ32" s="35"/>
      <c r="BK32" s="35"/>
      <c r="BL32" s="35"/>
      <c r="BM32" s="35">
        <f t="shared" ref="BM32:BM38" si="10">SUM(BE32:BK32)</f>
        <v>0</v>
      </c>
      <c r="BN32" s="54" t="s">
        <v>347</v>
      </c>
    </row>
    <row r="33" spans="1:95" hidden="1" x14ac:dyDescent="0.2">
      <c r="A33" s="35" t="s">
        <v>46</v>
      </c>
      <c r="B33" s="65"/>
      <c r="C33" s="35" t="s">
        <v>47</v>
      </c>
      <c r="D33" s="35"/>
      <c r="E33" s="35">
        <f t="shared" si="0"/>
        <v>0</v>
      </c>
      <c r="F33" s="35"/>
      <c r="G33" s="35"/>
      <c r="H33" s="35"/>
      <c r="I33" s="35"/>
      <c r="J33" s="35"/>
      <c r="K33" s="35">
        <f t="shared" si="1"/>
        <v>0</v>
      </c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>
        <f t="shared" si="3"/>
        <v>0</v>
      </c>
      <c r="X33" s="35"/>
      <c r="Y33" s="35" t="s">
        <v>46</v>
      </c>
      <c r="Z33" s="55"/>
      <c r="AA33" s="35" t="s">
        <v>47</v>
      </c>
      <c r="AB33" s="35"/>
      <c r="AC33" s="35"/>
      <c r="AD33" s="35"/>
      <c r="AE33" s="35"/>
      <c r="AF33" s="35"/>
      <c r="AG33" s="35"/>
      <c r="AH33" s="35"/>
      <c r="AI33" s="45">
        <f>+AC33-AE33-AG33</f>
        <v>0</v>
      </c>
      <c r="AJ33" s="45"/>
      <c r="AK33" s="35"/>
      <c r="AL33" s="35"/>
      <c r="AM33" s="35"/>
      <c r="AN33" s="35"/>
      <c r="AO33" s="35"/>
      <c r="AP33" s="35"/>
      <c r="AQ33" s="35"/>
      <c r="AR33" s="35"/>
      <c r="AS33" s="45">
        <f t="shared" si="9"/>
        <v>0</v>
      </c>
      <c r="AT33" s="45"/>
      <c r="AU33" s="35">
        <v>0</v>
      </c>
      <c r="AV33" s="35"/>
      <c r="AW33" s="35">
        <v>0</v>
      </c>
      <c r="AX33" s="35"/>
      <c r="AY33" s="35">
        <f t="shared" si="4"/>
        <v>0</v>
      </c>
      <c r="AZ33" s="35"/>
      <c r="BA33" s="35" t="s">
        <v>46</v>
      </c>
      <c r="BB33" s="55"/>
      <c r="BC33" s="35" t="s">
        <v>47</v>
      </c>
      <c r="BD33" s="35"/>
      <c r="BE33" s="35"/>
      <c r="BF33" s="35"/>
      <c r="BG33" s="35"/>
      <c r="BH33" s="35"/>
      <c r="BI33" s="35"/>
      <c r="BJ33" s="35"/>
      <c r="BK33" s="35"/>
      <c r="BL33" s="35"/>
      <c r="BM33" s="35">
        <f t="shared" si="10"/>
        <v>0</v>
      </c>
      <c r="BN33" s="54" t="s">
        <v>347</v>
      </c>
    </row>
    <row r="34" spans="1:95" hidden="1" x14ac:dyDescent="0.2">
      <c r="A34" s="35" t="s">
        <v>48</v>
      </c>
      <c r="C34" s="35" t="s">
        <v>27</v>
      </c>
      <c r="D34" s="35"/>
      <c r="E34" s="35">
        <f t="shared" si="0"/>
        <v>0</v>
      </c>
      <c r="F34" s="35"/>
      <c r="G34" s="35"/>
      <c r="H34" s="35"/>
      <c r="I34" s="35"/>
      <c r="J34" s="35"/>
      <c r="K34" s="35">
        <f t="shared" si="1"/>
        <v>0</v>
      </c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>
        <v>0</v>
      </c>
      <c r="X34" s="35"/>
      <c r="Y34" s="35" t="s">
        <v>48</v>
      </c>
      <c r="Z34" s="55"/>
      <c r="AA34" s="35" t="s">
        <v>27</v>
      </c>
      <c r="AB34" s="35"/>
      <c r="AC34" s="35"/>
      <c r="AD34" s="35"/>
      <c r="AE34" s="35"/>
      <c r="AF34" s="35"/>
      <c r="AG34" s="35"/>
      <c r="AH34" s="35"/>
      <c r="AI34" s="45">
        <f t="shared" ref="AI34:AI53" si="11">+AC34-AE34-AG34</f>
        <v>0</v>
      </c>
      <c r="AJ34" s="45"/>
      <c r="AK34" s="35"/>
      <c r="AL34" s="35"/>
      <c r="AM34" s="35"/>
      <c r="AN34" s="35"/>
      <c r="AO34" s="35"/>
      <c r="AP34" s="35"/>
      <c r="AQ34" s="35"/>
      <c r="AR34" s="35"/>
      <c r="AS34" s="45">
        <f t="shared" si="9"/>
        <v>0</v>
      </c>
      <c r="AT34" s="45"/>
      <c r="AU34" s="35">
        <v>0</v>
      </c>
      <c r="AV34" s="35"/>
      <c r="AW34" s="35">
        <v>0</v>
      </c>
      <c r="AX34" s="35"/>
      <c r="AY34" s="35">
        <f t="shared" si="4"/>
        <v>0</v>
      </c>
      <c r="AZ34" s="35"/>
      <c r="BA34" s="35" t="s">
        <v>48</v>
      </c>
      <c r="BB34" s="55"/>
      <c r="BC34" s="35" t="s">
        <v>27</v>
      </c>
      <c r="BD34" s="35"/>
      <c r="BE34" s="35"/>
      <c r="BF34" s="35"/>
      <c r="BG34" s="35"/>
      <c r="BH34" s="35"/>
      <c r="BI34" s="35"/>
      <c r="BJ34" s="35"/>
      <c r="BK34" s="35"/>
      <c r="BL34" s="35"/>
      <c r="BM34" s="35">
        <f t="shared" si="10"/>
        <v>0</v>
      </c>
      <c r="BN34" s="54" t="s">
        <v>347</v>
      </c>
    </row>
    <row r="35" spans="1:95" hidden="1" x14ac:dyDescent="0.2">
      <c r="A35" s="35" t="s">
        <v>49</v>
      </c>
      <c r="C35" s="35" t="s">
        <v>27</v>
      </c>
      <c r="D35" s="35"/>
      <c r="E35" s="35">
        <f t="shared" si="0"/>
        <v>0</v>
      </c>
      <c r="F35" s="35"/>
      <c r="G35" s="35"/>
      <c r="H35" s="35"/>
      <c r="I35" s="35"/>
      <c r="J35" s="35"/>
      <c r="K35" s="35">
        <f t="shared" si="1"/>
        <v>0</v>
      </c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>
        <f t="shared" ref="W35:W75" si="12">SUM(Q35:U35)</f>
        <v>0</v>
      </c>
      <c r="X35" s="35"/>
      <c r="Y35" s="35" t="s">
        <v>49</v>
      </c>
      <c r="Z35" s="55"/>
      <c r="AA35" s="35" t="s">
        <v>27</v>
      </c>
      <c r="AB35" s="35"/>
      <c r="AC35" s="35"/>
      <c r="AD35" s="35"/>
      <c r="AE35" s="35"/>
      <c r="AF35" s="35"/>
      <c r="AG35" s="35"/>
      <c r="AH35" s="35"/>
      <c r="AI35" s="45">
        <f t="shared" si="11"/>
        <v>0</v>
      </c>
      <c r="AJ35" s="45"/>
      <c r="AK35" s="35"/>
      <c r="AL35" s="35"/>
      <c r="AM35" s="35"/>
      <c r="AN35" s="35"/>
      <c r="AO35" s="35"/>
      <c r="AP35" s="35"/>
      <c r="AQ35" s="35"/>
      <c r="AR35" s="35"/>
      <c r="AS35" s="45">
        <v>0</v>
      </c>
      <c r="AT35" s="45"/>
      <c r="AU35" s="35">
        <v>0</v>
      </c>
      <c r="AV35" s="35"/>
      <c r="AW35" s="35">
        <v>0</v>
      </c>
      <c r="AX35" s="35"/>
      <c r="AY35" s="35">
        <f t="shared" si="4"/>
        <v>0</v>
      </c>
      <c r="AZ35" s="35"/>
      <c r="BA35" s="35" t="s">
        <v>49</v>
      </c>
      <c r="BB35" s="55"/>
      <c r="BC35" s="35" t="s">
        <v>27</v>
      </c>
      <c r="BD35" s="35"/>
      <c r="BE35" s="35"/>
      <c r="BF35" s="35"/>
      <c r="BG35" s="35"/>
      <c r="BH35" s="35"/>
      <c r="BI35" s="35"/>
      <c r="BJ35" s="35"/>
      <c r="BK35" s="35"/>
      <c r="BL35" s="35"/>
      <c r="BM35" s="35">
        <f t="shared" si="10"/>
        <v>0</v>
      </c>
      <c r="BN35" s="54" t="s">
        <v>347</v>
      </c>
      <c r="BO35" s="55" t="s">
        <v>371</v>
      </c>
    </row>
    <row r="36" spans="1:95" hidden="1" x14ac:dyDescent="0.2">
      <c r="A36" s="35" t="s">
        <v>50</v>
      </c>
      <c r="C36" s="35" t="s">
        <v>27</v>
      </c>
      <c r="D36" s="35"/>
      <c r="E36" s="35">
        <f t="shared" si="0"/>
        <v>0</v>
      </c>
      <c r="F36" s="35"/>
      <c r="G36" s="35"/>
      <c r="H36" s="35"/>
      <c r="I36" s="35"/>
      <c r="J36" s="35"/>
      <c r="K36" s="35">
        <f t="shared" si="1"/>
        <v>0</v>
      </c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>
        <f t="shared" si="12"/>
        <v>0</v>
      </c>
      <c r="X36" s="35"/>
      <c r="Y36" s="35" t="s">
        <v>50</v>
      </c>
      <c r="Z36" s="55"/>
      <c r="AA36" s="35" t="s">
        <v>27</v>
      </c>
      <c r="AB36" s="35"/>
      <c r="AC36" s="35"/>
      <c r="AD36" s="35"/>
      <c r="AE36" s="35"/>
      <c r="AF36" s="35"/>
      <c r="AG36" s="35"/>
      <c r="AH36" s="35"/>
      <c r="AI36" s="45">
        <f t="shared" si="11"/>
        <v>0</v>
      </c>
      <c r="AJ36" s="45"/>
      <c r="AK36" s="35"/>
      <c r="AL36" s="35"/>
      <c r="AM36" s="35"/>
      <c r="AN36" s="35"/>
      <c r="AO36" s="35"/>
      <c r="AP36" s="35"/>
      <c r="AQ36" s="35"/>
      <c r="AR36" s="35"/>
      <c r="AS36" s="45">
        <f>+AI36+AK36+AM36-AO36+AQ36</f>
        <v>0</v>
      </c>
      <c r="AT36" s="45"/>
      <c r="AU36" s="35">
        <v>0</v>
      </c>
      <c r="AV36" s="35"/>
      <c r="AW36" s="35">
        <v>0</v>
      </c>
      <c r="AX36" s="35"/>
      <c r="AY36" s="35">
        <f t="shared" si="4"/>
        <v>0</v>
      </c>
      <c r="AZ36" s="35"/>
      <c r="BA36" s="35" t="s">
        <v>50</v>
      </c>
      <c r="BB36" s="55"/>
      <c r="BC36" s="35" t="s">
        <v>27</v>
      </c>
      <c r="BD36" s="35"/>
      <c r="BE36" s="35"/>
      <c r="BF36" s="35"/>
      <c r="BG36" s="35"/>
      <c r="BH36" s="35"/>
      <c r="BI36" s="35"/>
      <c r="BJ36" s="35"/>
      <c r="BK36" s="35"/>
      <c r="BL36" s="35"/>
      <c r="BM36" s="35">
        <f t="shared" si="10"/>
        <v>0</v>
      </c>
      <c r="BN36" s="54" t="s">
        <v>347</v>
      </c>
    </row>
    <row r="37" spans="1:95" hidden="1" x14ac:dyDescent="0.2">
      <c r="A37" s="35" t="s">
        <v>51</v>
      </c>
      <c r="C37" s="35" t="s">
        <v>27</v>
      </c>
      <c r="D37" s="35"/>
      <c r="E37" s="35">
        <f t="shared" si="0"/>
        <v>0</v>
      </c>
      <c r="F37" s="35"/>
      <c r="G37" s="35"/>
      <c r="H37" s="35"/>
      <c r="I37" s="35"/>
      <c r="J37" s="35"/>
      <c r="K37" s="35">
        <f t="shared" si="1"/>
        <v>0</v>
      </c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>
        <f t="shared" si="12"/>
        <v>0</v>
      </c>
      <c r="X37" s="35"/>
      <c r="Y37" s="35" t="s">
        <v>51</v>
      </c>
      <c r="Z37" s="55"/>
      <c r="AA37" s="35" t="s">
        <v>27</v>
      </c>
      <c r="AB37" s="35"/>
      <c r="AC37" s="35"/>
      <c r="AD37" s="35"/>
      <c r="AE37" s="35"/>
      <c r="AF37" s="35"/>
      <c r="AG37" s="35"/>
      <c r="AH37" s="35"/>
      <c r="AI37" s="45">
        <f t="shared" si="11"/>
        <v>0</v>
      </c>
      <c r="AJ37" s="45"/>
      <c r="AK37" s="35"/>
      <c r="AL37" s="35"/>
      <c r="AM37" s="35"/>
      <c r="AN37" s="35"/>
      <c r="AO37" s="35"/>
      <c r="AP37" s="35"/>
      <c r="AQ37" s="35"/>
      <c r="AR37" s="35"/>
      <c r="AS37" s="45">
        <v>0</v>
      </c>
      <c r="AT37" s="45"/>
      <c r="AU37" s="35">
        <v>0</v>
      </c>
      <c r="AV37" s="35"/>
      <c r="AW37" s="35">
        <v>0</v>
      </c>
      <c r="AX37" s="35"/>
      <c r="AY37" s="35">
        <f t="shared" si="4"/>
        <v>0</v>
      </c>
      <c r="AZ37" s="35"/>
      <c r="BA37" s="35" t="s">
        <v>51</v>
      </c>
      <c r="BB37" s="55"/>
      <c r="BC37" s="35" t="s">
        <v>27</v>
      </c>
      <c r="BD37" s="35"/>
      <c r="BE37" s="35"/>
      <c r="BF37" s="35"/>
      <c r="BG37" s="35"/>
      <c r="BH37" s="35"/>
      <c r="BI37" s="35"/>
      <c r="BJ37" s="35"/>
      <c r="BK37" s="35"/>
      <c r="BL37" s="35"/>
      <c r="BM37" s="35">
        <f t="shared" si="10"/>
        <v>0</v>
      </c>
      <c r="BN37" s="54" t="s">
        <v>347</v>
      </c>
    </row>
    <row r="38" spans="1:95" s="35" customFormat="1" ht="12.75" customHeight="1" x14ac:dyDescent="0.2">
      <c r="A38" s="35" t="s">
        <v>462</v>
      </c>
      <c r="B38" s="51"/>
      <c r="C38" s="35" t="s">
        <v>66</v>
      </c>
      <c r="D38" s="44"/>
      <c r="E38" s="53">
        <f t="shared" si="0"/>
        <v>227811</v>
      </c>
      <c r="F38" s="53"/>
      <c r="G38" s="53">
        <v>3800</v>
      </c>
      <c r="H38" s="53"/>
      <c r="I38" s="53">
        <v>231611</v>
      </c>
      <c r="J38" s="53"/>
      <c r="K38" s="53">
        <f t="shared" si="1"/>
        <v>346337</v>
      </c>
      <c r="L38" s="53"/>
      <c r="M38" s="53">
        <v>288659</v>
      </c>
      <c r="N38" s="53"/>
      <c r="O38" s="53">
        <v>634996</v>
      </c>
      <c r="P38" s="53"/>
      <c r="Q38" s="53">
        <v>2708595</v>
      </c>
      <c r="R38" s="53"/>
      <c r="S38" s="53">
        <v>0</v>
      </c>
      <c r="T38" s="53"/>
      <c r="U38" s="53">
        <v>698253</v>
      </c>
      <c r="V38" s="53"/>
      <c r="W38" s="53">
        <f t="shared" ref="W38" si="13">SUM(Q38:U38)</f>
        <v>3406848</v>
      </c>
      <c r="X38" s="51"/>
      <c r="Y38" s="35" t="s">
        <v>462</v>
      </c>
      <c r="Z38" s="53"/>
      <c r="AA38" s="35" t="s">
        <v>66</v>
      </c>
      <c r="AB38" s="51"/>
      <c r="AC38" s="35">
        <v>374593</v>
      </c>
      <c r="AE38" s="35">
        <f>379920-506</f>
        <v>379414</v>
      </c>
      <c r="AG38" s="35">
        <v>506</v>
      </c>
      <c r="AI38" s="45">
        <f t="shared" si="11"/>
        <v>-5327</v>
      </c>
      <c r="AJ38" s="45"/>
      <c r="AK38" s="35">
        <v>0</v>
      </c>
      <c r="AM38" s="35">
        <v>0</v>
      </c>
      <c r="AO38" s="35">
        <v>0</v>
      </c>
      <c r="AQ38" s="35">
        <v>0</v>
      </c>
      <c r="AS38" s="45">
        <f t="shared" ref="AS38" si="14">+AI38+AK38+AM38-AO38+AQ38</f>
        <v>-5327</v>
      </c>
      <c r="AT38" s="45"/>
      <c r="AU38" s="35">
        <v>0</v>
      </c>
      <c r="AW38" s="35">
        <v>0</v>
      </c>
      <c r="AY38" s="35">
        <f t="shared" ref="AY38" si="15">+E38-K38</f>
        <v>-118526</v>
      </c>
      <c r="AZ38" s="53"/>
      <c r="BA38" s="35" t="s">
        <v>462</v>
      </c>
      <c r="BC38" s="35" t="s">
        <v>66</v>
      </c>
      <c r="BE38" s="53">
        <v>0</v>
      </c>
      <c r="BF38" s="53"/>
      <c r="BG38" s="53">
        <v>0</v>
      </c>
      <c r="BH38" s="53"/>
      <c r="BI38" s="53">
        <v>0</v>
      </c>
      <c r="BJ38" s="53"/>
      <c r="BK38" s="53">
        <f>8124+6022</f>
        <v>14146</v>
      </c>
      <c r="BL38" s="53"/>
      <c r="BM38" s="35">
        <f t="shared" si="10"/>
        <v>14146</v>
      </c>
      <c r="BN38" s="53">
        <f t="shared" ref="BN38" si="16">SUM(BF38:BL38)</f>
        <v>14146</v>
      </c>
      <c r="BO38" s="54"/>
      <c r="BP38" s="55"/>
      <c r="BS38" s="55"/>
      <c r="BT38" s="55"/>
      <c r="BU38" s="84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</row>
    <row r="39" spans="1:95" x14ac:dyDescent="0.2">
      <c r="A39" s="35" t="s">
        <v>52</v>
      </c>
      <c r="C39" s="35" t="s">
        <v>53</v>
      </c>
      <c r="D39" s="35"/>
      <c r="E39" s="35">
        <f t="shared" si="0"/>
        <v>948234</v>
      </c>
      <c r="F39" s="35"/>
      <c r="G39" s="35">
        <v>179134</v>
      </c>
      <c r="H39" s="35"/>
      <c r="I39" s="35">
        <v>1127368</v>
      </c>
      <c r="J39" s="35"/>
      <c r="K39" s="35">
        <f t="shared" si="1"/>
        <v>198391</v>
      </c>
      <c r="L39" s="35"/>
      <c r="M39" s="35">
        <v>1352</v>
      </c>
      <c r="N39" s="35"/>
      <c r="O39" s="35">
        <v>199743</v>
      </c>
      <c r="P39" s="35"/>
      <c r="Q39" s="35">
        <v>179134</v>
      </c>
      <c r="R39" s="35"/>
      <c r="S39" s="35">
        <v>0</v>
      </c>
      <c r="T39" s="35"/>
      <c r="U39" s="35">
        <v>748491</v>
      </c>
      <c r="V39" s="35"/>
      <c r="W39" s="35">
        <f t="shared" si="12"/>
        <v>927625</v>
      </c>
      <c r="X39" s="35"/>
      <c r="Y39" s="35" t="s">
        <v>52</v>
      </c>
      <c r="Z39" s="55"/>
      <c r="AA39" s="35" t="s">
        <v>53</v>
      </c>
      <c r="AB39" s="35"/>
      <c r="AC39" s="35">
        <v>2464970</v>
      </c>
      <c r="AD39" s="35"/>
      <c r="AE39" s="35">
        <f>2334864-25765</f>
        <v>2309099</v>
      </c>
      <c r="AF39" s="35"/>
      <c r="AG39" s="35">
        <v>25765</v>
      </c>
      <c r="AH39" s="35"/>
      <c r="AI39" s="45">
        <f t="shared" si="11"/>
        <v>130106</v>
      </c>
      <c r="AJ39" s="45"/>
      <c r="AK39" s="35">
        <v>0</v>
      </c>
      <c r="AL39" s="35"/>
      <c r="AM39" s="35">
        <v>0</v>
      </c>
      <c r="AN39" s="35"/>
      <c r="AO39" s="35">
        <v>0</v>
      </c>
      <c r="AP39" s="35"/>
      <c r="AQ39" s="35">
        <v>0</v>
      </c>
      <c r="AR39" s="35"/>
      <c r="AS39" s="45">
        <f t="shared" ref="AS39:AS104" si="17">+AI39+AK39+AM39-AO39+AQ39</f>
        <v>130106</v>
      </c>
      <c r="AT39" s="45"/>
      <c r="AU39" s="35">
        <v>0</v>
      </c>
      <c r="AV39" s="35"/>
      <c r="AW39" s="35">
        <v>0</v>
      </c>
      <c r="AX39" s="35"/>
      <c r="AY39" s="35">
        <f t="shared" si="4"/>
        <v>749843</v>
      </c>
      <c r="AZ39" s="35"/>
      <c r="BA39" s="35" t="s">
        <v>52</v>
      </c>
      <c r="BB39" s="55"/>
      <c r="BC39" s="35" t="s">
        <v>53</v>
      </c>
      <c r="BD39" s="35"/>
      <c r="BE39" s="35">
        <v>0</v>
      </c>
      <c r="BF39" s="35"/>
      <c r="BG39" s="35">
        <v>0</v>
      </c>
      <c r="BH39" s="35"/>
      <c r="BI39" s="35">
        <v>0</v>
      </c>
      <c r="BJ39" s="35"/>
      <c r="BK39" s="35">
        <f>1352+216</f>
        <v>1568</v>
      </c>
      <c r="BL39" s="35"/>
      <c r="BM39" s="35">
        <f t="shared" ref="BM39:BM100" si="18">SUM(BE39:BK39)</f>
        <v>1568</v>
      </c>
      <c r="BN39" s="54" t="s">
        <v>347</v>
      </c>
    </row>
    <row r="40" spans="1:95" x14ac:dyDescent="0.2">
      <c r="A40" s="35" t="s">
        <v>54</v>
      </c>
      <c r="C40" s="35" t="s">
        <v>55</v>
      </c>
      <c r="D40" s="35"/>
      <c r="E40" s="35">
        <f t="shared" si="0"/>
        <v>517129</v>
      </c>
      <c r="F40" s="35"/>
      <c r="G40" s="35">
        <v>269562</v>
      </c>
      <c r="H40" s="35"/>
      <c r="I40" s="35">
        <v>786691</v>
      </c>
      <c r="J40" s="35"/>
      <c r="K40" s="35">
        <f t="shared" si="1"/>
        <v>41363</v>
      </c>
      <c r="L40" s="35"/>
      <c r="M40" s="35">
        <v>33481</v>
      </c>
      <c r="N40" s="35"/>
      <c r="O40" s="35">
        <v>74844</v>
      </c>
      <c r="P40" s="35"/>
      <c r="Q40" s="35">
        <v>269562</v>
      </c>
      <c r="R40" s="35"/>
      <c r="S40" s="35">
        <v>0</v>
      </c>
      <c r="T40" s="35"/>
      <c r="U40" s="35">
        <v>442285</v>
      </c>
      <c r="V40" s="35"/>
      <c r="W40" s="35">
        <f t="shared" si="12"/>
        <v>711847</v>
      </c>
      <c r="X40" s="35"/>
      <c r="Y40" s="35" t="s">
        <v>54</v>
      </c>
      <c r="Z40" s="55"/>
      <c r="AA40" s="35" t="s">
        <v>55</v>
      </c>
      <c r="AB40" s="35"/>
      <c r="AC40" s="35">
        <v>935123</v>
      </c>
      <c r="AD40" s="35"/>
      <c r="AE40" s="35">
        <f>916979-31316</f>
        <v>885663</v>
      </c>
      <c r="AF40" s="35"/>
      <c r="AG40" s="35">
        <v>31316</v>
      </c>
      <c r="AH40" s="35"/>
      <c r="AI40" s="45">
        <f t="shared" si="11"/>
        <v>18144</v>
      </c>
      <c r="AJ40" s="45"/>
      <c r="AK40" s="35">
        <v>3753</v>
      </c>
      <c r="AL40" s="35"/>
      <c r="AM40" s="35">
        <v>50000</v>
      </c>
      <c r="AN40" s="35"/>
      <c r="AO40" s="35">
        <v>0</v>
      </c>
      <c r="AP40" s="35"/>
      <c r="AQ40" s="35">
        <v>0</v>
      </c>
      <c r="AR40" s="35"/>
      <c r="AS40" s="45">
        <f t="shared" si="17"/>
        <v>71897</v>
      </c>
      <c r="AT40" s="45"/>
      <c r="AU40" s="35">
        <v>0</v>
      </c>
      <c r="AV40" s="35"/>
      <c r="AW40" s="35">
        <v>0</v>
      </c>
      <c r="AX40" s="35"/>
      <c r="AY40" s="35">
        <f t="shared" si="4"/>
        <v>475766</v>
      </c>
      <c r="AZ40" s="35"/>
      <c r="BA40" s="35" t="s">
        <v>54</v>
      </c>
      <c r="BB40" s="55"/>
      <c r="BC40" s="35" t="s">
        <v>55</v>
      </c>
      <c r="BD40" s="35"/>
      <c r="BE40" s="35">
        <v>0</v>
      </c>
      <c r="BF40" s="35"/>
      <c r="BG40" s="35">
        <v>0</v>
      </c>
      <c r="BH40" s="35"/>
      <c r="BI40" s="35">
        <v>0</v>
      </c>
      <c r="BJ40" s="35"/>
      <c r="BK40" s="35">
        <f>33481+11858</f>
        <v>45339</v>
      </c>
      <c r="BL40" s="35"/>
      <c r="BM40" s="35">
        <f t="shared" si="18"/>
        <v>45339</v>
      </c>
      <c r="BN40" s="54" t="s">
        <v>347</v>
      </c>
    </row>
    <row r="41" spans="1:95" x14ac:dyDescent="0.2">
      <c r="A41" s="35" t="s">
        <v>56</v>
      </c>
      <c r="C41" s="35" t="s">
        <v>57</v>
      </c>
      <c r="D41" s="35"/>
      <c r="E41" s="35">
        <f t="shared" si="0"/>
        <v>434254</v>
      </c>
      <c r="F41" s="35"/>
      <c r="G41" s="35">
        <v>169186</v>
      </c>
      <c r="H41" s="35"/>
      <c r="I41" s="35">
        <v>603440</v>
      </c>
      <c r="J41" s="35"/>
      <c r="K41" s="35">
        <f t="shared" si="1"/>
        <v>153058</v>
      </c>
      <c r="L41" s="35"/>
      <c r="M41" s="35">
        <v>26144</v>
      </c>
      <c r="N41" s="35"/>
      <c r="O41" s="35">
        <v>179202</v>
      </c>
      <c r="P41" s="35"/>
      <c r="Q41" s="35">
        <v>169186</v>
      </c>
      <c r="R41" s="35"/>
      <c r="S41" s="35">
        <v>0</v>
      </c>
      <c r="T41" s="35"/>
      <c r="U41" s="35">
        <v>255052</v>
      </c>
      <c r="V41" s="35"/>
      <c r="W41" s="35">
        <f t="shared" si="12"/>
        <v>424238</v>
      </c>
      <c r="X41" s="35"/>
      <c r="Y41" s="35" t="s">
        <v>56</v>
      </c>
      <c r="Z41" s="55"/>
      <c r="AA41" s="35" t="s">
        <v>57</v>
      </c>
      <c r="AB41" s="35"/>
      <c r="AC41" s="35">
        <v>865507</v>
      </c>
      <c r="AD41" s="35"/>
      <c r="AE41" s="35">
        <f>855245-86772</f>
        <v>768473</v>
      </c>
      <c r="AF41" s="35"/>
      <c r="AG41" s="35">
        <v>86772</v>
      </c>
      <c r="AH41" s="35"/>
      <c r="AI41" s="45">
        <f t="shared" si="11"/>
        <v>10262</v>
      </c>
      <c r="AJ41" s="45"/>
      <c r="AK41" s="35">
        <v>0</v>
      </c>
      <c r="AL41" s="35"/>
      <c r="AM41" s="35">
        <v>0</v>
      </c>
      <c r="AN41" s="35"/>
      <c r="AO41" s="35">
        <v>0</v>
      </c>
      <c r="AP41" s="35"/>
      <c r="AQ41" s="35">
        <v>0</v>
      </c>
      <c r="AR41" s="35"/>
      <c r="AS41" s="45">
        <f t="shared" si="17"/>
        <v>10262</v>
      </c>
      <c r="AT41" s="45"/>
      <c r="AU41" s="35">
        <v>0</v>
      </c>
      <c r="AV41" s="35"/>
      <c r="AW41" s="35">
        <v>0</v>
      </c>
      <c r="AX41" s="35"/>
      <c r="AY41" s="35">
        <f t="shared" si="4"/>
        <v>281196</v>
      </c>
      <c r="AZ41" s="35"/>
      <c r="BA41" s="35" t="s">
        <v>56</v>
      </c>
      <c r="BB41" s="55"/>
      <c r="BC41" s="35" t="s">
        <v>57</v>
      </c>
      <c r="BD41" s="35"/>
      <c r="BE41" s="35">
        <v>0</v>
      </c>
      <c r="BF41" s="35"/>
      <c r="BG41" s="35">
        <v>0</v>
      </c>
      <c r="BH41" s="35"/>
      <c r="BI41" s="35">
        <v>0</v>
      </c>
      <c r="BJ41" s="35"/>
      <c r="BK41" s="35">
        <f>26144+16060</f>
        <v>42204</v>
      </c>
      <c r="BL41" s="35"/>
      <c r="BM41" s="35">
        <f t="shared" si="18"/>
        <v>42204</v>
      </c>
      <c r="BN41" s="54" t="s">
        <v>347</v>
      </c>
    </row>
    <row r="42" spans="1:95" hidden="1" x14ac:dyDescent="0.2">
      <c r="A42" s="35" t="s">
        <v>58</v>
      </c>
      <c r="C42" s="35" t="s">
        <v>59</v>
      </c>
      <c r="D42" s="35"/>
      <c r="E42" s="35">
        <f t="shared" si="0"/>
        <v>0</v>
      </c>
      <c r="F42" s="35"/>
      <c r="G42" s="35"/>
      <c r="H42" s="35"/>
      <c r="I42" s="35"/>
      <c r="J42" s="35"/>
      <c r="K42" s="35">
        <f t="shared" si="1"/>
        <v>0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f t="shared" si="12"/>
        <v>0</v>
      </c>
      <c r="X42" s="35"/>
      <c r="Y42" s="35" t="s">
        <v>58</v>
      </c>
      <c r="Z42" s="55"/>
      <c r="AA42" s="35" t="s">
        <v>59</v>
      </c>
      <c r="AB42" s="35"/>
      <c r="AC42" s="35"/>
      <c r="AD42" s="35"/>
      <c r="AE42" s="35"/>
      <c r="AF42" s="35"/>
      <c r="AG42" s="35"/>
      <c r="AH42" s="35"/>
      <c r="AI42" s="45">
        <f t="shared" si="11"/>
        <v>0</v>
      </c>
      <c r="AJ42" s="45"/>
      <c r="AK42" s="35"/>
      <c r="AL42" s="35"/>
      <c r="AM42" s="35"/>
      <c r="AN42" s="35"/>
      <c r="AO42" s="35"/>
      <c r="AP42" s="35"/>
      <c r="AQ42" s="35"/>
      <c r="AR42" s="35"/>
      <c r="AS42" s="45">
        <f t="shared" si="17"/>
        <v>0</v>
      </c>
      <c r="AT42" s="45"/>
      <c r="AU42" s="35">
        <v>0</v>
      </c>
      <c r="AV42" s="35"/>
      <c r="AW42" s="35">
        <v>0</v>
      </c>
      <c r="AX42" s="35"/>
      <c r="AY42" s="35">
        <f t="shared" si="4"/>
        <v>0</v>
      </c>
      <c r="AZ42" s="35"/>
      <c r="BA42" s="35" t="s">
        <v>58</v>
      </c>
      <c r="BB42" s="55"/>
      <c r="BC42" s="35" t="s">
        <v>59</v>
      </c>
      <c r="BD42" s="35"/>
      <c r="BE42" s="35"/>
      <c r="BF42" s="35"/>
      <c r="BG42" s="35"/>
      <c r="BH42" s="35"/>
      <c r="BI42" s="35"/>
      <c r="BJ42" s="35"/>
      <c r="BK42" s="35"/>
      <c r="BL42" s="35"/>
      <c r="BM42" s="35">
        <f t="shared" si="18"/>
        <v>0</v>
      </c>
      <c r="BN42" s="54" t="s">
        <v>347</v>
      </c>
    </row>
    <row r="43" spans="1:95" hidden="1" x14ac:dyDescent="0.2">
      <c r="A43" s="44" t="s">
        <v>476</v>
      </c>
      <c r="C43" s="35" t="s">
        <v>15</v>
      </c>
      <c r="D43" s="35"/>
      <c r="E43" s="35">
        <f t="shared" si="0"/>
        <v>0</v>
      </c>
      <c r="F43" s="35"/>
      <c r="G43" s="35"/>
      <c r="H43" s="35"/>
      <c r="I43" s="35"/>
      <c r="J43" s="35"/>
      <c r="K43" s="35">
        <f t="shared" si="1"/>
        <v>0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>
        <f t="shared" si="12"/>
        <v>0</v>
      </c>
      <c r="X43" s="35"/>
      <c r="Y43" s="44" t="s">
        <v>62</v>
      </c>
      <c r="Z43" s="55"/>
      <c r="AA43" s="35" t="s">
        <v>15</v>
      </c>
      <c r="AB43" s="35"/>
      <c r="AC43" s="35"/>
      <c r="AD43" s="35"/>
      <c r="AE43" s="35"/>
      <c r="AF43" s="35"/>
      <c r="AG43" s="35"/>
      <c r="AH43" s="35"/>
      <c r="AI43" s="45">
        <f t="shared" si="11"/>
        <v>0</v>
      </c>
      <c r="AJ43" s="45"/>
      <c r="AK43" s="35"/>
      <c r="AL43" s="35"/>
      <c r="AM43" s="35"/>
      <c r="AN43" s="35"/>
      <c r="AO43" s="35"/>
      <c r="AP43" s="35"/>
      <c r="AQ43" s="35"/>
      <c r="AR43" s="35"/>
      <c r="AS43" s="45">
        <f t="shared" si="17"/>
        <v>0</v>
      </c>
      <c r="AT43" s="45"/>
      <c r="AU43" s="35">
        <v>0</v>
      </c>
      <c r="AV43" s="35"/>
      <c r="AW43" s="35">
        <v>0</v>
      </c>
      <c r="AX43" s="35"/>
      <c r="AY43" s="35">
        <f t="shared" si="4"/>
        <v>0</v>
      </c>
      <c r="AZ43" s="35"/>
      <c r="BA43" s="44" t="s">
        <v>62</v>
      </c>
      <c r="BB43" s="55"/>
      <c r="BC43" s="35" t="s">
        <v>15</v>
      </c>
      <c r="BD43" s="35"/>
      <c r="BE43" s="35"/>
      <c r="BF43" s="35"/>
      <c r="BG43" s="35"/>
      <c r="BH43" s="35"/>
      <c r="BI43" s="35"/>
      <c r="BJ43" s="35"/>
      <c r="BK43" s="35"/>
      <c r="BL43" s="35"/>
      <c r="BM43" s="35">
        <f t="shared" si="18"/>
        <v>0</v>
      </c>
      <c r="BN43" s="54" t="s">
        <v>347</v>
      </c>
    </row>
    <row r="44" spans="1:95" ht="12" hidden="1" x14ac:dyDescent="0.2">
      <c r="A44" s="44" t="s">
        <v>504</v>
      </c>
      <c r="B44" s="47"/>
      <c r="C44" s="44" t="s">
        <v>43</v>
      </c>
      <c r="D44" s="35"/>
      <c r="E44" s="35">
        <f t="shared" ref="E44:E46" si="19">I44-G44</f>
        <v>0</v>
      </c>
      <c r="F44" s="35"/>
      <c r="G44" s="35"/>
      <c r="H44" s="35"/>
      <c r="I44" s="35"/>
      <c r="J44" s="35"/>
      <c r="K44" s="35">
        <f t="shared" ref="K44:K46" si="20">O44-M44</f>
        <v>0</v>
      </c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>
        <f t="shared" ref="W44:W46" si="21">SUM(Q44:U44)</f>
        <v>0</v>
      </c>
      <c r="X44" s="35"/>
      <c r="Y44" s="44" t="s">
        <v>504</v>
      </c>
      <c r="AA44" s="44" t="s">
        <v>43</v>
      </c>
      <c r="AB44" s="35"/>
      <c r="AC44" s="35"/>
      <c r="AD44" s="35"/>
      <c r="AE44" s="35"/>
      <c r="AF44" s="35"/>
      <c r="AG44" s="35"/>
      <c r="AH44" s="35"/>
      <c r="AI44" s="45">
        <f t="shared" ref="AI44:AI46" si="22">+AC44-AE44-AG44</f>
        <v>0</v>
      </c>
      <c r="AJ44" s="45"/>
      <c r="AK44" s="35"/>
      <c r="AL44" s="35"/>
      <c r="AM44" s="35"/>
      <c r="AN44" s="35"/>
      <c r="AO44" s="35"/>
      <c r="AP44" s="35"/>
      <c r="AQ44" s="35"/>
      <c r="AR44" s="35"/>
      <c r="AS44" s="45">
        <f t="shared" ref="AS44:AS46" si="23">+AI44+AK44+AM44-AO44+AQ44</f>
        <v>0</v>
      </c>
      <c r="AT44" s="45"/>
      <c r="AU44" s="35">
        <v>0</v>
      </c>
      <c r="AV44" s="35"/>
      <c r="AW44" s="35">
        <v>0</v>
      </c>
      <c r="AX44" s="35"/>
      <c r="AY44" s="35">
        <f t="shared" ref="AY44:AY46" si="24">+E44-K44</f>
        <v>0</v>
      </c>
      <c r="AZ44" s="35"/>
      <c r="BA44" s="44" t="s">
        <v>504</v>
      </c>
      <c r="BC44" s="44" t="s">
        <v>43</v>
      </c>
      <c r="BD44" s="35"/>
      <c r="BE44" s="35"/>
      <c r="BF44" s="35"/>
      <c r="BG44" s="35"/>
      <c r="BH44" s="35"/>
      <c r="BI44" s="35"/>
      <c r="BJ44" s="35"/>
      <c r="BK44" s="35"/>
      <c r="BL44" s="35"/>
      <c r="BM44" s="35">
        <f t="shared" si="18"/>
        <v>0</v>
      </c>
      <c r="BN44" s="54"/>
    </row>
    <row r="45" spans="1:95" hidden="1" x14ac:dyDescent="0.2">
      <c r="A45" s="35" t="s">
        <v>60</v>
      </c>
      <c r="C45" s="35" t="s">
        <v>61</v>
      </c>
      <c r="D45" s="35"/>
      <c r="E45" s="35">
        <f t="shared" si="19"/>
        <v>0</v>
      </c>
      <c r="F45" s="35"/>
      <c r="G45" s="35"/>
      <c r="H45" s="35"/>
      <c r="I45" s="35"/>
      <c r="J45" s="35"/>
      <c r="K45" s="35">
        <f t="shared" si="20"/>
        <v>0</v>
      </c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>
        <f t="shared" si="21"/>
        <v>0</v>
      </c>
      <c r="X45" s="35"/>
      <c r="Y45" s="35" t="s">
        <v>60</v>
      </c>
      <c r="Z45" s="55"/>
      <c r="AA45" s="35" t="s">
        <v>61</v>
      </c>
      <c r="AB45" s="35"/>
      <c r="AC45" s="35"/>
      <c r="AD45" s="35"/>
      <c r="AE45" s="35"/>
      <c r="AF45" s="35"/>
      <c r="AG45" s="35"/>
      <c r="AH45" s="35"/>
      <c r="AI45" s="45">
        <f t="shared" si="22"/>
        <v>0</v>
      </c>
      <c r="AJ45" s="45"/>
      <c r="AK45" s="35"/>
      <c r="AL45" s="35"/>
      <c r="AM45" s="35"/>
      <c r="AN45" s="35"/>
      <c r="AO45" s="35"/>
      <c r="AP45" s="35"/>
      <c r="AQ45" s="35"/>
      <c r="AR45" s="35"/>
      <c r="AS45" s="45">
        <f t="shared" si="23"/>
        <v>0</v>
      </c>
      <c r="AT45" s="45"/>
      <c r="AU45" s="35">
        <v>0</v>
      </c>
      <c r="AV45" s="35"/>
      <c r="AW45" s="35">
        <v>0</v>
      </c>
      <c r="AX45" s="35"/>
      <c r="AY45" s="35">
        <f t="shared" si="24"/>
        <v>0</v>
      </c>
      <c r="AZ45" s="35"/>
      <c r="BA45" s="35" t="s">
        <v>60</v>
      </c>
      <c r="BB45" s="55"/>
      <c r="BC45" s="35" t="s">
        <v>61</v>
      </c>
      <c r="BD45" s="35"/>
      <c r="BE45" s="35"/>
      <c r="BF45" s="35"/>
      <c r="BG45" s="35"/>
      <c r="BH45" s="35"/>
      <c r="BI45" s="35"/>
      <c r="BJ45" s="35"/>
      <c r="BK45" s="35"/>
      <c r="BL45" s="35"/>
      <c r="BM45" s="35">
        <f t="shared" si="18"/>
        <v>0</v>
      </c>
      <c r="BN45" s="54" t="s">
        <v>347</v>
      </c>
    </row>
    <row r="46" spans="1:95" hidden="1" x14ac:dyDescent="0.2">
      <c r="A46" s="44" t="s">
        <v>62</v>
      </c>
      <c r="C46" s="35" t="s">
        <v>15</v>
      </c>
      <c r="D46" s="35"/>
      <c r="E46" s="35">
        <f t="shared" si="19"/>
        <v>4557946</v>
      </c>
      <c r="F46" s="35"/>
      <c r="G46" s="35">
        <v>829745</v>
      </c>
      <c r="H46" s="35"/>
      <c r="I46" s="35">
        <v>5387691</v>
      </c>
      <c r="J46" s="35"/>
      <c r="K46" s="35">
        <f t="shared" si="20"/>
        <v>316702</v>
      </c>
      <c r="L46" s="35"/>
      <c r="M46" s="35">
        <v>0</v>
      </c>
      <c r="N46" s="35"/>
      <c r="O46" s="35">
        <v>316702</v>
      </c>
      <c r="P46" s="35"/>
      <c r="Q46" s="35">
        <v>829745</v>
      </c>
      <c r="R46" s="35"/>
      <c r="S46" s="35">
        <v>0</v>
      </c>
      <c r="T46" s="35"/>
      <c r="U46" s="35">
        <v>4241244</v>
      </c>
      <c r="V46" s="35"/>
      <c r="W46" s="35">
        <f t="shared" si="21"/>
        <v>5070989</v>
      </c>
      <c r="X46" s="35"/>
      <c r="Y46" s="44" t="s">
        <v>62</v>
      </c>
      <c r="Z46" s="55"/>
      <c r="AA46" s="35" t="s">
        <v>15</v>
      </c>
      <c r="AB46" s="35"/>
      <c r="AC46" s="35">
        <v>6097490</v>
      </c>
      <c r="AD46" s="35"/>
      <c r="AE46" s="35">
        <f>5532632-160802</f>
        <v>5371830</v>
      </c>
      <c r="AF46" s="35"/>
      <c r="AG46" s="35">
        <v>160802</v>
      </c>
      <c r="AH46" s="35"/>
      <c r="AI46" s="45">
        <f t="shared" si="22"/>
        <v>564858</v>
      </c>
      <c r="AJ46" s="45"/>
      <c r="AK46" s="35">
        <v>29256</v>
      </c>
      <c r="AL46" s="35"/>
      <c r="AM46" s="35">
        <v>0</v>
      </c>
      <c r="AN46" s="35"/>
      <c r="AO46" s="35">
        <v>0</v>
      </c>
      <c r="AP46" s="35"/>
      <c r="AQ46" s="35">
        <v>0</v>
      </c>
      <c r="AR46" s="35"/>
      <c r="AS46" s="45">
        <f t="shared" si="23"/>
        <v>594114</v>
      </c>
      <c r="AT46" s="45"/>
      <c r="AU46" s="35">
        <v>0</v>
      </c>
      <c r="AV46" s="35"/>
      <c r="AW46" s="35">
        <v>0</v>
      </c>
      <c r="AX46" s="35"/>
      <c r="AY46" s="35">
        <f t="shared" si="24"/>
        <v>4241244</v>
      </c>
      <c r="AZ46" s="35"/>
      <c r="BA46" s="44" t="s">
        <v>62</v>
      </c>
      <c r="BB46" s="55"/>
      <c r="BC46" s="35" t="s">
        <v>15</v>
      </c>
      <c r="BD46" s="35"/>
      <c r="BE46" s="35">
        <v>0</v>
      </c>
      <c r="BF46" s="35"/>
      <c r="BG46" s="35">
        <v>0</v>
      </c>
      <c r="BH46" s="35"/>
      <c r="BI46" s="35">
        <v>0</v>
      </c>
      <c r="BJ46" s="35"/>
      <c r="BK46" s="35">
        <v>0</v>
      </c>
      <c r="BL46" s="35"/>
      <c r="BM46" s="35">
        <f t="shared" si="18"/>
        <v>0</v>
      </c>
      <c r="BN46" s="54" t="s">
        <v>347</v>
      </c>
      <c r="BS46" s="121" t="s">
        <v>503</v>
      </c>
    </row>
    <row r="47" spans="1:95" s="140" customFormat="1" hidden="1" x14ac:dyDescent="0.2">
      <c r="A47" s="126" t="s">
        <v>485</v>
      </c>
      <c r="B47" s="124"/>
      <c r="C47" s="126" t="s">
        <v>111</v>
      </c>
      <c r="D47" s="126"/>
      <c r="E47" s="126">
        <f t="shared" si="0"/>
        <v>0</v>
      </c>
      <c r="F47" s="126"/>
      <c r="G47" s="126"/>
      <c r="H47" s="126"/>
      <c r="I47" s="126"/>
      <c r="J47" s="126"/>
      <c r="K47" s="126">
        <f t="shared" si="1"/>
        <v>0</v>
      </c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>
        <f t="shared" si="12"/>
        <v>0</v>
      </c>
      <c r="X47" s="126"/>
      <c r="Y47" s="126" t="s">
        <v>485</v>
      </c>
      <c r="AA47" s="126" t="s">
        <v>111</v>
      </c>
      <c r="AB47" s="126"/>
      <c r="AC47" s="126"/>
      <c r="AD47" s="126"/>
      <c r="AE47" s="126"/>
      <c r="AF47" s="126"/>
      <c r="AG47" s="126"/>
      <c r="AH47" s="126"/>
      <c r="AI47" s="127">
        <f t="shared" si="11"/>
        <v>0</v>
      </c>
      <c r="AJ47" s="127"/>
      <c r="AK47" s="126"/>
      <c r="AL47" s="126"/>
      <c r="AM47" s="126"/>
      <c r="AN47" s="126"/>
      <c r="AO47" s="126"/>
      <c r="AP47" s="126"/>
      <c r="AQ47" s="126"/>
      <c r="AR47" s="126"/>
      <c r="AS47" s="127">
        <f t="shared" si="17"/>
        <v>0</v>
      </c>
      <c r="AT47" s="127"/>
      <c r="AU47" s="126">
        <v>0</v>
      </c>
      <c r="AV47" s="126"/>
      <c r="AW47" s="126">
        <v>0</v>
      </c>
      <c r="AX47" s="126"/>
      <c r="AY47" s="126">
        <f t="shared" si="4"/>
        <v>0</v>
      </c>
      <c r="AZ47" s="126"/>
      <c r="BA47" s="126" t="s">
        <v>485</v>
      </c>
      <c r="BC47" s="126" t="s">
        <v>111</v>
      </c>
      <c r="BD47" s="126"/>
      <c r="BE47" s="126"/>
      <c r="BF47" s="126"/>
      <c r="BG47" s="126"/>
      <c r="BH47" s="126"/>
      <c r="BI47" s="126"/>
      <c r="BJ47" s="126"/>
      <c r="BK47" s="126"/>
      <c r="BL47" s="126"/>
      <c r="BM47" s="126">
        <f t="shared" si="18"/>
        <v>0</v>
      </c>
      <c r="BN47" s="139" t="s">
        <v>347</v>
      </c>
      <c r="BS47" s="121" t="s">
        <v>505</v>
      </c>
    </row>
    <row r="48" spans="1:95" hidden="1" x14ac:dyDescent="0.2">
      <c r="A48" s="35" t="s">
        <v>63</v>
      </c>
      <c r="C48" s="35" t="s">
        <v>64</v>
      </c>
      <c r="D48" s="35"/>
      <c r="E48" s="35">
        <f t="shared" si="0"/>
        <v>0</v>
      </c>
      <c r="F48" s="35"/>
      <c r="G48" s="35"/>
      <c r="H48" s="35"/>
      <c r="I48" s="35"/>
      <c r="J48" s="35"/>
      <c r="K48" s="35">
        <f t="shared" si="1"/>
        <v>0</v>
      </c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>
        <f t="shared" si="12"/>
        <v>0</v>
      </c>
      <c r="X48" s="35"/>
      <c r="Y48" s="35" t="s">
        <v>63</v>
      </c>
      <c r="Z48" s="55"/>
      <c r="AA48" s="35" t="s">
        <v>64</v>
      </c>
      <c r="AB48" s="35"/>
      <c r="AC48" s="35"/>
      <c r="AD48" s="35"/>
      <c r="AE48" s="35"/>
      <c r="AF48" s="35"/>
      <c r="AG48" s="35"/>
      <c r="AH48" s="35"/>
      <c r="AI48" s="45">
        <f t="shared" si="11"/>
        <v>0</v>
      </c>
      <c r="AJ48" s="45"/>
      <c r="AK48" s="35"/>
      <c r="AL48" s="35"/>
      <c r="AM48" s="35"/>
      <c r="AN48" s="35"/>
      <c r="AO48" s="35"/>
      <c r="AP48" s="35"/>
      <c r="AQ48" s="35"/>
      <c r="AR48" s="35"/>
      <c r="AS48" s="45">
        <f t="shared" si="17"/>
        <v>0</v>
      </c>
      <c r="AT48" s="45"/>
      <c r="AU48" s="35">
        <v>0</v>
      </c>
      <c r="AV48" s="35"/>
      <c r="AW48" s="35">
        <v>0</v>
      </c>
      <c r="AX48" s="35"/>
      <c r="AY48" s="35">
        <f t="shared" si="4"/>
        <v>0</v>
      </c>
      <c r="AZ48" s="35"/>
      <c r="BA48" s="35" t="s">
        <v>63</v>
      </c>
      <c r="BB48" s="55"/>
      <c r="BC48" s="35" t="s">
        <v>64</v>
      </c>
      <c r="BD48" s="35"/>
      <c r="BE48" s="35"/>
      <c r="BF48" s="35"/>
      <c r="BG48" s="35"/>
      <c r="BH48" s="35"/>
      <c r="BI48" s="35"/>
      <c r="BJ48" s="35"/>
      <c r="BK48" s="35"/>
      <c r="BL48" s="35"/>
      <c r="BM48" s="35">
        <f t="shared" si="18"/>
        <v>0</v>
      </c>
      <c r="BN48" s="54" t="s">
        <v>347</v>
      </c>
      <c r="BO48" s="55" t="s">
        <v>315</v>
      </c>
    </row>
    <row r="49" spans="1:66" x14ac:dyDescent="0.2">
      <c r="A49" s="35" t="s">
        <v>65</v>
      </c>
      <c r="C49" s="35" t="s">
        <v>66</v>
      </c>
      <c r="D49" s="35"/>
      <c r="E49" s="35">
        <f t="shared" si="0"/>
        <v>598413</v>
      </c>
      <c r="F49" s="35"/>
      <c r="G49" s="35">
        <v>0</v>
      </c>
      <c r="H49" s="35"/>
      <c r="I49" s="35">
        <v>598413</v>
      </c>
      <c r="J49" s="35"/>
      <c r="K49" s="35">
        <f t="shared" si="1"/>
        <v>366692</v>
      </c>
      <c r="L49" s="35"/>
      <c r="M49" s="35">
        <v>5946</v>
      </c>
      <c r="N49" s="35"/>
      <c r="O49" s="35">
        <v>372638</v>
      </c>
      <c r="P49" s="35"/>
      <c r="Q49" s="35">
        <v>0</v>
      </c>
      <c r="R49" s="35"/>
      <c r="S49" s="35">
        <v>0</v>
      </c>
      <c r="T49" s="35"/>
      <c r="U49" s="35">
        <v>225775</v>
      </c>
      <c r="V49" s="35"/>
      <c r="W49" s="35">
        <f t="shared" si="12"/>
        <v>225775</v>
      </c>
      <c r="X49" s="35"/>
      <c r="Y49" s="35" t="s">
        <v>65</v>
      </c>
      <c r="Z49" s="55"/>
      <c r="AA49" s="35" t="s">
        <v>66</v>
      </c>
      <c r="AB49" s="35"/>
      <c r="AC49" s="35">
        <v>1354983</v>
      </c>
      <c r="AD49" s="35"/>
      <c r="AE49" s="35">
        <v>1650040</v>
      </c>
      <c r="AF49" s="35"/>
      <c r="AG49" s="35">
        <v>0</v>
      </c>
      <c r="AH49" s="35"/>
      <c r="AI49" s="45">
        <f t="shared" si="11"/>
        <v>-295057</v>
      </c>
      <c r="AJ49" s="45"/>
      <c r="AK49" s="35">
        <v>24263</v>
      </c>
      <c r="AL49" s="35"/>
      <c r="AM49" s="35">
        <v>0</v>
      </c>
      <c r="AN49" s="35"/>
      <c r="AO49" s="35">
        <v>0</v>
      </c>
      <c r="AP49" s="35"/>
      <c r="AQ49" s="35">
        <v>0</v>
      </c>
      <c r="AR49" s="35"/>
      <c r="AS49" s="45">
        <f t="shared" si="17"/>
        <v>-270794</v>
      </c>
      <c r="AT49" s="45"/>
      <c r="AU49" s="35">
        <v>0</v>
      </c>
      <c r="AV49" s="35"/>
      <c r="AW49" s="35">
        <v>0</v>
      </c>
      <c r="AX49" s="35"/>
      <c r="AY49" s="35">
        <f t="shared" si="4"/>
        <v>231721</v>
      </c>
      <c r="AZ49" s="35"/>
      <c r="BA49" s="35" t="s">
        <v>65</v>
      </c>
      <c r="BB49" s="55"/>
      <c r="BC49" s="35" t="s">
        <v>66</v>
      </c>
      <c r="BD49" s="35"/>
      <c r="BE49" s="35">
        <v>0</v>
      </c>
      <c r="BF49" s="35"/>
      <c r="BG49" s="35">
        <v>0</v>
      </c>
      <c r="BH49" s="35"/>
      <c r="BI49" s="35">
        <v>0</v>
      </c>
      <c r="BJ49" s="35"/>
      <c r="BK49" s="35">
        <f>5946+25000</f>
        <v>30946</v>
      </c>
      <c r="BL49" s="35"/>
      <c r="BM49" s="35">
        <f t="shared" si="18"/>
        <v>30946</v>
      </c>
      <c r="BN49" s="54" t="s">
        <v>347</v>
      </c>
    </row>
    <row r="50" spans="1:66" hidden="1" x14ac:dyDescent="0.2">
      <c r="A50" s="35" t="s">
        <v>67</v>
      </c>
      <c r="C50" s="35" t="s">
        <v>375</v>
      </c>
      <c r="D50" s="35"/>
      <c r="E50" s="35">
        <f t="shared" si="0"/>
        <v>0</v>
      </c>
      <c r="F50" s="35"/>
      <c r="G50" s="35"/>
      <c r="H50" s="35"/>
      <c r="I50" s="35"/>
      <c r="J50" s="35"/>
      <c r="K50" s="35">
        <f t="shared" si="1"/>
        <v>0</v>
      </c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>
        <f t="shared" si="12"/>
        <v>0</v>
      </c>
      <c r="X50" s="35"/>
      <c r="Y50" s="35" t="s">
        <v>67</v>
      </c>
      <c r="Z50" s="55"/>
      <c r="AA50" s="35" t="s">
        <v>375</v>
      </c>
      <c r="AB50" s="35"/>
      <c r="AC50" s="35"/>
      <c r="AD50" s="35"/>
      <c r="AE50" s="35"/>
      <c r="AF50" s="35"/>
      <c r="AG50" s="35"/>
      <c r="AH50" s="35"/>
      <c r="AI50" s="45">
        <f t="shared" si="11"/>
        <v>0</v>
      </c>
      <c r="AJ50" s="45"/>
      <c r="AK50" s="35"/>
      <c r="AL50" s="35"/>
      <c r="AM50" s="35"/>
      <c r="AN50" s="35"/>
      <c r="AO50" s="35"/>
      <c r="AP50" s="35"/>
      <c r="AQ50" s="35"/>
      <c r="AR50" s="35"/>
      <c r="AS50" s="45">
        <f t="shared" si="17"/>
        <v>0</v>
      </c>
      <c r="AT50" s="45"/>
      <c r="AU50" s="35">
        <v>0</v>
      </c>
      <c r="AV50" s="35"/>
      <c r="AW50" s="35">
        <v>0</v>
      </c>
      <c r="AX50" s="35"/>
      <c r="AY50" s="35">
        <f t="shared" si="4"/>
        <v>0</v>
      </c>
      <c r="AZ50" s="35"/>
      <c r="BA50" s="35" t="s">
        <v>67</v>
      </c>
      <c r="BB50" s="55"/>
      <c r="BC50" s="35" t="s">
        <v>375</v>
      </c>
      <c r="BD50" s="35"/>
      <c r="BE50" s="35"/>
      <c r="BF50" s="35"/>
      <c r="BG50" s="35"/>
      <c r="BH50" s="35"/>
      <c r="BI50" s="35"/>
      <c r="BJ50" s="35"/>
      <c r="BK50" s="35"/>
      <c r="BL50" s="35"/>
      <c r="BM50" s="35">
        <f t="shared" si="18"/>
        <v>0</v>
      </c>
      <c r="BN50" s="54" t="s">
        <v>347</v>
      </c>
    </row>
    <row r="51" spans="1:66" hidden="1" x14ac:dyDescent="0.2">
      <c r="A51" s="35" t="s">
        <v>68</v>
      </c>
      <c r="C51" s="35" t="s">
        <v>45</v>
      </c>
      <c r="D51" s="35"/>
      <c r="E51" s="35">
        <f t="shared" si="0"/>
        <v>0</v>
      </c>
      <c r="F51" s="35"/>
      <c r="G51" s="35"/>
      <c r="H51" s="35"/>
      <c r="I51" s="35"/>
      <c r="J51" s="35"/>
      <c r="K51" s="35">
        <f t="shared" si="1"/>
        <v>0</v>
      </c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>
        <f t="shared" si="12"/>
        <v>0</v>
      </c>
      <c r="X51" s="35"/>
      <c r="Y51" s="35" t="s">
        <v>68</v>
      </c>
      <c r="Z51" s="55"/>
      <c r="AA51" s="35" t="s">
        <v>45</v>
      </c>
      <c r="AB51" s="35"/>
      <c r="AC51" s="35"/>
      <c r="AD51" s="35"/>
      <c r="AE51" s="35"/>
      <c r="AF51" s="35"/>
      <c r="AG51" s="35"/>
      <c r="AH51" s="35"/>
      <c r="AI51" s="45">
        <f t="shared" si="11"/>
        <v>0</v>
      </c>
      <c r="AJ51" s="45"/>
      <c r="AK51" s="35"/>
      <c r="AL51" s="35"/>
      <c r="AM51" s="35"/>
      <c r="AN51" s="35"/>
      <c r="AO51" s="35"/>
      <c r="AP51" s="35"/>
      <c r="AQ51" s="35"/>
      <c r="AR51" s="35"/>
      <c r="AS51" s="45">
        <f t="shared" si="17"/>
        <v>0</v>
      </c>
      <c r="AT51" s="45"/>
      <c r="AU51" s="35">
        <v>0</v>
      </c>
      <c r="AV51" s="35"/>
      <c r="AW51" s="35">
        <v>0</v>
      </c>
      <c r="AX51" s="35"/>
      <c r="AY51" s="35">
        <f t="shared" si="4"/>
        <v>0</v>
      </c>
      <c r="AZ51" s="35"/>
      <c r="BA51" s="35" t="s">
        <v>68</v>
      </c>
      <c r="BB51" s="55"/>
      <c r="BC51" s="35" t="s">
        <v>45</v>
      </c>
      <c r="BD51" s="35"/>
      <c r="BE51" s="35"/>
      <c r="BF51" s="35"/>
      <c r="BG51" s="35"/>
      <c r="BH51" s="35"/>
      <c r="BI51" s="35"/>
      <c r="BJ51" s="35"/>
      <c r="BK51" s="35"/>
      <c r="BL51" s="35"/>
      <c r="BM51" s="35">
        <f t="shared" si="18"/>
        <v>0</v>
      </c>
      <c r="BN51" s="54" t="s">
        <v>347</v>
      </c>
    </row>
    <row r="52" spans="1:66" hidden="1" x14ac:dyDescent="0.2">
      <c r="A52" s="35" t="s">
        <v>69</v>
      </c>
      <c r="C52" s="35" t="s">
        <v>70</v>
      </c>
      <c r="D52" s="35"/>
      <c r="E52" s="35">
        <f t="shared" si="0"/>
        <v>0</v>
      </c>
      <c r="F52" s="35"/>
      <c r="G52" s="35"/>
      <c r="H52" s="35"/>
      <c r="I52" s="35"/>
      <c r="J52" s="35"/>
      <c r="K52" s="35">
        <f t="shared" si="1"/>
        <v>0</v>
      </c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>
        <f t="shared" si="12"/>
        <v>0</v>
      </c>
      <c r="X52" s="35"/>
      <c r="Y52" s="35" t="s">
        <v>69</v>
      </c>
      <c r="Z52" s="55"/>
      <c r="AA52" s="35" t="s">
        <v>70</v>
      </c>
      <c r="AB52" s="35"/>
      <c r="AC52" s="35"/>
      <c r="AD52" s="35"/>
      <c r="AE52" s="35"/>
      <c r="AF52" s="35"/>
      <c r="AG52" s="35"/>
      <c r="AH52" s="35"/>
      <c r="AI52" s="45">
        <f t="shared" si="11"/>
        <v>0</v>
      </c>
      <c r="AJ52" s="45"/>
      <c r="AK52" s="35"/>
      <c r="AL52" s="35"/>
      <c r="AM52" s="35"/>
      <c r="AN52" s="35"/>
      <c r="AO52" s="35"/>
      <c r="AP52" s="35"/>
      <c r="AQ52" s="35"/>
      <c r="AR52" s="35"/>
      <c r="AS52" s="45">
        <f t="shared" si="17"/>
        <v>0</v>
      </c>
      <c r="AT52" s="45"/>
      <c r="AU52" s="35">
        <v>0</v>
      </c>
      <c r="AV52" s="35"/>
      <c r="AW52" s="35">
        <v>0</v>
      </c>
      <c r="AX52" s="35"/>
      <c r="AY52" s="35">
        <f t="shared" si="4"/>
        <v>0</v>
      </c>
      <c r="AZ52" s="35"/>
      <c r="BA52" s="35" t="s">
        <v>69</v>
      </c>
      <c r="BB52" s="55"/>
      <c r="BC52" s="35" t="s">
        <v>70</v>
      </c>
      <c r="BD52" s="35"/>
      <c r="BE52" s="35"/>
      <c r="BF52" s="35"/>
      <c r="BG52" s="35"/>
      <c r="BH52" s="35"/>
      <c r="BI52" s="35"/>
      <c r="BJ52" s="35"/>
      <c r="BK52" s="35"/>
      <c r="BL52" s="35"/>
      <c r="BM52" s="35">
        <f t="shared" si="18"/>
        <v>0</v>
      </c>
      <c r="BN52" s="54" t="s">
        <v>347</v>
      </c>
    </row>
    <row r="53" spans="1:66" hidden="1" x14ac:dyDescent="0.2">
      <c r="A53" s="35" t="s">
        <v>71</v>
      </c>
      <c r="C53" s="35" t="s">
        <v>45</v>
      </c>
      <c r="D53" s="35"/>
      <c r="E53" s="35">
        <f t="shared" si="0"/>
        <v>0</v>
      </c>
      <c r="F53" s="35"/>
      <c r="G53" s="35"/>
      <c r="H53" s="35"/>
      <c r="I53" s="35"/>
      <c r="J53" s="35"/>
      <c r="K53" s="35">
        <f t="shared" si="1"/>
        <v>0</v>
      </c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>
        <f t="shared" si="12"/>
        <v>0</v>
      </c>
      <c r="X53" s="35"/>
      <c r="Y53" s="35" t="s">
        <v>71</v>
      </c>
      <c r="Z53" s="55"/>
      <c r="AA53" s="35" t="s">
        <v>45</v>
      </c>
      <c r="AB53" s="35"/>
      <c r="AC53" s="35"/>
      <c r="AD53" s="35"/>
      <c r="AE53" s="35"/>
      <c r="AF53" s="35"/>
      <c r="AG53" s="35"/>
      <c r="AH53" s="35"/>
      <c r="AI53" s="45">
        <f t="shared" si="11"/>
        <v>0</v>
      </c>
      <c r="AJ53" s="45"/>
      <c r="AK53" s="35"/>
      <c r="AL53" s="35"/>
      <c r="AM53" s="35"/>
      <c r="AN53" s="35"/>
      <c r="AO53" s="35"/>
      <c r="AP53" s="35"/>
      <c r="AQ53" s="35"/>
      <c r="AR53" s="35"/>
      <c r="AS53" s="45">
        <f t="shared" si="17"/>
        <v>0</v>
      </c>
      <c r="AT53" s="45"/>
      <c r="AU53" s="35">
        <v>0</v>
      </c>
      <c r="AV53" s="35"/>
      <c r="AW53" s="35">
        <v>0</v>
      </c>
      <c r="AX53" s="35"/>
      <c r="AY53" s="35">
        <f t="shared" si="4"/>
        <v>0</v>
      </c>
      <c r="AZ53" s="35"/>
      <c r="BA53" s="35" t="s">
        <v>71</v>
      </c>
      <c r="BB53" s="55"/>
      <c r="BC53" s="35" t="s">
        <v>45</v>
      </c>
      <c r="BD53" s="35"/>
      <c r="BE53" s="35"/>
      <c r="BF53" s="35"/>
      <c r="BG53" s="35"/>
      <c r="BH53" s="35"/>
      <c r="BI53" s="35"/>
      <c r="BJ53" s="35"/>
      <c r="BK53" s="35"/>
      <c r="BL53" s="35"/>
      <c r="BM53" s="35">
        <f t="shared" si="18"/>
        <v>0</v>
      </c>
      <c r="BN53" s="54" t="s">
        <v>347</v>
      </c>
    </row>
    <row r="54" spans="1:66" hidden="1" x14ac:dyDescent="0.2">
      <c r="A54" s="35" t="s">
        <v>72</v>
      </c>
      <c r="C54" s="35" t="s">
        <v>66</v>
      </c>
      <c r="D54" s="35"/>
      <c r="E54" s="35">
        <f t="shared" si="0"/>
        <v>0</v>
      </c>
      <c r="F54" s="35"/>
      <c r="G54" s="35"/>
      <c r="H54" s="35"/>
      <c r="I54" s="35"/>
      <c r="J54" s="35"/>
      <c r="K54" s="35">
        <f t="shared" si="1"/>
        <v>0</v>
      </c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>
        <f t="shared" si="12"/>
        <v>0</v>
      </c>
      <c r="X54" s="35"/>
      <c r="Y54" s="35" t="s">
        <v>72</v>
      </c>
      <c r="Z54" s="55"/>
      <c r="AA54" s="35" t="s">
        <v>66</v>
      </c>
      <c r="AB54" s="35"/>
      <c r="AC54" s="35"/>
      <c r="AD54" s="35"/>
      <c r="AE54" s="35"/>
      <c r="AF54" s="35"/>
      <c r="AG54" s="35"/>
      <c r="AH54" s="35"/>
      <c r="AI54" s="45">
        <v>0</v>
      </c>
      <c r="AJ54" s="45"/>
      <c r="AK54" s="35"/>
      <c r="AL54" s="35"/>
      <c r="AM54" s="35"/>
      <c r="AN54" s="35"/>
      <c r="AO54" s="35"/>
      <c r="AP54" s="35"/>
      <c r="AQ54" s="35"/>
      <c r="AR54" s="35"/>
      <c r="AS54" s="45">
        <f t="shared" si="17"/>
        <v>0</v>
      </c>
      <c r="AT54" s="45"/>
      <c r="AU54" s="35">
        <v>0</v>
      </c>
      <c r="AV54" s="35"/>
      <c r="AW54" s="35">
        <v>0</v>
      </c>
      <c r="AX54" s="35"/>
      <c r="AY54" s="35">
        <f t="shared" si="4"/>
        <v>0</v>
      </c>
      <c r="AZ54" s="35"/>
      <c r="BA54" s="35" t="s">
        <v>72</v>
      </c>
      <c r="BB54" s="55"/>
      <c r="BC54" s="35" t="s">
        <v>66</v>
      </c>
      <c r="BD54" s="35"/>
      <c r="BE54" s="35"/>
      <c r="BF54" s="35"/>
      <c r="BG54" s="35"/>
      <c r="BH54" s="35"/>
      <c r="BI54" s="35"/>
      <c r="BJ54" s="35"/>
      <c r="BK54" s="35"/>
      <c r="BL54" s="35"/>
      <c r="BM54" s="35">
        <f t="shared" si="18"/>
        <v>0</v>
      </c>
      <c r="BN54" s="54" t="s">
        <v>347</v>
      </c>
    </row>
    <row r="55" spans="1:66" ht="12" hidden="1" x14ac:dyDescent="0.2">
      <c r="A55" s="35" t="s">
        <v>73</v>
      </c>
      <c r="B55" s="55"/>
      <c r="C55" s="35" t="s">
        <v>27</v>
      </c>
      <c r="D55" s="35"/>
      <c r="E55" s="35">
        <f t="shared" si="0"/>
        <v>0</v>
      </c>
      <c r="F55" s="35"/>
      <c r="G55" s="35"/>
      <c r="H55" s="35"/>
      <c r="I55" s="35"/>
      <c r="J55" s="35"/>
      <c r="K55" s="35">
        <f t="shared" si="1"/>
        <v>0</v>
      </c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>
        <f t="shared" si="12"/>
        <v>0</v>
      </c>
      <c r="X55" s="35"/>
      <c r="Y55" s="35" t="s">
        <v>73</v>
      </c>
      <c r="Z55" s="55"/>
      <c r="AA55" s="35" t="s">
        <v>27</v>
      </c>
      <c r="AB55" s="35"/>
      <c r="AC55" s="35"/>
      <c r="AD55" s="35"/>
      <c r="AE55" s="35"/>
      <c r="AF55" s="35"/>
      <c r="AG55" s="35"/>
      <c r="AH55" s="35"/>
      <c r="AI55" s="45">
        <f t="shared" ref="AI55:AI120" si="25">+AC55-AE55-AG55</f>
        <v>0</v>
      </c>
      <c r="AJ55" s="45"/>
      <c r="AK55" s="35"/>
      <c r="AL55" s="35"/>
      <c r="AM55" s="35"/>
      <c r="AN55" s="35"/>
      <c r="AO55" s="35"/>
      <c r="AP55" s="35"/>
      <c r="AQ55" s="35"/>
      <c r="AR55" s="35"/>
      <c r="AS55" s="45">
        <f t="shared" si="17"/>
        <v>0</v>
      </c>
      <c r="AT55" s="45"/>
      <c r="AU55" s="35">
        <v>0</v>
      </c>
      <c r="AV55" s="35"/>
      <c r="AW55" s="35">
        <v>0</v>
      </c>
      <c r="AX55" s="35"/>
      <c r="AY55" s="35">
        <f t="shared" si="4"/>
        <v>0</v>
      </c>
      <c r="AZ55" s="35"/>
      <c r="BA55" s="35" t="s">
        <v>73</v>
      </c>
      <c r="BB55" s="55"/>
      <c r="BC55" s="35" t="s">
        <v>27</v>
      </c>
      <c r="BD55" s="35"/>
      <c r="BE55" s="35"/>
      <c r="BF55" s="35"/>
      <c r="BG55" s="35"/>
      <c r="BH55" s="35"/>
      <c r="BI55" s="35"/>
      <c r="BJ55" s="35"/>
      <c r="BK55" s="35"/>
      <c r="BL55" s="35"/>
      <c r="BM55" s="35">
        <f t="shared" si="18"/>
        <v>0</v>
      </c>
      <c r="BN55" s="54" t="s">
        <v>347</v>
      </c>
    </row>
    <row r="56" spans="1:66" hidden="1" x14ac:dyDescent="0.2">
      <c r="A56" s="35" t="s">
        <v>74</v>
      </c>
      <c r="C56" s="35" t="s">
        <v>27</v>
      </c>
      <c r="D56" s="35"/>
      <c r="E56" s="35">
        <f t="shared" si="0"/>
        <v>0</v>
      </c>
      <c r="F56" s="35"/>
      <c r="G56" s="35"/>
      <c r="H56" s="35"/>
      <c r="I56" s="35"/>
      <c r="J56" s="35"/>
      <c r="K56" s="35">
        <f t="shared" si="1"/>
        <v>0</v>
      </c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>
        <f t="shared" si="12"/>
        <v>0</v>
      </c>
      <c r="X56" s="35"/>
      <c r="Y56" s="35" t="s">
        <v>74</v>
      </c>
      <c r="Z56" s="55"/>
      <c r="AA56" s="35" t="s">
        <v>27</v>
      </c>
      <c r="AB56" s="35"/>
      <c r="AC56" s="35"/>
      <c r="AD56" s="35"/>
      <c r="AE56" s="35"/>
      <c r="AF56" s="35"/>
      <c r="AG56" s="35"/>
      <c r="AH56" s="35"/>
      <c r="AI56" s="45">
        <f t="shared" si="25"/>
        <v>0</v>
      </c>
      <c r="AJ56" s="45"/>
      <c r="AK56" s="35"/>
      <c r="AL56" s="35"/>
      <c r="AM56" s="35"/>
      <c r="AN56" s="35"/>
      <c r="AO56" s="35"/>
      <c r="AP56" s="35"/>
      <c r="AQ56" s="35"/>
      <c r="AR56" s="35"/>
      <c r="AS56" s="45">
        <f t="shared" si="17"/>
        <v>0</v>
      </c>
      <c r="AT56" s="45"/>
      <c r="AU56" s="35">
        <v>0</v>
      </c>
      <c r="AV56" s="35"/>
      <c r="AW56" s="35">
        <v>0</v>
      </c>
      <c r="AX56" s="35"/>
      <c r="AY56" s="35">
        <f t="shared" si="4"/>
        <v>0</v>
      </c>
      <c r="AZ56" s="35"/>
      <c r="BA56" s="35" t="s">
        <v>74</v>
      </c>
      <c r="BB56" s="55"/>
      <c r="BC56" s="35" t="s">
        <v>27</v>
      </c>
      <c r="BD56" s="35"/>
      <c r="BE56" s="35"/>
      <c r="BF56" s="35"/>
      <c r="BG56" s="35"/>
      <c r="BH56" s="35"/>
      <c r="BI56" s="35"/>
      <c r="BJ56" s="35"/>
      <c r="BK56" s="35"/>
      <c r="BL56" s="35"/>
      <c r="BM56" s="35">
        <f t="shared" si="18"/>
        <v>0</v>
      </c>
      <c r="BN56" s="54" t="s">
        <v>347</v>
      </c>
    </row>
    <row r="57" spans="1:66" hidden="1" x14ac:dyDescent="0.2">
      <c r="A57" s="35" t="s">
        <v>75</v>
      </c>
      <c r="C57" s="35" t="s">
        <v>76</v>
      </c>
      <c r="D57" s="35"/>
      <c r="E57" s="35">
        <f t="shared" si="0"/>
        <v>0</v>
      </c>
      <c r="F57" s="35"/>
      <c r="G57" s="35"/>
      <c r="H57" s="35"/>
      <c r="I57" s="35"/>
      <c r="J57" s="35"/>
      <c r="K57" s="35">
        <f t="shared" si="1"/>
        <v>0</v>
      </c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>
        <f t="shared" si="12"/>
        <v>0</v>
      </c>
      <c r="X57" s="35"/>
      <c r="Y57" s="35" t="s">
        <v>75</v>
      </c>
      <c r="Z57" s="55"/>
      <c r="AA57" s="35" t="s">
        <v>76</v>
      </c>
      <c r="AB57" s="35"/>
      <c r="AC57" s="35"/>
      <c r="AD57" s="35"/>
      <c r="AE57" s="35"/>
      <c r="AF57" s="35"/>
      <c r="AG57" s="35"/>
      <c r="AH57" s="35"/>
      <c r="AI57" s="45">
        <f t="shared" si="25"/>
        <v>0</v>
      </c>
      <c r="AJ57" s="45"/>
      <c r="AK57" s="35"/>
      <c r="AL57" s="35"/>
      <c r="AM57" s="35"/>
      <c r="AN57" s="35"/>
      <c r="AO57" s="35"/>
      <c r="AP57" s="35"/>
      <c r="AQ57" s="35"/>
      <c r="AR57" s="35"/>
      <c r="AS57" s="45">
        <f t="shared" si="17"/>
        <v>0</v>
      </c>
      <c r="AT57" s="45"/>
      <c r="AU57" s="35">
        <v>0</v>
      </c>
      <c r="AV57" s="35"/>
      <c r="AW57" s="35">
        <v>0</v>
      </c>
      <c r="AX57" s="35"/>
      <c r="AY57" s="35">
        <f t="shared" si="4"/>
        <v>0</v>
      </c>
      <c r="AZ57" s="35"/>
      <c r="BA57" s="35" t="s">
        <v>75</v>
      </c>
      <c r="BB57" s="55"/>
      <c r="BC57" s="35" t="s">
        <v>76</v>
      </c>
      <c r="BD57" s="35"/>
      <c r="BE57" s="35"/>
      <c r="BF57" s="35"/>
      <c r="BG57" s="35"/>
      <c r="BH57" s="35"/>
      <c r="BI57" s="35"/>
      <c r="BJ57" s="35"/>
      <c r="BK57" s="35"/>
      <c r="BL57" s="35"/>
      <c r="BM57" s="35">
        <f t="shared" si="18"/>
        <v>0</v>
      </c>
      <c r="BN57" s="54" t="s">
        <v>347</v>
      </c>
    </row>
    <row r="58" spans="1:66" hidden="1" x14ac:dyDescent="0.2">
      <c r="A58" s="35" t="s">
        <v>94</v>
      </c>
      <c r="C58" s="35" t="s">
        <v>94</v>
      </c>
      <c r="D58" s="35"/>
      <c r="E58" s="35">
        <f t="shared" si="0"/>
        <v>0</v>
      </c>
      <c r="F58" s="35"/>
      <c r="G58" s="35"/>
      <c r="H58" s="35"/>
      <c r="I58" s="35"/>
      <c r="J58" s="35"/>
      <c r="K58" s="35">
        <f t="shared" si="1"/>
        <v>0</v>
      </c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>
        <f t="shared" si="12"/>
        <v>0</v>
      </c>
      <c r="X58" s="35"/>
      <c r="Y58" s="35" t="str">
        <f>+A58</f>
        <v>Columbiana</v>
      </c>
      <c r="Z58" s="55"/>
      <c r="AA58" s="35" t="s">
        <v>94</v>
      </c>
      <c r="AB58" s="35"/>
      <c r="AC58" s="35"/>
      <c r="AD58" s="35"/>
      <c r="AE58" s="35"/>
      <c r="AF58" s="35"/>
      <c r="AG58" s="35"/>
      <c r="AH58" s="35"/>
      <c r="AI58" s="45">
        <f t="shared" si="25"/>
        <v>0</v>
      </c>
      <c r="AJ58" s="45"/>
      <c r="AK58" s="35"/>
      <c r="AL58" s="35"/>
      <c r="AM58" s="35"/>
      <c r="AN58" s="35"/>
      <c r="AO58" s="35"/>
      <c r="AP58" s="35"/>
      <c r="AQ58" s="35"/>
      <c r="AR58" s="35"/>
      <c r="AS58" s="45">
        <f t="shared" si="17"/>
        <v>0</v>
      </c>
      <c r="AT58" s="45"/>
      <c r="AU58" s="35">
        <v>0</v>
      </c>
      <c r="AV58" s="35"/>
      <c r="AW58" s="35">
        <v>0</v>
      </c>
      <c r="AX58" s="35"/>
      <c r="AY58" s="35">
        <f t="shared" si="4"/>
        <v>0</v>
      </c>
      <c r="AZ58" s="35"/>
      <c r="BA58" s="35" t="str">
        <f>+Y58</f>
        <v>Columbiana</v>
      </c>
      <c r="BB58" s="55"/>
      <c r="BC58" s="35" t="s">
        <v>94</v>
      </c>
      <c r="BD58" s="35"/>
      <c r="BE58" s="35"/>
      <c r="BF58" s="35"/>
      <c r="BG58" s="35"/>
      <c r="BH58" s="35"/>
      <c r="BI58" s="35"/>
      <c r="BJ58" s="35"/>
      <c r="BK58" s="35"/>
      <c r="BL58" s="35"/>
      <c r="BM58" s="35">
        <f t="shared" si="18"/>
        <v>0</v>
      </c>
      <c r="BN58" s="54" t="s">
        <v>347</v>
      </c>
    </row>
    <row r="59" spans="1:66" hidden="1" x14ac:dyDescent="0.2">
      <c r="A59" s="35" t="s">
        <v>77</v>
      </c>
      <c r="C59" s="35" t="s">
        <v>43</v>
      </c>
      <c r="D59" s="35"/>
      <c r="E59" s="35">
        <f t="shared" si="0"/>
        <v>0</v>
      </c>
      <c r="F59" s="35"/>
      <c r="G59" s="35"/>
      <c r="H59" s="35"/>
      <c r="I59" s="35"/>
      <c r="J59" s="35"/>
      <c r="K59" s="35">
        <f t="shared" si="1"/>
        <v>0</v>
      </c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>
        <f t="shared" si="12"/>
        <v>0</v>
      </c>
      <c r="X59" s="35"/>
      <c r="Y59" s="35" t="s">
        <v>77</v>
      </c>
      <c r="Z59" s="55"/>
      <c r="AA59" s="35" t="s">
        <v>43</v>
      </c>
      <c r="AB59" s="35"/>
      <c r="AC59" s="35"/>
      <c r="AD59" s="35"/>
      <c r="AE59" s="35"/>
      <c r="AF59" s="35"/>
      <c r="AG59" s="35"/>
      <c r="AH59" s="35"/>
      <c r="AI59" s="45">
        <f t="shared" si="25"/>
        <v>0</v>
      </c>
      <c r="AJ59" s="45"/>
      <c r="AK59" s="35"/>
      <c r="AL59" s="35"/>
      <c r="AM59" s="35"/>
      <c r="AN59" s="35"/>
      <c r="AO59" s="35"/>
      <c r="AP59" s="35"/>
      <c r="AQ59" s="35"/>
      <c r="AR59" s="35"/>
      <c r="AS59" s="45">
        <f t="shared" si="17"/>
        <v>0</v>
      </c>
      <c r="AT59" s="45"/>
      <c r="AU59" s="35">
        <v>0</v>
      </c>
      <c r="AV59" s="35"/>
      <c r="AW59" s="35">
        <v>0</v>
      </c>
      <c r="AX59" s="35"/>
      <c r="AY59" s="35">
        <f t="shared" si="4"/>
        <v>0</v>
      </c>
      <c r="AZ59" s="35"/>
      <c r="BA59" s="35" t="s">
        <v>77</v>
      </c>
      <c r="BB59" s="55"/>
      <c r="BC59" s="35" t="s">
        <v>43</v>
      </c>
      <c r="BD59" s="35"/>
      <c r="BE59" s="35"/>
      <c r="BF59" s="35"/>
      <c r="BG59" s="35"/>
      <c r="BH59" s="35"/>
      <c r="BI59" s="35"/>
      <c r="BJ59" s="35"/>
      <c r="BK59" s="35"/>
      <c r="BL59" s="35"/>
      <c r="BM59" s="35">
        <f t="shared" si="18"/>
        <v>0</v>
      </c>
      <c r="BN59" s="54" t="s">
        <v>347</v>
      </c>
    </row>
    <row r="60" spans="1:66" hidden="1" x14ac:dyDescent="0.2">
      <c r="A60" s="35" t="s">
        <v>78</v>
      </c>
      <c r="C60" s="35" t="s">
        <v>19</v>
      </c>
      <c r="D60" s="35"/>
      <c r="E60" s="35">
        <f t="shared" si="0"/>
        <v>0</v>
      </c>
      <c r="F60" s="35"/>
      <c r="G60" s="35"/>
      <c r="H60" s="35"/>
      <c r="I60" s="35"/>
      <c r="J60" s="35"/>
      <c r="K60" s="35">
        <f t="shared" si="1"/>
        <v>0</v>
      </c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>
        <f t="shared" si="12"/>
        <v>0</v>
      </c>
      <c r="X60" s="35"/>
      <c r="Y60" s="35" t="s">
        <v>78</v>
      </c>
      <c r="Z60" s="55"/>
      <c r="AA60" s="35" t="s">
        <v>19</v>
      </c>
      <c r="AB60" s="35"/>
      <c r="AC60" s="35"/>
      <c r="AD60" s="35"/>
      <c r="AE60" s="35"/>
      <c r="AF60" s="35"/>
      <c r="AG60" s="35"/>
      <c r="AH60" s="35"/>
      <c r="AI60" s="45">
        <f t="shared" si="25"/>
        <v>0</v>
      </c>
      <c r="AJ60" s="45"/>
      <c r="AK60" s="35"/>
      <c r="AL60" s="35"/>
      <c r="AM60" s="35"/>
      <c r="AN60" s="35"/>
      <c r="AO60" s="35"/>
      <c r="AP60" s="35"/>
      <c r="AQ60" s="35"/>
      <c r="AR60" s="35"/>
      <c r="AS60" s="45">
        <f t="shared" si="17"/>
        <v>0</v>
      </c>
      <c r="AT60" s="45"/>
      <c r="AU60" s="35">
        <v>0</v>
      </c>
      <c r="AV60" s="35"/>
      <c r="AW60" s="35">
        <v>0</v>
      </c>
      <c r="AX60" s="35"/>
      <c r="AY60" s="35">
        <f t="shared" si="4"/>
        <v>0</v>
      </c>
      <c r="AZ60" s="35"/>
      <c r="BA60" s="35" t="s">
        <v>78</v>
      </c>
      <c r="BB60" s="55"/>
      <c r="BC60" s="35" t="s">
        <v>19</v>
      </c>
      <c r="BD60" s="35"/>
      <c r="BE60" s="35"/>
      <c r="BF60" s="35"/>
      <c r="BG60" s="35"/>
      <c r="BH60" s="35"/>
      <c r="BI60" s="35"/>
      <c r="BJ60" s="35"/>
      <c r="BK60" s="35"/>
      <c r="BL60" s="35"/>
      <c r="BM60" s="35">
        <f t="shared" si="18"/>
        <v>0</v>
      </c>
      <c r="BN60" s="54" t="s">
        <v>347</v>
      </c>
    </row>
    <row r="61" spans="1:66" hidden="1" x14ac:dyDescent="0.2">
      <c r="A61" s="35" t="s">
        <v>79</v>
      </c>
      <c r="C61" s="35" t="s">
        <v>80</v>
      </c>
      <c r="D61" s="35"/>
      <c r="E61" s="35">
        <f t="shared" si="0"/>
        <v>0</v>
      </c>
      <c r="F61" s="35"/>
      <c r="G61" s="35"/>
      <c r="H61" s="35"/>
      <c r="I61" s="35"/>
      <c r="J61" s="35"/>
      <c r="K61" s="35">
        <f t="shared" si="1"/>
        <v>0</v>
      </c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>
        <f t="shared" si="12"/>
        <v>0</v>
      </c>
      <c r="X61" s="35"/>
      <c r="Y61" s="35" t="s">
        <v>79</v>
      </c>
      <c r="Z61" s="55"/>
      <c r="AA61" s="35" t="s">
        <v>80</v>
      </c>
      <c r="AB61" s="35"/>
      <c r="AC61" s="35"/>
      <c r="AD61" s="35"/>
      <c r="AE61" s="35"/>
      <c r="AF61" s="35"/>
      <c r="AG61" s="35"/>
      <c r="AH61" s="35"/>
      <c r="AI61" s="45">
        <f t="shared" si="25"/>
        <v>0</v>
      </c>
      <c r="AJ61" s="45"/>
      <c r="AK61" s="35"/>
      <c r="AL61" s="35"/>
      <c r="AM61" s="35"/>
      <c r="AN61" s="35"/>
      <c r="AO61" s="35"/>
      <c r="AP61" s="35"/>
      <c r="AQ61" s="35"/>
      <c r="AR61" s="35"/>
      <c r="AS61" s="45">
        <f t="shared" si="17"/>
        <v>0</v>
      </c>
      <c r="AT61" s="45"/>
      <c r="AU61" s="35">
        <v>0</v>
      </c>
      <c r="AV61" s="35"/>
      <c r="AW61" s="35">
        <v>0</v>
      </c>
      <c r="AX61" s="35"/>
      <c r="AY61" s="35">
        <f t="shared" si="4"/>
        <v>0</v>
      </c>
      <c r="AZ61" s="35"/>
      <c r="BA61" s="35" t="s">
        <v>79</v>
      </c>
      <c r="BB61" s="55"/>
      <c r="BC61" s="35" t="s">
        <v>80</v>
      </c>
      <c r="BD61" s="35"/>
      <c r="BE61" s="35"/>
      <c r="BF61" s="35"/>
      <c r="BG61" s="35"/>
      <c r="BH61" s="35"/>
      <c r="BI61" s="35"/>
      <c r="BJ61" s="35"/>
      <c r="BK61" s="35"/>
      <c r="BL61" s="35"/>
      <c r="BM61" s="35">
        <f t="shared" si="18"/>
        <v>0</v>
      </c>
      <c r="BN61" s="54" t="s">
        <v>347</v>
      </c>
    </row>
    <row r="62" spans="1:66" x14ac:dyDescent="0.2">
      <c r="A62" s="35" t="s">
        <v>81</v>
      </c>
      <c r="C62" s="35" t="s">
        <v>81</v>
      </c>
      <c r="D62" s="35"/>
      <c r="E62" s="35">
        <f t="shared" si="0"/>
        <v>480302</v>
      </c>
      <c r="F62" s="35"/>
      <c r="G62" s="35">
        <v>0</v>
      </c>
      <c r="H62" s="35"/>
      <c r="I62" s="35">
        <v>480302</v>
      </c>
      <c r="J62" s="35"/>
      <c r="K62" s="35">
        <f t="shared" si="1"/>
        <v>267</v>
      </c>
      <c r="L62" s="35"/>
      <c r="M62" s="35">
        <v>0</v>
      </c>
      <c r="N62" s="35"/>
      <c r="O62" s="35">
        <v>267</v>
      </c>
      <c r="P62" s="35"/>
      <c r="Q62" s="35">
        <v>0</v>
      </c>
      <c r="R62" s="35"/>
      <c r="S62" s="35">
        <v>0</v>
      </c>
      <c r="T62" s="35"/>
      <c r="U62" s="35">
        <v>480035</v>
      </c>
      <c r="V62" s="35"/>
      <c r="W62" s="35">
        <f t="shared" si="12"/>
        <v>480035</v>
      </c>
      <c r="X62" s="35"/>
      <c r="Y62" s="35" t="s">
        <v>81</v>
      </c>
      <c r="Z62" s="55"/>
      <c r="AA62" s="35" t="s">
        <v>81</v>
      </c>
      <c r="AB62" s="35"/>
      <c r="AC62" s="35">
        <v>865321</v>
      </c>
      <c r="AD62" s="35"/>
      <c r="AE62" s="35">
        <v>839670</v>
      </c>
      <c r="AF62" s="35"/>
      <c r="AG62" s="35">
        <v>0</v>
      </c>
      <c r="AH62" s="35"/>
      <c r="AI62" s="45">
        <f t="shared" si="25"/>
        <v>25651</v>
      </c>
      <c r="AJ62" s="45"/>
      <c r="AK62" s="35">
        <v>0</v>
      </c>
      <c r="AL62" s="35"/>
      <c r="AM62" s="35">
        <v>0</v>
      </c>
      <c r="AN62" s="35"/>
      <c r="AO62" s="35">
        <v>0</v>
      </c>
      <c r="AP62" s="35"/>
      <c r="AQ62" s="35">
        <v>0</v>
      </c>
      <c r="AR62" s="35"/>
      <c r="AS62" s="45">
        <f t="shared" si="17"/>
        <v>25651</v>
      </c>
      <c r="AT62" s="45"/>
      <c r="AU62" s="35">
        <v>0</v>
      </c>
      <c r="AV62" s="35"/>
      <c r="AW62" s="35">
        <v>0</v>
      </c>
      <c r="AX62" s="35"/>
      <c r="AY62" s="35">
        <f t="shared" ref="AY62:AY127" si="26">+E62-K62</f>
        <v>480035</v>
      </c>
      <c r="AZ62" s="35"/>
      <c r="BA62" s="35" t="s">
        <v>81</v>
      </c>
      <c r="BB62" s="55"/>
      <c r="BC62" s="35" t="s">
        <v>81</v>
      </c>
      <c r="BD62" s="35"/>
      <c r="BE62" s="35">
        <v>0</v>
      </c>
      <c r="BF62" s="35"/>
      <c r="BG62" s="35">
        <v>0</v>
      </c>
      <c r="BH62" s="35"/>
      <c r="BI62" s="35">
        <v>0</v>
      </c>
      <c r="BJ62" s="35"/>
      <c r="BK62" s="35">
        <v>0</v>
      </c>
      <c r="BL62" s="35"/>
      <c r="BM62" s="35">
        <f t="shared" si="18"/>
        <v>0</v>
      </c>
      <c r="BN62" s="54" t="s">
        <v>347</v>
      </c>
    </row>
    <row r="63" spans="1:66" x14ac:dyDescent="0.2">
      <c r="A63" s="35" t="s">
        <v>82</v>
      </c>
      <c r="C63" s="35" t="s">
        <v>13</v>
      </c>
      <c r="D63" s="35"/>
      <c r="E63" s="35">
        <f t="shared" si="0"/>
        <v>2047731</v>
      </c>
      <c r="F63" s="35"/>
      <c r="G63" s="35">
        <v>1194430</v>
      </c>
      <c r="H63" s="35"/>
      <c r="I63" s="35">
        <v>3242161</v>
      </c>
      <c r="J63" s="35"/>
      <c r="K63" s="35">
        <f t="shared" si="1"/>
        <v>332873</v>
      </c>
      <c r="L63" s="35"/>
      <c r="M63" s="35">
        <v>477514</v>
      </c>
      <c r="N63" s="35"/>
      <c r="O63" s="35">
        <v>810387</v>
      </c>
      <c r="P63" s="35"/>
      <c r="Q63" s="35">
        <v>977916</v>
      </c>
      <c r="R63" s="35"/>
      <c r="S63" s="35">
        <v>0</v>
      </c>
      <c r="T63" s="35"/>
      <c r="U63" s="35">
        <v>1453858</v>
      </c>
      <c r="V63" s="35"/>
      <c r="W63" s="35">
        <f>SUM(Q63:U63)</f>
        <v>2431774</v>
      </c>
      <c r="X63" s="35"/>
      <c r="Y63" s="35" t="s">
        <v>82</v>
      </c>
      <c r="Z63" s="55"/>
      <c r="AA63" s="35" t="s">
        <v>13</v>
      </c>
      <c r="AB63" s="35"/>
      <c r="AC63" s="35">
        <v>3738957</v>
      </c>
      <c r="AD63" s="35"/>
      <c r="AE63" s="35">
        <f>3622237-240428</f>
        <v>3381809</v>
      </c>
      <c r="AF63" s="35"/>
      <c r="AG63" s="35">
        <v>240428</v>
      </c>
      <c r="AH63" s="35"/>
      <c r="AI63" s="45">
        <f t="shared" si="25"/>
        <v>116720</v>
      </c>
      <c r="AJ63" s="45"/>
      <c r="AK63" s="35">
        <v>56959</v>
      </c>
      <c r="AL63" s="35"/>
      <c r="AM63" s="35">
        <v>0</v>
      </c>
      <c r="AN63" s="35"/>
      <c r="AO63" s="35">
        <v>0</v>
      </c>
      <c r="AP63" s="35"/>
      <c r="AQ63" s="35">
        <v>0</v>
      </c>
      <c r="AR63" s="35"/>
      <c r="AS63" s="45">
        <f t="shared" si="17"/>
        <v>173679</v>
      </c>
      <c r="AT63" s="45"/>
      <c r="AU63" s="35">
        <v>0</v>
      </c>
      <c r="AV63" s="35"/>
      <c r="AW63" s="35">
        <v>0</v>
      </c>
      <c r="AX63" s="35"/>
      <c r="AY63" s="35">
        <f t="shared" si="26"/>
        <v>1714858</v>
      </c>
      <c r="AZ63" s="35"/>
      <c r="BA63" s="35" t="s">
        <v>82</v>
      </c>
      <c r="BB63" s="55"/>
      <c r="BC63" s="35" t="s">
        <v>13</v>
      </c>
      <c r="BD63" s="35"/>
      <c r="BE63" s="35">
        <v>0</v>
      </c>
      <c r="BF63" s="35"/>
      <c r="BG63" s="35">
        <v>0</v>
      </c>
      <c r="BH63" s="35"/>
      <c r="BI63" s="35">
        <v>0</v>
      </c>
      <c r="BJ63" s="35"/>
      <c r="BK63" s="35">
        <f>193316+284198+23198+68194</f>
        <v>568906</v>
      </c>
      <c r="BL63" s="35"/>
      <c r="BM63" s="35">
        <f t="shared" si="18"/>
        <v>568906</v>
      </c>
      <c r="BN63" s="54" t="s">
        <v>347</v>
      </c>
    </row>
    <row r="64" spans="1:66" hidden="1" x14ac:dyDescent="0.2">
      <c r="A64" s="35" t="s">
        <v>83</v>
      </c>
      <c r="C64" s="35" t="s">
        <v>66</v>
      </c>
      <c r="D64" s="35"/>
      <c r="E64" s="35">
        <f t="shared" si="0"/>
        <v>0</v>
      </c>
      <c r="F64" s="35"/>
      <c r="G64" s="35"/>
      <c r="H64" s="35"/>
      <c r="I64" s="35"/>
      <c r="J64" s="35"/>
      <c r="K64" s="35">
        <f t="shared" si="1"/>
        <v>0</v>
      </c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>
        <f t="shared" si="12"/>
        <v>0</v>
      </c>
      <c r="X64" s="35"/>
      <c r="Y64" s="35" t="s">
        <v>83</v>
      </c>
      <c r="Z64" s="55"/>
      <c r="AA64" s="35" t="s">
        <v>66</v>
      </c>
      <c r="AB64" s="35"/>
      <c r="AC64" s="35"/>
      <c r="AD64" s="35"/>
      <c r="AE64" s="35"/>
      <c r="AF64" s="35"/>
      <c r="AG64" s="35"/>
      <c r="AH64" s="35"/>
      <c r="AI64" s="45">
        <f t="shared" si="25"/>
        <v>0</v>
      </c>
      <c r="AJ64" s="45"/>
      <c r="AK64" s="35"/>
      <c r="AL64" s="35"/>
      <c r="AM64" s="35"/>
      <c r="AN64" s="35"/>
      <c r="AO64" s="35"/>
      <c r="AP64" s="35"/>
      <c r="AQ64" s="35"/>
      <c r="AR64" s="35"/>
      <c r="AS64" s="45">
        <f t="shared" si="17"/>
        <v>0</v>
      </c>
      <c r="AT64" s="45"/>
      <c r="AU64" s="35">
        <v>0</v>
      </c>
      <c r="AV64" s="35"/>
      <c r="AW64" s="35">
        <v>0</v>
      </c>
      <c r="AX64" s="35"/>
      <c r="AY64" s="35">
        <f t="shared" si="26"/>
        <v>0</v>
      </c>
      <c r="AZ64" s="35"/>
      <c r="BA64" s="35" t="s">
        <v>83</v>
      </c>
      <c r="BB64" s="55"/>
      <c r="BC64" s="35" t="s">
        <v>66</v>
      </c>
      <c r="BD64" s="35"/>
      <c r="BE64" s="35"/>
      <c r="BF64" s="35"/>
      <c r="BG64" s="35"/>
      <c r="BH64" s="35"/>
      <c r="BI64" s="35"/>
      <c r="BJ64" s="35"/>
      <c r="BK64" s="35"/>
      <c r="BL64" s="35"/>
      <c r="BM64" s="35">
        <f t="shared" si="18"/>
        <v>0</v>
      </c>
      <c r="BN64" s="54" t="s">
        <v>347</v>
      </c>
    </row>
    <row r="65" spans="1:67" x14ac:dyDescent="0.2">
      <c r="A65" s="35" t="s">
        <v>84</v>
      </c>
      <c r="C65" s="35" t="s">
        <v>45</v>
      </c>
      <c r="D65" s="35"/>
      <c r="E65" s="35">
        <f t="shared" si="0"/>
        <v>101659</v>
      </c>
      <c r="F65" s="35"/>
      <c r="G65" s="35">
        <v>7045</v>
      </c>
      <c r="H65" s="35"/>
      <c r="I65" s="35">
        <v>108704</v>
      </c>
      <c r="J65" s="35"/>
      <c r="K65" s="35">
        <f t="shared" si="1"/>
        <v>136693</v>
      </c>
      <c r="L65" s="35"/>
      <c r="M65" s="35">
        <v>0</v>
      </c>
      <c r="N65" s="35"/>
      <c r="O65" s="35">
        <v>136693</v>
      </c>
      <c r="P65" s="35"/>
      <c r="Q65" s="35">
        <v>7045</v>
      </c>
      <c r="R65" s="35"/>
      <c r="S65" s="35">
        <v>0</v>
      </c>
      <c r="T65" s="35"/>
      <c r="U65" s="35">
        <v>-35034</v>
      </c>
      <c r="V65" s="35"/>
      <c r="W65" s="35">
        <f t="shared" si="12"/>
        <v>-27989</v>
      </c>
      <c r="X65" s="35"/>
      <c r="Y65" s="35" t="s">
        <v>84</v>
      </c>
      <c r="Z65" s="55"/>
      <c r="AA65" s="35" t="s">
        <v>45</v>
      </c>
      <c r="AB65" s="35"/>
      <c r="AC65" s="35">
        <v>344287</v>
      </c>
      <c r="AD65" s="35"/>
      <c r="AE65" s="35">
        <f>327132-2822</f>
        <v>324310</v>
      </c>
      <c r="AF65" s="35"/>
      <c r="AG65" s="35">
        <v>2822</v>
      </c>
      <c r="AH65" s="35"/>
      <c r="AI65" s="45">
        <f t="shared" si="25"/>
        <v>17155</v>
      </c>
      <c r="AJ65" s="45"/>
      <c r="AK65" s="35">
        <v>0</v>
      </c>
      <c r="AL65" s="35"/>
      <c r="AM65" s="35">
        <v>0</v>
      </c>
      <c r="AN65" s="35"/>
      <c r="AO65" s="35">
        <v>0</v>
      </c>
      <c r="AP65" s="35"/>
      <c r="AQ65" s="35">
        <v>0</v>
      </c>
      <c r="AR65" s="35"/>
      <c r="AS65" s="45">
        <f t="shared" si="17"/>
        <v>17155</v>
      </c>
      <c r="AT65" s="45"/>
      <c r="AU65" s="35">
        <v>0</v>
      </c>
      <c r="AV65" s="35"/>
      <c r="AW65" s="35">
        <v>0</v>
      </c>
      <c r="AX65" s="35"/>
      <c r="AY65" s="35">
        <f t="shared" si="26"/>
        <v>-35034</v>
      </c>
      <c r="AZ65" s="35"/>
      <c r="BA65" s="35" t="s">
        <v>84</v>
      </c>
      <c r="BB65" s="55"/>
      <c r="BC65" s="35" t="s">
        <v>45</v>
      </c>
      <c r="BD65" s="35"/>
      <c r="BE65" s="35">
        <v>0</v>
      </c>
      <c r="BF65" s="35"/>
      <c r="BG65" s="35">
        <v>0</v>
      </c>
      <c r="BH65" s="35"/>
      <c r="BI65" s="35">
        <v>0</v>
      </c>
      <c r="BJ65" s="35"/>
      <c r="BK65" s="35">
        <v>0</v>
      </c>
      <c r="BL65" s="35"/>
      <c r="BM65" s="35">
        <f t="shared" si="18"/>
        <v>0</v>
      </c>
      <c r="BN65" s="54" t="s">
        <v>347</v>
      </c>
      <c r="BO65" s="55" t="s">
        <v>371</v>
      </c>
    </row>
    <row r="66" spans="1:67" hidden="1" x14ac:dyDescent="0.2">
      <c r="A66" s="35" t="s">
        <v>85</v>
      </c>
      <c r="C66" s="35" t="s">
        <v>85</v>
      </c>
      <c r="D66" s="35"/>
      <c r="E66" s="35">
        <f t="shared" si="0"/>
        <v>0</v>
      </c>
      <c r="F66" s="35"/>
      <c r="G66" s="35"/>
      <c r="H66" s="35"/>
      <c r="I66" s="35"/>
      <c r="J66" s="35"/>
      <c r="K66" s="35">
        <f t="shared" si="1"/>
        <v>0</v>
      </c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>
        <f t="shared" si="12"/>
        <v>0</v>
      </c>
      <c r="X66" s="35"/>
      <c r="Y66" s="35" t="s">
        <v>85</v>
      </c>
      <c r="Z66" s="55"/>
      <c r="AA66" s="35" t="s">
        <v>85</v>
      </c>
      <c r="AB66" s="35"/>
      <c r="AC66" s="35"/>
      <c r="AD66" s="35"/>
      <c r="AE66" s="35"/>
      <c r="AF66" s="35"/>
      <c r="AG66" s="35"/>
      <c r="AH66" s="35"/>
      <c r="AI66" s="45">
        <f t="shared" si="25"/>
        <v>0</v>
      </c>
      <c r="AJ66" s="45"/>
      <c r="AK66" s="35"/>
      <c r="AL66" s="35"/>
      <c r="AM66" s="35"/>
      <c r="AN66" s="35"/>
      <c r="AO66" s="35"/>
      <c r="AP66" s="35"/>
      <c r="AQ66" s="35"/>
      <c r="AR66" s="35"/>
      <c r="AS66" s="45">
        <f t="shared" si="17"/>
        <v>0</v>
      </c>
      <c r="AT66" s="45"/>
      <c r="AU66" s="35">
        <v>0</v>
      </c>
      <c r="AV66" s="35"/>
      <c r="AW66" s="35">
        <v>0</v>
      </c>
      <c r="AX66" s="35"/>
      <c r="AY66" s="35">
        <f t="shared" si="26"/>
        <v>0</v>
      </c>
      <c r="AZ66" s="35"/>
      <c r="BA66" s="35" t="s">
        <v>85</v>
      </c>
      <c r="BB66" s="55"/>
      <c r="BC66" s="35" t="s">
        <v>85</v>
      </c>
      <c r="BD66" s="35"/>
      <c r="BE66" s="35"/>
      <c r="BF66" s="35"/>
      <c r="BG66" s="35"/>
      <c r="BH66" s="35"/>
      <c r="BI66" s="35"/>
      <c r="BJ66" s="35"/>
      <c r="BK66" s="35"/>
      <c r="BL66" s="35"/>
      <c r="BM66" s="35">
        <f t="shared" si="18"/>
        <v>0</v>
      </c>
      <c r="BN66" s="54" t="s">
        <v>347</v>
      </c>
    </row>
    <row r="67" spans="1:67" x14ac:dyDescent="0.2">
      <c r="A67" s="35" t="s">
        <v>86</v>
      </c>
      <c r="C67" s="35" t="s">
        <v>86</v>
      </c>
      <c r="D67" s="35"/>
      <c r="E67" s="35">
        <f t="shared" si="0"/>
        <v>304408</v>
      </c>
      <c r="F67" s="35"/>
      <c r="G67" s="35">
        <v>898775</v>
      </c>
      <c r="H67" s="35"/>
      <c r="I67" s="35">
        <v>1203183</v>
      </c>
      <c r="J67" s="35"/>
      <c r="K67" s="35">
        <f t="shared" si="1"/>
        <v>8403</v>
      </c>
      <c r="L67" s="35"/>
      <c r="M67" s="35">
        <v>16312</v>
      </c>
      <c r="N67" s="35"/>
      <c r="O67" s="35">
        <v>24715</v>
      </c>
      <c r="P67" s="35"/>
      <c r="Q67" s="35">
        <v>414835</v>
      </c>
      <c r="R67" s="35"/>
      <c r="S67" s="35">
        <v>0</v>
      </c>
      <c r="T67" s="35"/>
      <c r="U67" s="35">
        <v>110749</v>
      </c>
      <c r="V67" s="35"/>
      <c r="W67" s="35">
        <f t="shared" si="12"/>
        <v>525584</v>
      </c>
      <c r="X67" s="35"/>
      <c r="Y67" s="35" t="s">
        <v>86</v>
      </c>
      <c r="Z67" s="55"/>
      <c r="AA67" s="35" t="s">
        <v>86</v>
      </c>
      <c r="AB67" s="35"/>
      <c r="AC67" s="35">
        <v>3111820</v>
      </c>
      <c r="AD67" s="35"/>
      <c r="AE67" s="35">
        <f>3124128-191399</f>
        <v>2932729</v>
      </c>
      <c r="AF67" s="35"/>
      <c r="AG67" s="35">
        <v>191399</v>
      </c>
      <c r="AH67" s="35"/>
      <c r="AI67" s="45">
        <f t="shared" si="25"/>
        <v>-12308</v>
      </c>
      <c r="AJ67" s="45"/>
      <c r="AK67" s="35">
        <v>-3000</v>
      </c>
      <c r="AL67" s="35"/>
      <c r="AM67" s="35">
        <v>0</v>
      </c>
      <c r="AN67" s="35"/>
      <c r="AO67" s="35">
        <v>0</v>
      </c>
      <c r="AP67" s="35"/>
      <c r="AQ67" s="35">
        <v>0</v>
      </c>
      <c r="AR67" s="35"/>
      <c r="AS67" s="45">
        <f t="shared" si="17"/>
        <v>-15308</v>
      </c>
      <c r="AT67" s="45"/>
      <c r="AU67" s="35">
        <v>0</v>
      </c>
      <c r="AV67" s="35"/>
      <c r="AW67" s="35">
        <v>0</v>
      </c>
      <c r="AX67" s="35"/>
      <c r="AY67" s="35">
        <f t="shared" si="26"/>
        <v>296005</v>
      </c>
      <c r="AZ67" s="35"/>
      <c r="BA67" s="35" t="s">
        <v>86</v>
      </c>
      <c r="BB67" s="55"/>
      <c r="BC67" s="35" t="s">
        <v>86</v>
      </c>
      <c r="BD67" s="35"/>
      <c r="BE67" s="35">
        <v>0</v>
      </c>
      <c r="BF67" s="35"/>
      <c r="BG67" s="35">
        <v>0</v>
      </c>
      <c r="BH67" s="35"/>
      <c r="BI67" s="35">
        <v>0</v>
      </c>
      <c r="BJ67" s="35"/>
      <c r="BK67" s="35">
        <f>5101+668+13095</f>
        <v>18864</v>
      </c>
      <c r="BL67" s="35"/>
      <c r="BM67" s="35">
        <f t="shared" si="18"/>
        <v>18864</v>
      </c>
      <c r="BN67" s="54" t="s">
        <v>347</v>
      </c>
    </row>
    <row r="68" spans="1:67" s="90" customFormat="1" ht="12" hidden="1" x14ac:dyDescent="0.2">
      <c r="A68" s="64" t="s">
        <v>87</v>
      </c>
      <c r="C68" s="64" t="s">
        <v>88</v>
      </c>
      <c r="D68" s="64"/>
      <c r="E68" s="35">
        <f t="shared" si="0"/>
        <v>0</v>
      </c>
      <c r="F68" s="35"/>
      <c r="G68" s="35"/>
      <c r="H68" s="35"/>
      <c r="I68" s="35"/>
      <c r="J68" s="35"/>
      <c r="K68" s="35">
        <f t="shared" si="1"/>
        <v>0</v>
      </c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64"/>
      <c r="W68" s="64">
        <f t="shared" si="12"/>
        <v>0</v>
      </c>
      <c r="X68" s="64"/>
      <c r="Y68" s="64" t="s">
        <v>87</v>
      </c>
      <c r="AA68" s="64" t="s">
        <v>88</v>
      </c>
      <c r="AB68" s="64"/>
      <c r="AC68" s="35"/>
      <c r="AD68" s="35"/>
      <c r="AE68" s="35"/>
      <c r="AF68" s="35"/>
      <c r="AG68" s="35"/>
      <c r="AH68" s="35"/>
      <c r="AI68" s="45">
        <f t="shared" si="25"/>
        <v>0</v>
      </c>
      <c r="AJ68" s="45"/>
      <c r="AK68" s="35"/>
      <c r="AL68" s="35"/>
      <c r="AM68" s="35"/>
      <c r="AN68" s="35"/>
      <c r="AO68" s="35"/>
      <c r="AP68" s="35"/>
      <c r="AQ68" s="35"/>
      <c r="AR68" s="35"/>
      <c r="AS68" s="45">
        <f t="shared" si="17"/>
        <v>0</v>
      </c>
      <c r="AT68" s="45"/>
      <c r="AU68" s="35">
        <v>0</v>
      </c>
      <c r="AV68" s="35"/>
      <c r="AW68" s="35">
        <v>0</v>
      </c>
      <c r="AX68" s="35"/>
      <c r="AY68" s="35">
        <f t="shared" si="26"/>
        <v>0</v>
      </c>
      <c r="AZ68" s="64"/>
      <c r="BA68" s="64" t="s">
        <v>87</v>
      </c>
      <c r="BC68" s="64" t="s">
        <v>88</v>
      </c>
      <c r="BD68" s="64"/>
      <c r="BE68" s="35"/>
      <c r="BF68" s="35"/>
      <c r="BG68" s="35"/>
      <c r="BH68" s="35"/>
      <c r="BI68" s="35"/>
      <c r="BJ68" s="35"/>
      <c r="BK68" s="35"/>
      <c r="BL68" s="64"/>
      <c r="BM68" s="64">
        <f t="shared" si="18"/>
        <v>0</v>
      </c>
      <c r="BN68" s="91" t="s">
        <v>347</v>
      </c>
    </row>
    <row r="69" spans="1:67" hidden="1" x14ac:dyDescent="0.2">
      <c r="A69" s="35" t="s">
        <v>394</v>
      </c>
      <c r="C69" s="35" t="s">
        <v>89</v>
      </c>
      <c r="D69" s="35"/>
      <c r="E69" s="35">
        <f t="shared" si="0"/>
        <v>0</v>
      </c>
      <c r="F69" s="35"/>
      <c r="G69" s="35"/>
      <c r="H69" s="35"/>
      <c r="I69" s="35"/>
      <c r="J69" s="35"/>
      <c r="K69" s="35">
        <f t="shared" si="1"/>
        <v>0</v>
      </c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>
        <f t="shared" si="12"/>
        <v>0</v>
      </c>
      <c r="X69" s="35"/>
      <c r="Y69" s="35" t="s">
        <v>394</v>
      </c>
      <c r="Z69" s="55"/>
      <c r="AA69" s="35" t="s">
        <v>89</v>
      </c>
      <c r="AB69" s="35"/>
      <c r="AC69" s="35"/>
      <c r="AD69" s="35"/>
      <c r="AE69" s="35"/>
      <c r="AF69" s="35"/>
      <c r="AG69" s="35"/>
      <c r="AH69" s="35"/>
      <c r="AI69" s="45">
        <f t="shared" si="25"/>
        <v>0</v>
      </c>
      <c r="AJ69" s="45"/>
      <c r="AK69" s="35"/>
      <c r="AL69" s="35"/>
      <c r="AM69" s="35"/>
      <c r="AN69" s="35"/>
      <c r="AO69" s="35"/>
      <c r="AP69" s="35"/>
      <c r="AQ69" s="35"/>
      <c r="AR69" s="35"/>
      <c r="AS69" s="45">
        <f t="shared" si="17"/>
        <v>0</v>
      </c>
      <c r="AT69" s="45"/>
      <c r="AU69" s="35">
        <v>0</v>
      </c>
      <c r="AV69" s="35"/>
      <c r="AW69" s="35">
        <v>0</v>
      </c>
      <c r="AX69" s="35"/>
      <c r="AY69" s="35">
        <f t="shared" si="26"/>
        <v>0</v>
      </c>
      <c r="AZ69" s="35"/>
      <c r="BA69" s="35" t="s">
        <v>394</v>
      </c>
      <c r="BB69" s="55"/>
      <c r="BC69" s="35" t="s">
        <v>89</v>
      </c>
      <c r="BD69" s="35"/>
      <c r="BE69" s="35"/>
      <c r="BF69" s="35"/>
      <c r="BG69" s="35"/>
      <c r="BH69" s="35"/>
      <c r="BI69" s="35"/>
      <c r="BJ69" s="35"/>
      <c r="BK69" s="35"/>
      <c r="BL69" s="35"/>
      <c r="BM69" s="35">
        <f t="shared" si="18"/>
        <v>0</v>
      </c>
      <c r="BN69" s="54" t="s">
        <v>347</v>
      </c>
      <c r="BO69" s="55" t="s">
        <v>315</v>
      </c>
    </row>
    <row r="70" spans="1:67" hidden="1" x14ac:dyDescent="0.2">
      <c r="A70" s="35" t="s">
        <v>90</v>
      </c>
      <c r="C70" s="35" t="s">
        <v>43</v>
      </c>
      <c r="D70" s="35"/>
      <c r="E70" s="35">
        <f t="shared" si="0"/>
        <v>0</v>
      </c>
      <c r="F70" s="35"/>
      <c r="G70" s="35"/>
      <c r="H70" s="35"/>
      <c r="I70" s="35"/>
      <c r="J70" s="35"/>
      <c r="K70" s="35">
        <f t="shared" si="1"/>
        <v>0</v>
      </c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>
        <f t="shared" si="12"/>
        <v>0</v>
      </c>
      <c r="X70" s="35"/>
      <c r="Y70" s="35" t="s">
        <v>90</v>
      </c>
      <c r="Z70" s="55"/>
      <c r="AA70" s="35" t="s">
        <v>43</v>
      </c>
      <c r="AB70" s="35"/>
      <c r="AC70" s="35"/>
      <c r="AD70" s="35"/>
      <c r="AE70" s="35"/>
      <c r="AF70" s="35"/>
      <c r="AG70" s="35"/>
      <c r="AH70" s="35"/>
      <c r="AI70" s="45">
        <f t="shared" si="25"/>
        <v>0</v>
      </c>
      <c r="AJ70" s="45"/>
      <c r="AK70" s="35"/>
      <c r="AL70" s="35"/>
      <c r="AM70" s="35"/>
      <c r="AN70" s="35"/>
      <c r="AO70" s="35"/>
      <c r="AP70" s="35"/>
      <c r="AQ70" s="35"/>
      <c r="AR70" s="35"/>
      <c r="AS70" s="45">
        <f t="shared" si="17"/>
        <v>0</v>
      </c>
      <c r="AT70" s="45"/>
      <c r="AU70" s="35">
        <v>0</v>
      </c>
      <c r="AV70" s="35"/>
      <c r="AW70" s="35">
        <v>0</v>
      </c>
      <c r="AX70" s="35"/>
      <c r="AY70" s="35">
        <f t="shared" si="26"/>
        <v>0</v>
      </c>
      <c r="AZ70" s="35"/>
      <c r="BA70" s="35" t="s">
        <v>90</v>
      </c>
      <c r="BB70" s="55"/>
      <c r="BC70" s="35" t="s">
        <v>43</v>
      </c>
      <c r="BD70" s="35"/>
      <c r="BE70" s="35"/>
      <c r="BF70" s="35"/>
      <c r="BG70" s="35"/>
      <c r="BH70" s="35"/>
      <c r="BI70" s="35"/>
      <c r="BJ70" s="35"/>
      <c r="BK70" s="35"/>
      <c r="BL70" s="35"/>
      <c r="BM70" s="35">
        <f t="shared" si="18"/>
        <v>0</v>
      </c>
      <c r="BN70" s="54" t="s">
        <v>347</v>
      </c>
    </row>
    <row r="71" spans="1:67" hidden="1" x14ac:dyDescent="0.2">
      <c r="A71" s="35" t="s">
        <v>93</v>
      </c>
      <c r="C71" s="35" t="s">
        <v>94</v>
      </c>
      <c r="D71" s="35"/>
      <c r="E71" s="35">
        <f t="shared" si="0"/>
        <v>0</v>
      </c>
      <c r="F71" s="35"/>
      <c r="G71" s="35"/>
      <c r="H71" s="35"/>
      <c r="I71" s="35"/>
      <c r="J71" s="35"/>
      <c r="K71" s="35">
        <f t="shared" si="1"/>
        <v>0</v>
      </c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>
        <f t="shared" si="12"/>
        <v>0</v>
      </c>
      <c r="X71" s="35"/>
      <c r="Y71" s="35" t="s">
        <v>93</v>
      </c>
      <c r="Z71" s="55"/>
      <c r="AA71" s="35" t="s">
        <v>94</v>
      </c>
      <c r="AB71" s="35"/>
      <c r="AC71" s="35"/>
      <c r="AD71" s="35"/>
      <c r="AE71" s="35"/>
      <c r="AF71" s="35"/>
      <c r="AG71" s="35"/>
      <c r="AH71" s="35"/>
      <c r="AI71" s="45">
        <f t="shared" si="25"/>
        <v>0</v>
      </c>
      <c r="AJ71" s="45"/>
      <c r="AK71" s="35"/>
      <c r="AL71" s="35"/>
      <c r="AM71" s="35"/>
      <c r="AN71" s="35"/>
      <c r="AO71" s="35"/>
      <c r="AP71" s="35"/>
      <c r="AQ71" s="35"/>
      <c r="AR71" s="35"/>
      <c r="AS71" s="45">
        <f t="shared" si="17"/>
        <v>0</v>
      </c>
      <c r="AT71" s="45"/>
      <c r="AU71" s="35">
        <v>0</v>
      </c>
      <c r="AV71" s="35"/>
      <c r="AW71" s="35">
        <v>0</v>
      </c>
      <c r="AX71" s="35"/>
      <c r="AY71" s="35">
        <f t="shared" si="26"/>
        <v>0</v>
      </c>
      <c r="AZ71" s="35"/>
      <c r="BA71" s="35" t="s">
        <v>93</v>
      </c>
      <c r="BB71" s="55"/>
      <c r="BC71" s="35" t="s">
        <v>94</v>
      </c>
      <c r="BD71" s="35"/>
      <c r="BE71" s="35"/>
      <c r="BF71" s="35"/>
      <c r="BG71" s="35"/>
      <c r="BH71" s="35"/>
      <c r="BI71" s="35"/>
      <c r="BJ71" s="35"/>
      <c r="BK71" s="35"/>
      <c r="BL71" s="35"/>
      <c r="BM71" s="35">
        <f t="shared" si="18"/>
        <v>0</v>
      </c>
      <c r="BN71" s="54" t="s">
        <v>347</v>
      </c>
    </row>
    <row r="72" spans="1:67" hidden="1" x14ac:dyDescent="0.2">
      <c r="A72" s="35" t="s">
        <v>95</v>
      </c>
      <c r="C72" s="35" t="s">
        <v>94</v>
      </c>
      <c r="D72" s="35"/>
      <c r="E72" s="35">
        <f t="shared" si="0"/>
        <v>0</v>
      </c>
      <c r="F72" s="35"/>
      <c r="G72" s="35"/>
      <c r="H72" s="35"/>
      <c r="I72" s="35"/>
      <c r="J72" s="35"/>
      <c r="K72" s="35">
        <f t="shared" si="1"/>
        <v>0</v>
      </c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>
        <f t="shared" si="12"/>
        <v>0</v>
      </c>
      <c r="X72" s="35"/>
      <c r="Y72" s="35" t="s">
        <v>95</v>
      </c>
      <c r="Z72" s="55"/>
      <c r="AA72" s="35" t="s">
        <v>94</v>
      </c>
      <c r="AB72" s="35"/>
      <c r="AC72" s="35"/>
      <c r="AD72" s="35"/>
      <c r="AE72" s="35"/>
      <c r="AF72" s="35"/>
      <c r="AG72" s="35"/>
      <c r="AH72" s="35"/>
      <c r="AI72" s="45">
        <f t="shared" si="25"/>
        <v>0</v>
      </c>
      <c r="AJ72" s="45"/>
      <c r="AK72" s="35"/>
      <c r="AL72" s="35"/>
      <c r="AM72" s="35"/>
      <c r="AN72" s="35"/>
      <c r="AO72" s="35"/>
      <c r="AP72" s="35"/>
      <c r="AQ72" s="35"/>
      <c r="AR72" s="35"/>
      <c r="AS72" s="45">
        <f t="shared" si="17"/>
        <v>0</v>
      </c>
      <c r="AT72" s="45"/>
      <c r="AU72" s="35">
        <v>0</v>
      </c>
      <c r="AV72" s="35"/>
      <c r="AW72" s="35">
        <v>0</v>
      </c>
      <c r="AX72" s="35"/>
      <c r="AY72" s="35">
        <f t="shared" si="26"/>
        <v>0</v>
      </c>
      <c r="AZ72" s="35"/>
      <c r="BA72" s="35" t="s">
        <v>95</v>
      </c>
      <c r="BB72" s="55"/>
      <c r="BC72" s="35" t="s">
        <v>94</v>
      </c>
      <c r="BD72" s="35"/>
      <c r="BE72" s="35"/>
      <c r="BF72" s="35"/>
      <c r="BG72" s="35"/>
      <c r="BH72" s="35"/>
      <c r="BI72" s="35"/>
      <c r="BJ72" s="35"/>
      <c r="BK72" s="35"/>
      <c r="BL72" s="35"/>
      <c r="BM72" s="35">
        <f t="shared" si="18"/>
        <v>0</v>
      </c>
      <c r="BN72" s="54" t="s">
        <v>347</v>
      </c>
    </row>
    <row r="73" spans="1:67" hidden="1" x14ac:dyDescent="0.2">
      <c r="A73" s="35" t="s">
        <v>91</v>
      </c>
      <c r="C73" s="35" t="s">
        <v>92</v>
      </c>
      <c r="D73" s="35"/>
      <c r="E73" s="35">
        <f t="shared" si="0"/>
        <v>0</v>
      </c>
      <c r="F73" s="35"/>
      <c r="G73" s="35"/>
      <c r="H73" s="35"/>
      <c r="I73" s="35"/>
      <c r="J73" s="35"/>
      <c r="K73" s="35">
        <f t="shared" si="1"/>
        <v>0</v>
      </c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>
        <f t="shared" si="12"/>
        <v>0</v>
      </c>
      <c r="X73" s="35"/>
      <c r="Y73" s="35" t="s">
        <v>91</v>
      </c>
      <c r="Z73" s="55"/>
      <c r="AA73" s="35" t="s">
        <v>92</v>
      </c>
      <c r="AB73" s="35"/>
      <c r="AC73" s="35"/>
      <c r="AD73" s="35"/>
      <c r="AE73" s="35"/>
      <c r="AF73" s="35"/>
      <c r="AG73" s="35"/>
      <c r="AH73" s="35"/>
      <c r="AI73" s="45">
        <f t="shared" si="25"/>
        <v>0</v>
      </c>
      <c r="AJ73" s="45"/>
      <c r="AK73" s="35"/>
      <c r="AL73" s="35"/>
      <c r="AM73" s="35"/>
      <c r="AN73" s="35"/>
      <c r="AO73" s="35"/>
      <c r="AP73" s="35"/>
      <c r="AQ73" s="35"/>
      <c r="AR73" s="35"/>
      <c r="AS73" s="45">
        <f t="shared" si="17"/>
        <v>0</v>
      </c>
      <c r="AT73" s="45"/>
      <c r="AU73" s="35">
        <v>0</v>
      </c>
      <c r="AV73" s="35"/>
      <c r="AW73" s="35">
        <v>0</v>
      </c>
      <c r="AX73" s="35"/>
      <c r="AY73" s="35">
        <f t="shared" si="26"/>
        <v>0</v>
      </c>
      <c r="AZ73" s="35"/>
      <c r="BA73" s="35" t="s">
        <v>91</v>
      </c>
      <c r="BB73" s="55"/>
      <c r="BC73" s="35" t="s">
        <v>92</v>
      </c>
      <c r="BD73" s="35"/>
      <c r="BE73" s="35"/>
      <c r="BF73" s="35"/>
      <c r="BG73" s="35"/>
      <c r="BH73" s="35"/>
      <c r="BI73" s="35"/>
      <c r="BJ73" s="35"/>
      <c r="BK73" s="35"/>
      <c r="BL73" s="35"/>
      <c r="BM73" s="35">
        <f t="shared" si="18"/>
        <v>0</v>
      </c>
      <c r="BN73" s="54" t="s">
        <v>347</v>
      </c>
    </row>
    <row r="74" spans="1:67" x14ac:dyDescent="0.2">
      <c r="A74" s="35" t="s">
        <v>96</v>
      </c>
      <c r="C74" s="35" t="s">
        <v>97</v>
      </c>
      <c r="D74" s="35"/>
      <c r="E74" s="35">
        <f t="shared" si="0"/>
        <v>285639</v>
      </c>
      <c r="F74" s="35"/>
      <c r="G74" s="35">
        <v>19337</v>
      </c>
      <c r="H74" s="35"/>
      <c r="I74" s="35">
        <v>304976</v>
      </c>
      <c r="J74" s="35"/>
      <c r="K74" s="35">
        <f t="shared" si="1"/>
        <v>47210</v>
      </c>
      <c r="L74" s="35"/>
      <c r="M74" s="35">
        <v>8948</v>
      </c>
      <c r="N74" s="35"/>
      <c r="O74" s="35">
        <v>56158</v>
      </c>
      <c r="P74" s="35"/>
      <c r="Q74" s="35">
        <v>19337</v>
      </c>
      <c r="R74" s="35"/>
      <c r="S74" s="35">
        <v>0</v>
      </c>
      <c r="T74" s="35"/>
      <c r="U74" s="35">
        <v>229481</v>
      </c>
      <c r="V74" s="35"/>
      <c r="W74" s="35">
        <f t="shared" si="12"/>
        <v>248818</v>
      </c>
      <c r="X74" s="35"/>
      <c r="Y74" s="35" t="s">
        <v>96</v>
      </c>
      <c r="Z74" s="55"/>
      <c r="AA74" s="35" t="s">
        <v>97</v>
      </c>
      <c r="AB74" s="35"/>
      <c r="AC74" s="35">
        <v>610925</v>
      </c>
      <c r="AD74" s="35"/>
      <c r="AE74" s="35">
        <v>567314</v>
      </c>
      <c r="AF74" s="35"/>
      <c r="AG74" s="35">
        <v>0</v>
      </c>
      <c r="AH74" s="35"/>
      <c r="AI74" s="45">
        <f t="shared" si="25"/>
        <v>43611</v>
      </c>
      <c r="AJ74" s="45"/>
      <c r="AK74" s="35">
        <v>0</v>
      </c>
      <c r="AL74" s="35"/>
      <c r="AM74" s="35">
        <v>0</v>
      </c>
      <c r="AN74" s="35"/>
      <c r="AO74" s="35">
        <v>0</v>
      </c>
      <c r="AP74" s="35"/>
      <c r="AQ74" s="35">
        <v>0</v>
      </c>
      <c r="AR74" s="35"/>
      <c r="AS74" s="45">
        <f t="shared" si="17"/>
        <v>43611</v>
      </c>
      <c r="AT74" s="45"/>
      <c r="AU74" s="35">
        <v>0</v>
      </c>
      <c r="AV74" s="35"/>
      <c r="AW74" s="35">
        <v>0</v>
      </c>
      <c r="AX74" s="35"/>
      <c r="AY74" s="35">
        <f t="shared" si="26"/>
        <v>238429</v>
      </c>
      <c r="AZ74" s="35"/>
      <c r="BA74" s="35" t="s">
        <v>96</v>
      </c>
      <c r="BB74" s="55"/>
      <c r="BC74" s="35" t="s">
        <v>97</v>
      </c>
      <c r="BD74" s="35"/>
      <c r="BE74" s="35">
        <v>0</v>
      </c>
      <c r="BF74" s="35"/>
      <c r="BG74" s="35">
        <v>0</v>
      </c>
      <c r="BH74" s="35"/>
      <c r="BI74" s="35">
        <v>0</v>
      </c>
      <c r="BJ74" s="35"/>
      <c r="BK74" s="35">
        <f>8948+2872</f>
        <v>11820</v>
      </c>
      <c r="BL74" s="35"/>
      <c r="BM74" s="35">
        <f t="shared" si="18"/>
        <v>11820</v>
      </c>
      <c r="BN74" s="54" t="s">
        <v>347</v>
      </c>
    </row>
    <row r="75" spans="1:67" x14ac:dyDescent="0.2">
      <c r="A75" s="35" t="s">
        <v>98</v>
      </c>
      <c r="C75" s="35" t="s">
        <v>17</v>
      </c>
      <c r="D75" s="35"/>
      <c r="E75" s="35">
        <f t="shared" si="0"/>
        <v>1823436</v>
      </c>
      <c r="F75" s="35"/>
      <c r="G75" s="35">
        <v>2561993</v>
      </c>
      <c r="H75" s="35"/>
      <c r="I75" s="35">
        <v>4385429</v>
      </c>
      <c r="J75" s="35"/>
      <c r="K75" s="35">
        <f t="shared" si="1"/>
        <v>3419868</v>
      </c>
      <c r="L75" s="35"/>
      <c r="M75" s="35">
        <v>123034</v>
      </c>
      <c r="N75" s="35"/>
      <c r="O75" s="35">
        <v>3542902</v>
      </c>
      <c r="P75" s="35"/>
      <c r="Q75" s="35">
        <v>936056</v>
      </c>
      <c r="R75" s="35"/>
      <c r="S75" s="35">
        <v>0</v>
      </c>
      <c r="T75" s="35"/>
      <c r="U75" s="35">
        <v>-93529</v>
      </c>
      <c r="V75" s="35"/>
      <c r="W75" s="35">
        <f t="shared" si="12"/>
        <v>842527</v>
      </c>
      <c r="X75" s="35"/>
      <c r="Y75" s="35" t="s">
        <v>98</v>
      </c>
      <c r="Z75" s="55"/>
      <c r="AA75" s="35" t="s">
        <v>17</v>
      </c>
      <c r="AB75" s="35"/>
      <c r="AC75" s="35">
        <v>4141557</v>
      </c>
      <c r="AD75" s="35"/>
      <c r="AE75" s="35">
        <f>5213180-340641</f>
        <v>4872539</v>
      </c>
      <c r="AF75" s="35"/>
      <c r="AG75" s="35">
        <v>340641</v>
      </c>
      <c r="AH75" s="35"/>
      <c r="AI75" s="45">
        <f t="shared" si="25"/>
        <v>-1071623</v>
      </c>
      <c r="AJ75" s="45"/>
      <c r="AK75" s="35">
        <v>114937</v>
      </c>
      <c r="AL75" s="35"/>
      <c r="AM75" s="35">
        <v>0</v>
      </c>
      <c r="AN75" s="35"/>
      <c r="AO75" s="35">
        <v>0</v>
      </c>
      <c r="AP75" s="35"/>
      <c r="AQ75" s="35">
        <v>0</v>
      </c>
      <c r="AR75" s="35"/>
      <c r="AS75" s="45">
        <f t="shared" si="17"/>
        <v>-956686</v>
      </c>
      <c r="AT75" s="45"/>
      <c r="AU75" s="35">
        <v>0</v>
      </c>
      <c r="AV75" s="35"/>
      <c r="AW75" s="35">
        <v>0</v>
      </c>
      <c r="AX75" s="35"/>
      <c r="AY75" s="35">
        <f t="shared" si="26"/>
        <v>-1596432</v>
      </c>
      <c r="AZ75" s="35"/>
      <c r="BA75" s="35" t="s">
        <v>98</v>
      </c>
      <c r="BB75" s="55"/>
      <c r="BC75" s="35" t="s">
        <v>17</v>
      </c>
      <c r="BD75" s="35"/>
      <c r="BE75" s="35">
        <v>0</v>
      </c>
      <c r="BF75" s="35"/>
      <c r="BG75" s="35">
        <v>0</v>
      </c>
      <c r="BH75" s="35"/>
      <c r="BI75" s="35">
        <v>0</v>
      </c>
      <c r="BJ75" s="35"/>
      <c r="BK75" s="35">
        <v>123034</v>
      </c>
      <c r="BL75" s="35"/>
      <c r="BM75" s="35">
        <f t="shared" si="18"/>
        <v>123034</v>
      </c>
      <c r="BN75" s="54" t="s">
        <v>347</v>
      </c>
    </row>
    <row r="76" spans="1:67" x14ac:dyDescent="0.2">
      <c r="A76" s="35" t="s">
        <v>99</v>
      </c>
      <c r="C76" s="35" t="s">
        <v>66</v>
      </c>
      <c r="D76" s="35"/>
      <c r="E76" s="35">
        <f t="shared" si="0"/>
        <v>735313</v>
      </c>
      <c r="F76" s="35"/>
      <c r="G76" s="35">
        <v>141750</v>
      </c>
      <c r="H76" s="35"/>
      <c r="I76" s="35">
        <v>877063</v>
      </c>
      <c r="J76" s="35"/>
      <c r="K76" s="35">
        <f t="shared" si="1"/>
        <v>125277</v>
      </c>
      <c r="L76" s="35"/>
      <c r="M76" s="35">
        <v>3367</v>
      </c>
      <c r="N76" s="35"/>
      <c r="O76" s="35">
        <v>128644</v>
      </c>
      <c r="P76" s="35"/>
      <c r="Q76" s="35">
        <v>141750</v>
      </c>
      <c r="R76" s="35"/>
      <c r="S76" s="35">
        <v>0</v>
      </c>
      <c r="T76" s="35"/>
      <c r="U76" s="35">
        <v>606669</v>
      </c>
      <c r="V76" s="35"/>
      <c r="W76" s="35">
        <f t="shared" ref="W76:W109" si="27">SUM(Q76:U76)</f>
        <v>748419</v>
      </c>
      <c r="X76" s="35"/>
      <c r="Y76" s="35" t="s">
        <v>99</v>
      </c>
      <c r="Z76" s="55"/>
      <c r="AA76" s="35" t="s">
        <v>66</v>
      </c>
      <c r="AB76" s="35"/>
      <c r="AC76" s="35">
        <v>798342</v>
      </c>
      <c r="AD76" s="35"/>
      <c r="AE76" s="35">
        <f>808200-11500</f>
        <v>796700</v>
      </c>
      <c r="AF76" s="35"/>
      <c r="AG76" s="35">
        <v>11500</v>
      </c>
      <c r="AH76" s="35"/>
      <c r="AI76" s="45">
        <f t="shared" si="25"/>
        <v>-9858</v>
      </c>
      <c r="AJ76" s="45"/>
      <c r="AK76" s="35">
        <v>0</v>
      </c>
      <c r="AL76" s="35"/>
      <c r="AM76" s="35">
        <v>0</v>
      </c>
      <c r="AN76" s="35"/>
      <c r="AO76" s="35">
        <v>0</v>
      </c>
      <c r="AP76" s="35"/>
      <c r="AQ76" s="35">
        <v>0</v>
      </c>
      <c r="AR76" s="35"/>
      <c r="AS76" s="45">
        <f t="shared" si="17"/>
        <v>-9858</v>
      </c>
      <c r="AT76" s="45"/>
      <c r="AU76" s="35">
        <v>0</v>
      </c>
      <c r="AV76" s="35"/>
      <c r="AW76" s="35">
        <v>0</v>
      </c>
      <c r="AX76" s="35"/>
      <c r="AY76" s="35">
        <f t="shared" si="26"/>
        <v>610036</v>
      </c>
      <c r="AZ76" s="35"/>
      <c r="BA76" s="35" t="s">
        <v>99</v>
      </c>
      <c r="BB76" s="55"/>
      <c r="BC76" s="35" t="s">
        <v>66</v>
      </c>
      <c r="BD76" s="35"/>
      <c r="BE76" s="35">
        <v>0</v>
      </c>
      <c r="BF76" s="35"/>
      <c r="BG76" s="35">
        <v>0</v>
      </c>
      <c r="BH76" s="35"/>
      <c r="BI76" s="35">
        <v>0</v>
      </c>
      <c r="BJ76" s="35"/>
      <c r="BK76" s="35">
        <f>3367+3015</f>
        <v>6382</v>
      </c>
      <c r="BL76" s="35"/>
      <c r="BM76" s="35">
        <f t="shared" si="18"/>
        <v>6382</v>
      </c>
      <c r="BN76" s="54" t="s">
        <v>347</v>
      </c>
    </row>
    <row r="77" spans="1:67" hidden="1" x14ac:dyDescent="0.2">
      <c r="A77" s="35" t="s">
        <v>100</v>
      </c>
      <c r="C77" s="35" t="s">
        <v>27</v>
      </c>
      <c r="D77" s="35"/>
      <c r="E77" s="35">
        <f t="shared" ref="E77:E118" si="28">I77-G77</f>
        <v>0</v>
      </c>
      <c r="F77" s="35"/>
      <c r="G77" s="35"/>
      <c r="H77" s="35"/>
      <c r="I77" s="35"/>
      <c r="J77" s="35"/>
      <c r="K77" s="35">
        <f t="shared" ref="K77:K118" si="29">O77-M77</f>
        <v>0</v>
      </c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>
        <f t="shared" si="27"/>
        <v>0</v>
      </c>
      <c r="X77" s="35"/>
      <c r="Y77" s="35" t="s">
        <v>100</v>
      </c>
      <c r="Z77" s="55"/>
      <c r="AA77" s="35" t="s">
        <v>27</v>
      </c>
      <c r="AB77" s="35"/>
      <c r="AC77" s="35"/>
      <c r="AD77" s="35"/>
      <c r="AE77" s="35"/>
      <c r="AF77" s="35"/>
      <c r="AG77" s="35"/>
      <c r="AH77" s="35"/>
      <c r="AI77" s="45">
        <f t="shared" si="25"/>
        <v>0</v>
      </c>
      <c r="AJ77" s="45"/>
      <c r="AK77" s="35"/>
      <c r="AL77" s="35"/>
      <c r="AM77" s="35"/>
      <c r="AN77" s="35"/>
      <c r="AO77" s="35"/>
      <c r="AP77" s="35"/>
      <c r="AQ77" s="35"/>
      <c r="AR77" s="35"/>
      <c r="AS77" s="45">
        <f t="shared" si="17"/>
        <v>0</v>
      </c>
      <c r="AT77" s="45"/>
      <c r="AU77" s="35">
        <v>0</v>
      </c>
      <c r="AV77" s="35"/>
      <c r="AW77" s="35">
        <v>0</v>
      </c>
      <c r="AX77" s="35"/>
      <c r="AY77" s="35">
        <f t="shared" si="26"/>
        <v>0</v>
      </c>
      <c r="AZ77" s="35"/>
      <c r="BA77" s="35" t="s">
        <v>100</v>
      </c>
      <c r="BB77" s="55"/>
      <c r="BC77" s="35" t="s">
        <v>27</v>
      </c>
      <c r="BD77" s="35"/>
      <c r="BE77" s="35"/>
      <c r="BF77" s="35"/>
      <c r="BG77" s="35"/>
      <c r="BH77" s="35"/>
      <c r="BI77" s="35"/>
      <c r="BJ77" s="35"/>
      <c r="BK77" s="35"/>
      <c r="BL77" s="35"/>
      <c r="BM77" s="35">
        <f t="shared" si="18"/>
        <v>0</v>
      </c>
      <c r="BN77" s="54" t="s">
        <v>347</v>
      </c>
    </row>
    <row r="78" spans="1:67" x14ac:dyDescent="0.2">
      <c r="A78" s="35" t="s">
        <v>101</v>
      </c>
      <c r="C78" s="35" t="s">
        <v>30</v>
      </c>
      <c r="D78" s="35"/>
      <c r="E78" s="35">
        <f t="shared" si="28"/>
        <v>971476</v>
      </c>
      <c r="F78" s="35"/>
      <c r="G78" s="35">
        <v>137931</v>
      </c>
      <c r="H78" s="35"/>
      <c r="I78" s="35">
        <v>1109407</v>
      </c>
      <c r="J78" s="35"/>
      <c r="K78" s="35">
        <f t="shared" si="29"/>
        <v>263408</v>
      </c>
      <c r="L78" s="35"/>
      <c r="M78" s="35">
        <v>186137</v>
      </c>
      <c r="N78" s="35"/>
      <c r="O78" s="35">
        <v>449545</v>
      </c>
      <c r="P78" s="35"/>
      <c r="Q78" s="35">
        <v>137931</v>
      </c>
      <c r="R78" s="35"/>
      <c r="S78" s="35">
        <v>0</v>
      </c>
      <c r="T78" s="35"/>
      <c r="U78" s="35">
        <v>521931</v>
      </c>
      <c r="V78" s="35"/>
      <c r="W78" s="35">
        <f t="shared" si="27"/>
        <v>659862</v>
      </c>
      <c r="X78" s="35"/>
      <c r="Y78" s="35" t="s">
        <v>101</v>
      </c>
      <c r="Z78" s="55"/>
      <c r="AA78" s="35" t="s">
        <v>30</v>
      </c>
      <c r="AB78" s="35"/>
      <c r="AC78" s="35">
        <v>2502118</v>
      </c>
      <c r="AD78" s="35"/>
      <c r="AE78" s="35">
        <f>2554064-42975</f>
        <v>2511089</v>
      </c>
      <c r="AF78" s="35"/>
      <c r="AG78" s="35">
        <v>42975</v>
      </c>
      <c r="AH78" s="35"/>
      <c r="AI78" s="45">
        <f t="shared" si="25"/>
        <v>-51946</v>
      </c>
      <c r="AJ78" s="45"/>
      <c r="AK78" s="35">
        <v>0</v>
      </c>
      <c r="AL78" s="35"/>
      <c r="AM78" s="35">
        <v>0</v>
      </c>
      <c r="AN78" s="35"/>
      <c r="AO78" s="35">
        <v>0</v>
      </c>
      <c r="AP78" s="35"/>
      <c r="AQ78" s="35">
        <v>0</v>
      </c>
      <c r="AR78" s="35"/>
      <c r="AS78" s="45">
        <f t="shared" si="17"/>
        <v>-51946</v>
      </c>
      <c r="AT78" s="45"/>
      <c r="AU78" s="35">
        <v>0</v>
      </c>
      <c r="AV78" s="35"/>
      <c r="AW78" s="35">
        <v>0</v>
      </c>
      <c r="AX78" s="35"/>
      <c r="AY78" s="35">
        <f t="shared" si="26"/>
        <v>708068</v>
      </c>
      <c r="AZ78" s="35"/>
      <c r="BA78" s="35" t="s">
        <v>101</v>
      </c>
      <c r="BB78" s="55"/>
      <c r="BC78" s="35" t="s">
        <v>30</v>
      </c>
      <c r="BD78" s="35"/>
      <c r="BE78" s="35">
        <v>0</v>
      </c>
      <c r="BF78" s="35"/>
      <c r="BG78" s="35">
        <v>0</v>
      </c>
      <c r="BH78" s="35"/>
      <c r="BI78" s="35">
        <v>0</v>
      </c>
      <c r="BJ78" s="35"/>
      <c r="BK78" s="35">
        <f>197+185940+30990+4066</f>
        <v>221193</v>
      </c>
      <c r="BL78" s="35"/>
      <c r="BM78" s="35">
        <f t="shared" si="18"/>
        <v>221193</v>
      </c>
      <c r="BN78" s="54" t="s">
        <v>347</v>
      </c>
    </row>
    <row r="79" spans="1:67" x14ac:dyDescent="0.2">
      <c r="A79" s="35" t="s">
        <v>102</v>
      </c>
      <c r="C79" s="35" t="s">
        <v>103</v>
      </c>
      <c r="D79" s="35"/>
      <c r="E79" s="35">
        <f t="shared" si="28"/>
        <v>596988</v>
      </c>
      <c r="F79" s="35"/>
      <c r="G79" s="35">
        <v>0</v>
      </c>
      <c r="H79" s="35"/>
      <c r="I79" s="35">
        <v>596988</v>
      </c>
      <c r="J79" s="35"/>
      <c r="K79" s="35">
        <f t="shared" si="29"/>
        <v>216513</v>
      </c>
      <c r="L79" s="35"/>
      <c r="M79" s="35">
        <v>370</v>
      </c>
      <c r="N79" s="35"/>
      <c r="O79" s="35">
        <v>216883</v>
      </c>
      <c r="P79" s="35"/>
      <c r="Q79" s="35">
        <v>0</v>
      </c>
      <c r="R79" s="35"/>
      <c r="S79" s="35">
        <v>0</v>
      </c>
      <c r="T79" s="35"/>
      <c r="U79" s="35">
        <v>380105</v>
      </c>
      <c r="V79" s="35"/>
      <c r="W79" s="35">
        <f t="shared" si="27"/>
        <v>380105</v>
      </c>
      <c r="X79" s="35"/>
      <c r="Y79" s="35" t="s">
        <v>102</v>
      </c>
      <c r="Z79" s="55"/>
      <c r="AA79" s="35" t="s">
        <v>103</v>
      </c>
      <c r="AB79" s="35"/>
      <c r="AC79" s="35">
        <v>2294553</v>
      </c>
      <c r="AD79" s="35"/>
      <c r="AE79" s="35">
        <f>2581355-0</f>
        <v>2581355</v>
      </c>
      <c r="AF79" s="35"/>
      <c r="AG79" s="35">
        <v>0</v>
      </c>
      <c r="AH79" s="35"/>
      <c r="AI79" s="45">
        <f t="shared" si="25"/>
        <v>-286802</v>
      </c>
      <c r="AJ79" s="45"/>
      <c r="AK79" s="35">
        <v>25919</v>
      </c>
      <c r="AL79" s="35"/>
      <c r="AM79" s="35">
        <v>290000</v>
      </c>
      <c r="AN79" s="35"/>
      <c r="AO79" s="35">
        <v>0</v>
      </c>
      <c r="AP79" s="35"/>
      <c r="AQ79" s="35">
        <v>0</v>
      </c>
      <c r="AR79" s="35"/>
      <c r="AS79" s="45">
        <f t="shared" si="17"/>
        <v>29117</v>
      </c>
      <c r="AT79" s="45"/>
      <c r="AU79" s="35">
        <v>0</v>
      </c>
      <c r="AV79" s="35"/>
      <c r="AW79" s="35">
        <v>0</v>
      </c>
      <c r="AX79" s="35"/>
      <c r="AY79" s="35">
        <f t="shared" si="26"/>
        <v>380475</v>
      </c>
      <c r="AZ79" s="35"/>
      <c r="BA79" s="35" t="s">
        <v>102</v>
      </c>
      <c r="BB79" s="55"/>
      <c r="BC79" s="35" t="s">
        <v>103</v>
      </c>
      <c r="BD79" s="35"/>
      <c r="BE79" s="35">
        <v>0</v>
      </c>
      <c r="BF79" s="35"/>
      <c r="BG79" s="35">
        <v>0</v>
      </c>
      <c r="BH79" s="35"/>
      <c r="BI79" s="35">
        <v>0</v>
      </c>
      <c r="BJ79" s="35"/>
      <c r="BK79" s="35">
        <f>370+28</f>
        <v>398</v>
      </c>
      <c r="BL79" s="35"/>
      <c r="BM79" s="35">
        <f t="shared" si="18"/>
        <v>398</v>
      </c>
      <c r="BN79" s="54" t="s">
        <v>347</v>
      </c>
    </row>
    <row r="80" spans="1:67" hidden="1" x14ac:dyDescent="0.2">
      <c r="A80" s="35" t="s">
        <v>104</v>
      </c>
      <c r="C80" s="35" t="s">
        <v>13</v>
      </c>
      <c r="D80" s="35"/>
      <c r="E80" s="35">
        <f t="shared" si="28"/>
        <v>0</v>
      </c>
      <c r="F80" s="35"/>
      <c r="G80" s="35"/>
      <c r="H80" s="35"/>
      <c r="I80" s="35"/>
      <c r="J80" s="35"/>
      <c r="K80" s="35">
        <f t="shared" si="29"/>
        <v>0</v>
      </c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>
        <f t="shared" si="27"/>
        <v>0</v>
      </c>
      <c r="X80" s="35"/>
      <c r="Y80" s="35" t="s">
        <v>104</v>
      </c>
      <c r="Z80" s="55"/>
      <c r="AA80" s="35" t="s">
        <v>13</v>
      </c>
      <c r="AB80" s="35"/>
      <c r="AC80" s="35"/>
      <c r="AD80" s="35"/>
      <c r="AE80" s="35"/>
      <c r="AF80" s="35"/>
      <c r="AG80" s="35"/>
      <c r="AH80" s="35"/>
      <c r="AI80" s="45">
        <f t="shared" si="25"/>
        <v>0</v>
      </c>
      <c r="AJ80" s="45"/>
      <c r="AK80" s="35"/>
      <c r="AL80" s="35"/>
      <c r="AM80" s="35"/>
      <c r="AN80" s="35"/>
      <c r="AO80" s="35"/>
      <c r="AP80" s="35"/>
      <c r="AQ80" s="35"/>
      <c r="AR80" s="35"/>
      <c r="AS80" s="45">
        <f t="shared" si="17"/>
        <v>0</v>
      </c>
      <c r="AT80" s="45"/>
      <c r="AU80" s="35">
        <v>0</v>
      </c>
      <c r="AV80" s="35"/>
      <c r="AW80" s="35">
        <v>0</v>
      </c>
      <c r="AX80" s="35"/>
      <c r="AY80" s="35">
        <f t="shared" si="26"/>
        <v>0</v>
      </c>
      <c r="AZ80" s="35"/>
      <c r="BA80" s="35" t="s">
        <v>104</v>
      </c>
      <c r="BB80" s="55"/>
      <c r="BC80" s="35" t="s">
        <v>13</v>
      </c>
      <c r="BD80" s="35"/>
      <c r="BE80" s="35"/>
      <c r="BF80" s="35"/>
      <c r="BG80" s="35"/>
      <c r="BH80" s="35"/>
      <c r="BI80" s="35"/>
      <c r="BJ80" s="35"/>
      <c r="BK80" s="35"/>
      <c r="BL80" s="35"/>
      <c r="BM80" s="35">
        <f t="shared" si="18"/>
        <v>0</v>
      </c>
      <c r="BN80" s="54" t="s">
        <v>347</v>
      </c>
    </row>
    <row r="81" spans="1:67" hidden="1" x14ac:dyDescent="0.2">
      <c r="A81" s="35" t="s">
        <v>105</v>
      </c>
      <c r="C81" s="35" t="s">
        <v>27</v>
      </c>
      <c r="D81" s="35"/>
      <c r="E81" s="35">
        <f t="shared" si="28"/>
        <v>0</v>
      </c>
      <c r="F81" s="35"/>
      <c r="G81" s="35"/>
      <c r="H81" s="35"/>
      <c r="I81" s="35"/>
      <c r="J81" s="35"/>
      <c r="K81" s="35">
        <f t="shared" si="29"/>
        <v>0</v>
      </c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>
        <f t="shared" si="27"/>
        <v>0</v>
      </c>
      <c r="X81" s="35"/>
      <c r="Y81" s="35" t="s">
        <v>105</v>
      </c>
      <c r="Z81" s="55"/>
      <c r="AA81" s="35" t="s">
        <v>27</v>
      </c>
      <c r="AB81" s="35"/>
      <c r="AC81" s="35"/>
      <c r="AD81" s="35"/>
      <c r="AE81" s="35"/>
      <c r="AF81" s="35"/>
      <c r="AG81" s="35"/>
      <c r="AH81" s="35"/>
      <c r="AI81" s="45">
        <f t="shared" si="25"/>
        <v>0</v>
      </c>
      <c r="AJ81" s="45"/>
      <c r="AK81" s="35"/>
      <c r="AL81" s="35"/>
      <c r="AM81" s="35"/>
      <c r="AN81" s="35"/>
      <c r="AO81" s="35"/>
      <c r="AP81" s="35"/>
      <c r="AQ81" s="35"/>
      <c r="AR81" s="35"/>
      <c r="AS81" s="45">
        <f t="shared" si="17"/>
        <v>0</v>
      </c>
      <c r="AT81" s="45"/>
      <c r="AU81" s="35">
        <v>0</v>
      </c>
      <c r="AV81" s="35"/>
      <c r="AW81" s="35">
        <v>0</v>
      </c>
      <c r="AX81" s="35"/>
      <c r="AY81" s="35">
        <f t="shared" si="26"/>
        <v>0</v>
      </c>
      <c r="AZ81" s="35"/>
      <c r="BA81" s="35" t="s">
        <v>105</v>
      </c>
      <c r="BB81" s="55"/>
      <c r="BC81" s="35" t="s">
        <v>27</v>
      </c>
      <c r="BD81" s="35"/>
      <c r="BE81" s="35"/>
      <c r="BF81" s="35"/>
      <c r="BG81" s="35"/>
      <c r="BH81" s="35"/>
      <c r="BI81" s="35"/>
      <c r="BJ81" s="35"/>
      <c r="BK81" s="35"/>
      <c r="BL81" s="35"/>
      <c r="BM81" s="35">
        <f t="shared" si="18"/>
        <v>0</v>
      </c>
      <c r="BN81" s="54" t="s">
        <v>347</v>
      </c>
    </row>
    <row r="82" spans="1:67" hidden="1" x14ac:dyDescent="0.2">
      <c r="A82" s="35" t="s">
        <v>106</v>
      </c>
      <c r="C82" s="35" t="s">
        <v>107</v>
      </c>
      <c r="D82" s="35"/>
      <c r="E82" s="35">
        <f t="shared" si="28"/>
        <v>0</v>
      </c>
      <c r="F82" s="35"/>
      <c r="G82" s="35"/>
      <c r="H82" s="35"/>
      <c r="I82" s="35"/>
      <c r="J82" s="35"/>
      <c r="K82" s="35">
        <f t="shared" si="29"/>
        <v>0</v>
      </c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>
        <f t="shared" si="27"/>
        <v>0</v>
      </c>
      <c r="X82" s="35"/>
      <c r="Y82" s="35" t="s">
        <v>106</v>
      </c>
      <c r="Z82" s="55"/>
      <c r="AA82" s="35" t="s">
        <v>107</v>
      </c>
      <c r="AB82" s="35"/>
      <c r="AC82" s="35"/>
      <c r="AD82" s="35"/>
      <c r="AE82" s="35"/>
      <c r="AF82" s="35"/>
      <c r="AG82" s="35"/>
      <c r="AH82" s="35"/>
      <c r="AI82" s="45">
        <f t="shared" si="25"/>
        <v>0</v>
      </c>
      <c r="AJ82" s="45"/>
      <c r="AK82" s="35"/>
      <c r="AL82" s="35"/>
      <c r="AM82" s="35"/>
      <c r="AN82" s="35"/>
      <c r="AO82" s="35"/>
      <c r="AP82" s="35"/>
      <c r="AQ82" s="35"/>
      <c r="AR82" s="35"/>
      <c r="AS82" s="45">
        <f t="shared" si="17"/>
        <v>0</v>
      </c>
      <c r="AT82" s="45"/>
      <c r="AU82" s="35">
        <v>0</v>
      </c>
      <c r="AV82" s="35"/>
      <c r="AW82" s="35">
        <v>0</v>
      </c>
      <c r="AX82" s="35"/>
      <c r="AY82" s="35">
        <f t="shared" si="26"/>
        <v>0</v>
      </c>
      <c r="AZ82" s="35"/>
      <c r="BA82" s="35" t="s">
        <v>106</v>
      </c>
      <c r="BB82" s="55"/>
      <c r="BC82" s="35" t="s">
        <v>107</v>
      </c>
      <c r="BD82" s="35"/>
      <c r="BE82" s="35"/>
      <c r="BF82" s="35"/>
      <c r="BG82" s="35"/>
      <c r="BH82" s="35"/>
      <c r="BI82" s="35"/>
      <c r="BJ82" s="35"/>
      <c r="BK82" s="35"/>
      <c r="BL82" s="35"/>
      <c r="BM82" s="35">
        <f t="shared" si="18"/>
        <v>0</v>
      </c>
      <c r="BN82" s="54" t="s">
        <v>347</v>
      </c>
    </row>
    <row r="83" spans="1:67" hidden="1" x14ac:dyDescent="0.2">
      <c r="A83" s="35" t="s">
        <v>108</v>
      </c>
      <c r="C83" s="35" t="s">
        <v>45</v>
      </c>
      <c r="D83" s="35"/>
      <c r="E83" s="35">
        <f t="shared" si="28"/>
        <v>0</v>
      </c>
      <c r="F83" s="35"/>
      <c r="G83" s="35"/>
      <c r="H83" s="35"/>
      <c r="I83" s="35"/>
      <c r="J83" s="35"/>
      <c r="K83" s="35">
        <f t="shared" si="29"/>
        <v>0</v>
      </c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>
        <f t="shared" si="27"/>
        <v>0</v>
      </c>
      <c r="X83" s="35"/>
      <c r="Y83" s="35" t="s">
        <v>108</v>
      </c>
      <c r="Z83" s="55"/>
      <c r="AA83" s="35" t="s">
        <v>45</v>
      </c>
      <c r="AB83" s="35"/>
      <c r="AC83" s="35"/>
      <c r="AD83" s="35"/>
      <c r="AE83" s="35"/>
      <c r="AF83" s="35"/>
      <c r="AG83" s="35"/>
      <c r="AH83" s="35"/>
      <c r="AI83" s="45">
        <f t="shared" si="25"/>
        <v>0</v>
      </c>
      <c r="AJ83" s="45"/>
      <c r="AK83" s="35"/>
      <c r="AL83" s="35"/>
      <c r="AM83" s="35"/>
      <c r="AN83" s="35"/>
      <c r="AO83" s="35"/>
      <c r="AP83" s="35"/>
      <c r="AQ83" s="35"/>
      <c r="AR83" s="35"/>
      <c r="AS83" s="45">
        <f t="shared" si="17"/>
        <v>0</v>
      </c>
      <c r="AT83" s="45"/>
      <c r="AU83" s="35">
        <v>0</v>
      </c>
      <c r="AV83" s="35"/>
      <c r="AW83" s="35">
        <v>0</v>
      </c>
      <c r="AX83" s="35"/>
      <c r="AY83" s="35">
        <f t="shared" si="26"/>
        <v>0</v>
      </c>
      <c r="AZ83" s="35"/>
      <c r="BA83" s="35" t="s">
        <v>108</v>
      </c>
      <c r="BB83" s="55"/>
      <c r="BC83" s="35" t="s">
        <v>45</v>
      </c>
      <c r="BD83" s="35"/>
      <c r="BE83" s="35"/>
      <c r="BF83" s="35"/>
      <c r="BG83" s="35"/>
      <c r="BH83" s="35"/>
      <c r="BI83" s="35"/>
      <c r="BJ83" s="35"/>
      <c r="BK83" s="35"/>
      <c r="BL83" s="35"/>
      <c r="BM83" s="35">
        <f t="shared" si="18"/>
        <v>0</v>
      </c>
      <c r="BN83" s="54" t="s">
        <v>347</v>
      </c>
    </row>
    <row r="84" spans="1:67" hidden="1" x14ac:dyDescent="0.2">
      <c r="A84" s="35" t="s">
        <v>109</v>
      </c>
      <c r="C84" s="35" t="s">
        <v>110</v>
      </c>
      <c r="D84" s="35"/>
      <c r="E84" s="35">
        <f t="shared" si="28"/>
        <v>0</v>
      </c>
      <c r="F84" s="35"/>
      <c r="G84" s="35"/>
      <c r="H84" s="35"/>
      <c r="I84" s="35"/>
      <c r="J84" s="35"/>
      <c r="K84" s="35">
        <f t="shared" si="29"/>
        <v>0</v>
      </c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>
        <f t="shared" si="27"/>
        <v>0</v>
      </c>
      <c r="X84" s="35"/>
      <c r="Y84" s="35" t="s">
        <v>109</v>
      </c>
      <c r="Z84" s="55"/>
      <c r="AA84" s="35" t="s">
        <v>110</v>
      </c>
      <c r="AB84" s="35"/>
      <c r="AC84" s="35"/>
      <c r="AD84" s="35"/>
      <c r="AE84" s="35"/>
      <c r="AF84" s="35"/>
      <c r="AG84" s="35"/>
      <c r="AH84" s="35"/>
      <c r="AI84" s="45">
        <f t="shared" si="25"/>
        <v>0</v>
      </c>
      <c r="AJ84" s="45"/>
      <c r="AK84" s="35"/>
      <c r="AL84" s="35"/>
      <c r="AM84" s="35"/>
      <c r="AN84" s="35"/>
      <c r="AO84" s="35"/>
      <c r="AP84" s="35"/>
      <c r="AQ84" s="35"/>
      <c r="AR84" s="35"/>
      <c r="AS84" s="45">
        <f t="shared" si="17"/>
        <v>0</v>
      </c>
      <c r="AT84" s="45"/>
      <c r="AU84" s="35">
        <v>0</v>
      </c>
      <c r="AV84" s="35"/>
      <c r="AW84" s="35">
        <v>0</v>
      </c>
      <c r="AX84" s="35"/>
      <c r="AY84" s="35">
        <f t="shared" si="26"/>
        <v>0</v>
      </c>
      <c r="AZ84" s="35"/>
      <c r="BA84" s="35" t="s">
        <v>109</v>
      </c>
      <c r="BB84" s="55"/>
      <c r="BC84" s="35" t="s">
        <v>110</v>
      </c>
      <c r="BD84" s="35"/>
      <c r="BE84" s="35"/>
      <c r="BF84" s="35"/>
      <c r="BG84" s="35"/>
      <c r="BH84" s="35"/>
      <c r="BI84" s="35"/>
      <c r="BJ84" s="35"/>
      <c r="BK84" s="35"/>
      <c r="BL84" s="35"/>
      <c r="BM84" s="35">
        <f t="shared" si="18"/>
        <v>0</v>
      </c>
      <c r="BN84" s="54" t="s">
        <v>347</v>
      </c>
    </row>
    <row r="85" spans="1:67" x14ac:dyDescent="0.2">
      <c r="A85" s="35" t="s">
        <v>43</v>
      </c>
      <c r="C85" s="35" t="s">
        <v>111</v>
      </c>
      <c r="D85" s="35"/>
      <c r="E85" s="35">
        <f t="shared" si="28"/>
        <v>202742</v>
      </c>
      <c r="F85" s="35"/>
      <c r="G85" s="35">
        <v>0</v>
      </c>
      <c r="H85" s="35"/>
      <c r="I85" s="35">
        <v>202742</v>
      </c>
      <c r="J85" s="35"/>
      <c r="K85" s="35">
        <f t="shared" si="29"/>
        <v>7487</v>
      </c>
      <c r="L85" s="35"/>
      <c r="M85" s="35">
        <v>0</v>
      </c>
      <c r="N85" s="35"/>
      <c r="O85" s="35">
        <v>7487</v>
      </c>
      <c r="P85" s="35"/>
      <c r="Q85" s="35">
        <v>0</v>
      </c>
      <c r="R85" s="35"/>
      <c r="S85" s="35">
        <v>0</v>
      </c>
      <c r="T85" s="35"/>
      <c r="U85" s="35">
        <v>195255</v>
      </c>
      <c r="V85" s="35"/>
      <c r="W85" s="35">
        <f t="shared" si="27"/>
        <v>195255</v>
      </c>
      <c r="X85" s="35"/>
      <c r="Y85" s="35" t="s">
        <v>43</v>
      </c>
      <c r="Z85" s="55"/>
      <c r="AA85" s="35" t="s">
        <v>111</v>
      </c>
      <c r="AB85" s="35"/>
      <c r="AC85" s="35">
        <v>711350</v>
      </c>
      <c r="AD85" s="35"/>
      <c r="AE85" s="35">
        <v>731408</v>
      </c>
      <c r="AF85" s="35"/>
      <c r="AG85" s="35">
        <v>0</v>
      </c>
      <c r="AH85" s="35"/>
      <c r="AI85" s="45">
        <f t="shared" si="25"/>
        <v>-20058</v>
      </c>
      <c r="AJ85" s="45"/>
      <c r="AK85" s="35">
        <v>0</v>
      </c>
      <c r="AL85" s="35"/>
      <c r="AM85" s="35">
        <v>0</v>
      </c>
      <c r="AN85" s="35"/>
      <c r="AO85" s="35">
        <v>0</v>
      </c>
      <c r="AP85" s="35"/>
      <c r="AQ85" s="35">
        <v>0</v>
      </c>
      <c r="AR85" s="35"/>
      <c r="AS85" s="45">
        <f t="shared" si="17"/>
        <v>-20058</v>
      </c>
      <c r="AT85" s="45"/>
      <c r="AU85" s="35">
        <v>0</v>
      </c>
      <c r="AV85" s="35"/>
      <c r="AW85" s="35">
        <v>0</v>
      </c>
      <c r="AX85" s="35"/>
      <c r="AY85" s="35">
        <f t="shared" si="26"/>
        <v>195255</v>
      </c>
      <c r="AZ85" s="35"/>
      <c r="BA85" s="35" t="s">
        <v>43</v>
      </c>
      <c r="BB85" s="55"/>
      <c r="BC85" s="35" t="s">
        <v>111</v>
      </c>
      <c r="BD85" s="35"/>
      <c r="BE85" s="35">
        <v>0</v>
      </c>
      <c r="BF85" s="35"/>
      <c r="BG85" s="35">
        <v>0</v>
      </c>
      <c r="BH85" s="35"/>
      <c r="BI85" s="35">
        <v>0</v>
      </c>
      <c r="BJ85" s="35"/>
      <c r="BK85" s="35">
        <v>0</v>
      </c>
      <c r="BL85" s="35"/>
      <c r="BM85" s="35">
        <f t="shared" si="18"/>
        <v>0</v>
      </c>
      <c r="BN85" s="54" t="s">
        <v>347</v>
      </c>
    </row>
    <row r="86" spans="1:67" hidden="1" x14ac:dyDescent="0.2">
      <c r="A86" s="35" t="s">
        <v>112</v>
      </c>
      <c r="C86" s="35" t="s">
        <v>76</v>
      </c>
      <c r="D86" s="35"/>
      <c r="E86" s="35">
        <f t="shared" si="28"/>
        <v>0</v>
      </c>
      <c r="F86" s="35"/>
      <c r="G86" s="35"/>
      <c r="H86" s="35"/>
      <c r="I86" s="35"/>
      <c r="J86" s="35"/>
      <c r="K86" s="35">
        <f t="shared" si="29"/>
        <v>0</v>
      </c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>
        <f t="shared" si="27"/>
        <v>0</v>
      </c>
      <c r="X86" s="35"/>
      <c r="Y86" s="35" t="s">
        <v>112</v>
      </c>
      <c r="Z86" s="55"/>
      <c r="AA86" s="35" t="s">
        <v>76</v>
      </c>
      <c r="AB86" s="35"/>
      <c r="AC86" s="35"/>
      <c r="AD86" s="35"/>
      <c r="AE86" s="35"/>
      <c r="AF86" s="35"/>
      <c r="AG86" s="35"/>
      <c r="AH86" s="35"/>
      <c r="AI86" s="45">
        <f t="shared" si="25"/>
        <v>0</v>
      </c>
      <c r="AJ86" s="45"/>
      <c r="AK86" s="35"/>
      <c r="AL86" s="35"/>
      <c r="AM86" s="35"/>
      <c r="AN86" s="35"/>
      <c r="AO86" s="35"/>
      <c r="AP86" s="35"/>
      <c r="AQ86" s="35"/>
      <c r="AR86" s="35"/>
      <c r="AS86" s="45">
        <f t="shared" si="17"/>
        <v>0</v>
      </c>
      <c r="AT86" s="45"/>
      <c r="AU86" s="35">
        <v>0</v>
      </c>
      <c r="AV86" s="35"/>
      <c r="AW86" s="35">
        <v>0</v>
      </c>
      <c r="AX86" s="35"/>
      <c r="AY86" s="35">
        <f t="shared" si="26"/>
        <v>0</v>
      </c>
      <c r="AZ86" s="35"/>
      <c r="BA86" s="35" t="s">
        <v>112</v>
      </c>
      <c r="BB86" s="55"/>
      <c r="BC86" s="35" t="s">
        <v>76</v>
      </c>
      <c r="BD86" s="35"/>
      <c r="BE86" s="35"/>
      <c r="BF86" s="35"/>
      <c r="BG86" s="35"/>
      <c r="BH86" s="35"/>
      <c r="BI86" s="35"/>
      <c r="BJ86" s="35"/>
      <c r="BK86" s="35"/>
      <c r="BL86" s="35"/>
      <c r="BM86" s="35">
        <f t="shared" si="18"/>
        <v>0</v>
      </c>
      <c r="BN86" s="54" t="s">
        <v>347</v>
      </c>
    </row>
    <row r="87" spans="1:67" hidden="1" x14ac:dyDescent="0.2">
      <c r="A87" s="35" t="s">
        <v>113</v>
      </c>
      <c r="C87" s="35" t="s">
        <v>43</v>
      </c>
      <c r="D87" s="35"/>
      <c r="E87" s="35">
        <f t="shared" si="28"/>
        <v>0</v>
      </c>
      <c r="F87" s="35"/>
      <c r="G87" s="35"/>
      <c r="H87" s="35"/>
      <c r="I87" s="35"/>
      <c r="J87" s="35"/>
      <c r="K87" s="35">
        <f t="shared" si="29"/>
        <v>0</v>
      </c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>
        <f t="shared" si="27"/>
        <v>0</v>
      </c>
      <c r="X87" s="35"/>
      <c r="Y87" s="35" t="s">
        <v>113</v>
      </c>
      <c r="Z87" s="55"/>
      <c r="AA87" s="35" t="s">
        <v>43</v>
      </c>
      <c r="AB87" s="35"/>
      <c r="AC87" s="35"/>
      <c r="AD87" s="35"/>
      <c r="AE87" s="35"/>
      <c r="AF87" s="35"/>
      <c r="AG87" s="35"/>
      <c r="AH87" s="35"/>
      <c r="AI87" s="45">
        <f t="shared" si="25"/>
        <v>0</v>
      </c>
      <c r="AJ87" s="45"/>
      <c r="AK87" s="35"/>
      <c r="AL87" s="35"/>
      <c r="AM87" s="35"/>
      <c r="AN87" s="35"/>
      <c r="AO87" s="35"/>
      <c r="AP87" s="35"/>
      <c r="AQ87" s="35"/>
      <c r="AR87" s="35"/>
      <c r="AS87" s="45">
        <f t="shared" si="17"/>
        <v>0</v>
      </c>
      <c r="AT87" s="45"/>
      <c r="AU87" s="35">
        <v>0</v>
      </c>
      <c r="AV87" s="35"/>
      <c r="AW87" s="35">
        <v>0</v>
      </c>
      <c r="AX87" s="35"/>
      <c r="AY87" s="35">
        <f t="shared" si="26"/>
        <v>0</v>
      </c>
      <c r="AZ87" s="35"/>
      <c r="BA87" s="35" t="s">
        <v>113</v>
      </c>
      <c r="BB87" s="55"/>
      <c r="BC87" s="35" t="s">
        <v>43</v>
      </c>
      <c r="BD87" s="35"/>
      <c r="BE87" s="35"/>
      <c r="BF87" s="35"/>
      <c r="BG87" s="35"/>
      <c r="BH87" s="35"/>
      <c r="BI87" s="35"/>
      <c r="BJ87" s="35"/>
      <c r="BK87" s="35"/>
      <c r="BL87" s="35"/>
      <c r="BM87" s="35">
        <f t="shared" si="18"/>
        <v>0</v>
      </c>
      <c r="BN87" s="54" t="s">
        <v>347</v>
      </c>
    </row>
    <row r="88" spans="1:67" hidden="1" x14ac:dyDescent="0.2">
      <c r="A88" s="44" t="s">
        <v>489</v>
      </c>
      <c r="C88" s="35" t="s">
        <v>57</v>
      </c>
      <c r="D88" s="35"/>
      <c r="E88" s="35">
        <f t="shared" si="28"/>
        <v>0</v>
      </c>
      <c r="F88" s="35"/>
      <c r="G88" s="35"/>
      <c r="H88" s="35"/>
      <c r="I88" s="35"/>
      <c r="J88" s="35"/>
      <c r="K88" s="35">
        <f t="shared" si="29"/>
        <v>0</v>
      </c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>
        <f>SUM(Q88:U88)</f>
        <v>0</v>
      </c>
      <c r="X88" s="35"/>
      <c r="Y88" s="44" t="s">
        <v>489</v>
      </c>
      <c r="Z88" s="55"/>
      <c r="AA88" s="35" t="s">
        <v>57</v>
      </c>
      <c r="AB88" s="35"/>
      <c r="AC88" s="35"/>
      <c r="AD88" s="35"/>
      <c r="AE88" s="35"/>
      <c r="AF88" s="35"/>
      <c r="AG88" s="35"/>
      <c r="AH88" s="35"/>
      <c r="AI88" s="45">
        <f t="shared" si="25"/>
        <v>0</v>
      </c>
      <c r="AJ88" s="45"/>
      <c r="AK88" s="35"/>
      <c r="AL88" s="35"/>
      <c r="AM88" s="35"/>
      <c r="AN88" s="35"/>
      <c r="AO88" s="35"/>
      <c r="AP88" s="35"/>
      <c r="AQ88" s="35"/>
      <c r="AR88" s="35"/>
      <c r="AS88" s="45">
        <f t="shared" si="17"/>
        <v>0</v>
      </c>
      <c r="AT88" s="45"/>
      <c r="AU88" s="35">
        <v>0</v>
      </c>
      <c r="AV88" s="35"/>
      <c r="AW88" s="35">
        <v>0</v>
      </c>
      <c r="AX88" s="35"/>
      <c r="AY88" s="35">
        <f t="shared" si="26"/>
        <v>0</v>
      </c>
      <c r="AZ88" s="35"/>
      <c r="BA88" s="44" t="s">
        <v>489</v>
      </c>
      <c r="BB88" s="55"/>
      <c r="BC88" s="35" t="s">
        <v>57</v>
      </c>
      <c r="BD88" s="35"/>
      <c r="BE88" s="35"/>
      <c r="BF88" s="35"/>
      <c r="BG88" s="35"/>
      <c r="BH88" s="35"/>
      <c r="BI88" s="35"/>
      <c r="BJ88" s="35"/>
      <c r="BK88" s="35"/>
      <c r="BL88" s="35"/>
      <c r="BM88" s="35">
        <f>SUM(BE88:BK88)</f>
        <v>0</v>
      </c>
      <c r="BN88" s="54" t="s">
        <v>347</v>
      </c>
      <c r="BO88" s="55" t="s">
        <v>315</v>
      </c>
    </row>
    <row r="89" spans="1:67" hidden="1" x14ac:dyDescent="0.2">
      <c r="A89" s="35" t="s">
        <v>114</v>
      </c>
      <c r="C89" s="35" t="s">
        <v>27</v>
      </c>
      <c r="D89" s="35"/>
      <c r="E89" s="35">
        <f t="shared" si="28"/>
        <v>0</v>
      </c>
      <c r="F89" s="35"/>
      <c r="G89" s="35"/>
      <c r="H89" s="35"/>
      <c r="I89" s="35"/>
      <c r="J89" s="35"/>
      <c r="K89" s="35">
        <f t="shared" si="29"/>
        <v>0</v>
      </c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>
        <f t="shared" si="27"/>
        <v>0</v>
      </c>
      <c r="X89" s="35"/>
      <c r="Y89" s="35" t="s">
        <v>114</v>
      </c>
      <c r="Z89" s="55"/>
      <c r="AA89" s="35" t="s">
        <v>27</v>
      </c>
      <c r="AB89" s="35"/>
      <c r="AC89" s="35"/>
      <c r="AD89" s="35"/>
      <c r="AE89" s="35"/>
      <c r="AF89" s="35"/>
      <c r="AG89" s="35"/>
      <c r="AH89" s="35"/>
      <c r="AI89" s="45">
        <f t="shared" si="25"/>
        <v>0</v>
      </c>
      <c r="AJ89" s="45"/>
      <c r="AK89" s="35"/>
      <c r="AL89" s="35"/>
      <c r="AM89" s="35"/>
      <c r="AN89" s="35"/>
      <c r="AO89" s="35"/>
      <c r="AP89" s="35"/>
      <c r="AQ89" s="35"/>
      <c r="AR89" s="35"/>
      <c r="AS89" s="45">
        <f t="shared" si="17"/>
        <v>0</v>
      </c>
      <c r="AT89" s="45"/>
      <c r="AU89" s="35">
        <v>0</v>
      </c>
      <c r="AV89" s="35"/>
      <c r="AW89" s="35">
        <v>0</v>
      </c>
      <c r="AX89" s="35"/>
      <c r="AY89" s="35">
        <f t="shared" si="26"/>
        <v>0</v>
      </c>
      <c r="AZ89" s="35"/>
      <c r="BA89" s="35" t="s">
        <v>114</v>
      </c>
      <c r="BB89" s="55"/>
      <c r="BC89" s="35" t="s">
        <v>27</v>
      </c>
      <c r="BD89" s="35"/>
      <c r="BE89" s="35"/>
      <c r="BF89" s="35"/>
      <c r="BG89" s="35"/>
      <c r="BH89" s="35"/>
      <c r="BI89" s="35"/>
      <c r="BJ89" s="35"/>
      <c r="BK89" s="35"/>
      <c r="BL89" s="35"/>
      <c r="BM89" s="35">
        <f t="shared" si="18"/>
        <v>0</v>
      </c>
      <c r="BN89" s="54" t="s">
        <v>347</v>
      </c>
    </row>
    <row r="90" spans="1:67" hidden="1" x14ac:dyDescent="0.2">
      <c r="A90" s="35" t="s">
        <v>115</v>
      </c>
      <c r="C90" s="35" t="s">
        <v>19</v>
      </c>
      <c r="D90" s="35"/>
      <c r="E90" s="35">
        <f t="shared" si="28"/>
        <v>0</v>
      </c>
      <c r="F90" s="35"/>
      <c r="G90" s="35"/>
      <c r="H90" s="35"/>
      <c r="I90" s="35"/>
      <c r="J90" s="35"/>
      <c r="K90" s="35">
        <f t="shared" si="29"/>
        <v>0</v>
      </c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>
        <f t="shared" si="27"/>
        <v>0</v>
      </c>
      <c r="X90" s="35"/>
      <c r="Y90" s="35" t="s">
        <v>115</v>
      </c>
      <c r="Z90" s="55"/>
      <c r="AA90" s="35" t="s">
        <v>19</v>
      </c>
      <c r="AB90" s="35"/>
      <c r="AC90" s="35"/>
      <c r="AD90" s="35"/>
      <c r="AE90" s="35"/>
      <c r="AF90" s="35"/>
      <c r="AG90" s="35"/>
      <c r="AH90" s="35"/>
      <c r="AI90" s="45">
        <f t="shared" si="25"/>
        <v>0</v>
      </c>
      <c r="AJ90" s="45"/>
      <c r="AK90" s="35"/>
      <c r="AL90" s="35"/>
      <c r="AM90" s="35"/>
      <c r="AN90" s="35"/>
      <c r="AO90" s="35"/>
      <c r="AP90" s="35"/>
      <c r="AQ90" s="35"/>
      <c r="AR90" s="35"/>
      <c r="AS90" s="45">
        <f t="shared" si="17"/>
        <v>0</v>
      </c>
      <c r="AT90" s="45"/>
      <c r="AU90" s="35">
        <v>0</v>
      </c>
      <c r="AV90" s="35"/>
      <c r="AW90" s="35">
        <v>0</v>
      </c>
      <c r="AX90" s="35"/>
      <c r="AY90" s="35">
        <f t="shared" si="26"/>
        <v>0</v>
      </c>
      <c r="AZ90" s="35"/>
      <c r="BA90" s="35" t="s">
        <v>115</v>
      </c>
      <c r="BB90" s="55"/>
      <c r="BC90" s="35" t="s">
        <v>19</v>
      </c>
      <c r="BD90" s="35"/>
      <c r="BE90" s="35"/>
      <c r="BF90" s="35"/>
      <c r="BG90" s="35"/>
      <c r="BH90" s="35"/>
      <c r="BI90" s="35"/>
      <c r="BJ90" s="35"/>
      <c r="BK90" s="35"/>
      <c r="BL90" s="35"/>
      <c r="BM90" s="35">
        <f t="shared" si="18"/>
        <v>0</v>
      </c>
      <c r="BN90" s="54" t="s">
        <v>347</v>
      </c>
    </row>
    <row r="91" spans="1:67" hidden="1" x14ac:dyDescent="0.2">
      <c r="A91" s="35" t="s">
        <v>116</v>
      </c>
      <c r="C91" s="35" t="s">
        <v>80</v>
      </c>
      <c r="D91" s="35"/>
      <c r="E91" s="35">
        <f t="shared" si="28"/>
        <v>0</v>
      </c>
      <c r="F91" s="35"/>
      <c r="G91" s="35"/>
      <c r="H91" s="35"/>
      <c r="I91" s="35"/>
      <c r="J91" s="35"/>
      <c r="K91" s="35">
        <f t="shared" si="29"/>
        <v>0</v>
      </c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>
        <f t="shared" si="27"/>
        <v>0</v>
      </c>
      <c r="X91" s="35"/>
      <c r="Y91" s="35" t="s">
        <v>116</v>
      </c>
      <c r="Z91" s="55"/>
      <c r="AA91" s="35" t="s">
        <v>80</v>
      </c>
      <c r="AB91" s="35"/>
      <c r="AC91" s="35"/>
      <c r="AD91" s="35"/>
      <c r="AE91" s="35"/>
      <c r="AF91" s="35"/>
      <c r="AG91" s="35"/>
      <c r="AH91" s="35"/>
      <c r="AI91" s="45">
        <f t="shared" si="25"/>
        <v>0</v>
      </c>
      <c r="AJ91" s="45"/>
      <c r="AK91" s="35"/>
      <c r="AL91" s="35"/>
      <c r="AM91" s="35"/>
      <c r="AN91" s="35"/>
      <c r="AO91" s="35"/>
      <c r="AP91" s="35"/>
      <c r="AQ91" s="35"/>
      <c r="AR91" s="35"/>
      <c r="AS91" s="45">
        <f t="shared" si="17"/>
        <v>0</v>
      </c>
      <c r="AT91" s="45"/>
      <c r="AU91" s="35">
        <v>0</v>
      </c>
      <c r="AV91" s="35"/>
      <c r="AW91" s="35">
        <v>0</v>
      </c>
      <c r="AX91" s="35"/>
      <c r="AY91" s="35">
        <f t="shared" si="26"/>
        <v>0</v>
      </c>
      <c r="AZ91" s="35"/>
      <c r="BA91" s="35" t="s">
        <v>116</v>
      </c>
      <c r="BB91" s="55"/>
      <c r="BC91" s="35" t="s">
        <v>80</v>
      </c>
      <c r="BD91" s="35"/>
      <c r="BE91" s="35"/>
      <c r="BF91" s="35"/>
      <c r="BG91" s="35"/>
      <c r="BH91" s="35"/>
      <c r="BI91" s="35"/>
      <c r="BJ91" s="35"/>
      <c r="BK91" s="35"/>
      <c r="BL91" s="35"/>
      <c r="BM91" s="35">
        <f t="shared" si="18"/>
        <v>0</v>
      </c>
      <c r="BN91" s="54" t="s">
        <v>347</v>
      </c>
    </row>
    <row r="92" spans="1:67" hidden="1" x14ac:dyDescent="0.2">
      <c r="A92" s="44" t="s">
        <v>117</v>
      </c>
      <c r="C92" s="35" t="s">
        <v>43</v>
      </c>
      <c r="D92" s="35"/>
      <c r="E92" s="35">
        <f t="shared" si="28"/>
        <v>0</v>
      </c>
      <c r="F92" s="35"/>
      <c r="G92" s="35"/>
      <c r="H92" s="35"/>
      <c r="I92" s="35"/>
      <c r="J92" s="35"/>
      <c r="K92" s="35">
        <f t="shared" si="29"/>
        <v>0</v>
      </c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>
        <f t="shared" si="27"/>
        <v>0</v>
      </c>
      <c r="X92" s="35"/>
      <c r="Y92" s="44" t="s">
        <v>117</v>
      </c>
      <c r="Z92" s="55"/>
      <c r="AA92" s="35" t="s">
        <v>43</v>
      </c>
      <c r="AB92" s="35"/>
      <c r="AC92" s="35"/>
      <c r="AD92" s="35"/>
      <c r="AE92" s="35"/>
      <c r="AF92" s="35"/>
      <c r="AG92" s="35"/>
      <c r="AH92" s="35"/>
      <c r="AI92" s="45">
        <f t="shared" si="25"/>
        <v>0</v>
      </c>
      <c r="AJ92" s="45"/>
      <c r="AK92" s="35"/>
      <c r="AL92" s="35"/>
      <c r="AM92" s="35"/>
      <c r="AN92" s="35"/>
      <c r="AO92" s="35"/>
      <c r="AP92" s="35"/>
      <c r="AQ92" s="35"/>
      <c r="AR92" s="35"/>
      <c r="AS92" s="45">
        <f t="shared" si="17"/>
        <v>0</v>
      </c>
      <c r="AT92" s="45"/>
      <c r="AU92" s="35">
        <v>0</v>
      </c>
      <c r="AV92" s="35"/>
      <c r="AW92" s="35">
        <v>0</v>
      </c>
      <c r="AX92" s="35"/>
      <c r="AY92" s="35">
        <f t="shared" si="26"/>
        <v>0</v>
      </c>
      <c r="AZ92" s="35"/>
      <c r="BA92" s="44" t="s">
        <v>117</v>
      </c>
      <c r="BB92" s="55"/>
      <c r="BC92" s="35" t="s">
        <v>43</v>
      </c>
      <c r="BD92" s="35"/>
      <c r="BE92" s="35"/>
      <c r="BF92" s="35"/>
      <c r="BG92" s="35"/>
      <c r="BH92" s="35"/>
      <c r="BI92" s="35"/>
      <c r="BJ92" s="35"/>
      <c r="BK92" s="35"/>
      <c r="BL92" s="35"/>
      <c r="BM92" s="35">
        <f t="shared" si="18"/>
        <v>0</v>
      </c>
      <c r="BN92" s="54" t="s">
        <v>347</v>
      </c>
    </row>
    <row r="93" spans="1:67" hidden="1" x14ac:dyDescent="0.2">
      <c r="A93" s="35" t="s">
        <v>118</v>
      </c>
      <c r="C93" s="35" t="s">
        <v>13</v>
      </c>
      <c r="D93" s="35"/>
      <c r="E93" s="35">
        <f t="shared" si="28"/>
        <v>0</v>
      </c>
      <c r="F93" s="35"/>
      <c r="G93" s="35"/>
      <c r="H93" s="35"/>
      <c r="I93" s="35"/>
      <c r="J93" s="35"/>
      <c r="K93" s="35">
        <f t="shared" si="29"/>
        <v>0</v>
      </c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>
        <f t="shared" si="27"/>
        <v>0</v>
      </c>
      <c r="X93" s="35"/>
      <c r="Y93" s="35" t="s">
        <v>118</v>
      </c>
      <c r="Z93" s="55"/>
      <c r="AA93" s="35" t="s">
        <v>13</v>
      </c>
      <c r="AB93" s="35"/>
      <c r="AC93" s="35"/>
      <c r="AD93" s="35"/>
      <c r="AE93" s="35"/>
      <c r="AF93" s="35"/>
      <c r="AG93" s="35"/>
      <c r="AH93" s="35"/>
      <c r="AI93" s="45">
        <f t="shared" si="25"/>
        <v>0</v>
      </c>
      <c r="AJ93" s="45"/>
      <c r="AK93" s="35"/>
      <c r="AL93" s="35"/>
      <c r="AM93" s="35"/>
      <c r="AN93" s="35"/>
      <c r="AO93" s="35"/>
      <c r="AP93" s="35"/>
      <c r="AQ93" s="35"/>
      <c r="AR93" s="35"/>
      <c r="AS93" s="45">
        <f t="shared" si="17"/>
        <v>0</v>
      </c>
      <c r="AT93" s="45"/>
      <c r="AU93" s="35">
        <v>0</v>
      </c>
      <c r="AV93" s="35"/>
      <c r="AW93" s="35">
        <v>0</v>
      </c>
      <c r="AX93" s="35"/>
      <c r="AY93" s="35">
        <f t="shared" si="26"/>
        <v>0</v>
      </c>
      <c r="AZ93" s="35"/>
      <c r="BA93" s="35" t="s">
        <v>118</v>
      </c>
      <c r="BB93" s="55"/>
      <c r="BC93" s="35" t="s">
        <v>13</v>
      </c>
      <c r="BD93" s="35"/>
      <c r="BE93" s="35"/>
      <c r="BF93" s="35"/>
      <c r="BG93" s="35"/>
      <c r="BH93" s="35"/>
      <c r="BI93" s="35"/>
      <c r="BJ93" s="35"/>
      <c r="BK93" s="35"/>
      <c r="BL93" s="35"/>
      <c r="BM93" s="35">
        <f t="shared" si="18"/>
        <v>0</v>
      </c>
      <c r="BN93" s="54" t="s">
        <v>347</v>
      </c>
    </row>
    <row r="94" spans="1:67" hidden="1" x14ac:dyDescent="0.2">
      <c r="A94" s="35" t="s">
        <v>120</v>
      </c>
      <c r="C94" s="35" t="s">
        <v>121</v>
      </c>
      <c r="D94" s="35"/>
      <c r="E94" s="35">
        <f t="shared" si="28"/>
        <v>0</v>
      </c>
      <c r="F94" s="35"/>
      <c r="G94" s="35"/>
      <c r="H94" s="35"/>
      <c r="I94" s="35"/>
      <c r="J94" s="35"/>
      <c r="K94" s="35">
        <f t="shared" si="29"/>
        <v>0</v>
      </c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>
        <f t="shared" si="27"/>
        <v>0</v>
      </c>
      <c r="X94" s="35"/>
      <c r="Y94" s="35" t="s">
        <v>120</v>
      </c>
      <c r="Z94" s="55"/>
      <c r="AA94" s="35" t="s">
        <v>121</v>
      </c>
      <c r="AB94" s="35"/>
      <c r="AC94" s="35"/>
      <c r="AD94" s="35"/>
      <c r="AE94" s="35"/>
      <c r="AF94" s="35"/>
      <c r="AG94" s="35"/>
      <c r="AH94" s="35"/>
      <c r="AI94" s="45">
        <f t="shared" si="25"/>
        <v>0</v>
      </c>
      <c r="AJ94" s="45"/>
      <c r="AK94" s="35"/>
      <c r="AL94" s="35"/>
      <c r="AM94" s="35"/>
      <c r="AN94" s="35"/>
      <c r="AO94" s="35"/>
      <c r="AP94" s="35"/>
      <c r="AQ94" s="35"/>
      <c r="AR94" s="35"/>
      <c r="AS94" s="45">
        <f t="shared" si="17"/>
        <v>0</v>
      </c>
      <c r="AT94" s="45"/>
      <c r="AU94" s="35">
        <v>0</v>
      </c>
      <c r="AV94" s="35"/>
      <c r="AW94" s="35">
        <v>0</v>
      </c>
      <c r="AX94" s="35"/>
      <c r="AY94" s="35">
        <f t="shared" si="26"/>
        <v>0</v>
      </c>
      <c r="AZ94" s="35"/>
      <c r="BA94" s="35" t="s">
        <v>120</v>
      </c>
      <c r="BB94" s="55"/>
      <c r="BC94" s="35" t="s">
        <v>121</v>
      </c>
      <c r="BD94" s="35"/>
      <c r="BE94" s="35"/>
      <c r="BF94" s="35"/>
      <c r="BG94" s="35"/>
      <c r="BH94" s="35"/>
      <c r="BI94" s="35"/>
      <c r="BJ94" s="35"/>
      <c r="BK94" s="35"/>
      <c r="BL94" s="35"/>
      <c r="BM94" s="35">
        <f t="shared" si="18"/>
        <v>0</v>
      </c>
      <c r="BN94" s="54" t="s">
        <v>347</v>
      </c>
      <c r="BO94" s="55" t="s">
        <v>371</v>
      </c>
    </row>
    <row r="95" spans="1:67" hidden="1" x14ac:dyDescent="0.2">
      <c r="A95" s="35" t="s">
        <v>122</v>
      </c>
      <c r="C95" s="35" t="s">
        <v>43</v>
      </c>
      <c r="D95" s="35"/>
      <c r="E95" s="35">
        <f t="shared" si="28"/>
        <v>0</v>
      </c>
      <c r="F95" s="35"/>
      <c r="G95" s="35"/>
      <c r="H95" s="35"/>
      <c r="I95" s="35"/>
      <c r="J95" s="35"/>
      <c r="K95" s="35">
        <f t="shared" si="29"/>
        <v>0</v>
      </c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>
        <f t="shared" si="27"/>
        <v>0</v>
      </c>
      <c r="X95" s="35"/>
      <c r="Y95" s="35" t="s">
        <v>122</v>
      </c>
      <c r="Z95" s="55"/>
      <c r="AA95" s="35" t="s">
        <v>43</v>
      </c>
      <c r="AB95" s="35"/>
      <c r="AC95" s="35"/>
      <c r="AD95" s="35"/>
      <c r="AE95" s="35"/>
      <c r="AF95" s="35"/>
      <c r="AG95" s="35"/>
      <c r="AH95" s="35"/>
      <c r="AI95" s="45">
        <f t="shared" si="25"/>
        <v>0</v>
      </c>
      <c r="AJ95" s="45"/>
      <c r="AK95" s="35"/>
      <c r="AL95" s="35"/>
      <c r="AM95" s="35"/>
      <c r="AN95" s="35"/>
      <c r="AO95" s="35"/>
      <c r="AP95" s="35"/>
      <c r="AQ95" s="35"/>
      <c r="AR95" s="35"/>
      <c r="AS95" s="45">
        <f t="shared" si="17"/>
        <v>0</v>
      </c>
      <c r="AT95" s="45"/>
      <c r="AU95" s="35">
        <v>0</v>
      </c>
      <c r="AV95" s="35"/>
      <c r="AW95" s="35">
        <v>0</v>
      </c>
      <c r="AX95" s="35"/>
      <c r="AY95" s="35">
        <f t="shared" si="26"/>
        <v>0</v>
      </c>
      <c r="AZ95" s="35"/>
      <c r="BA95" s="35" t="s">
        <v>122</v>
      </c>
      <c r="BB95" s="55"/>
      <c r="BC95" s="35" t="s">
        <v>43</v>
      </c>
      <c r="BD95" s="35"/>
      <c r="BE95" s="35"/>
      <c r="BF95" s="35"/>
      <c r="BG95" s="35"/>
      <c r="BH95" s="35"/>
      <c r="BI95" s="35"/>
      <c r="BJ95" s="35"/>
      <c r="BK95" s="35"/>
      <c r="BL95" s="35"/>
      <c r="BM95" s="35">
        <f t="shared" si="18"/>
        <v>0</v>
      </c>
      <c r="BN95" s="54" t="s">
        <v>347</v>
      </c>
    </row>
    <row r="96" spans="1:67" hidden="1" x14ac:dyDescent="0.2">
      <c r="A96" s="35" t="s">
        <v>507</v>
      </c>
      <c r="C96" s="35" t="s">
        <v>43</v>
      </c>
      <c r="D96" s="35"/>
      <c r="E96" s="35">
        <f t="shared" si="28"/>
        <v>0</v>
      </c>
      <c r="F96" s="35"/>
      <c r="G96" s="35"/>
      <c r="H96" s="35"/>
      <c r="I96" s="35"/>
      <c r="J96" s="35"/>
      <c r="K96" s="35">
        <f t="shared" si="29"/>
        <v>0</v>
      </c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>
        <f t="shared" si="27"/>
        <v>0</v>
      </c>
      <c r="X96" s="35"/>
      <c r="Y96" s="35" t="s">
        <v>507</v>
      </c>
      <c r="Z96" s="51"/>
      <c r="AA96" s="35" t="s">
        <v>43</v>
      </c>
      <c r="AB96" s="35"/>
      <c r="AC96" s="35"/>
      <c r="AD96" s="35"/>
      <c r="AE96" s="35"/>
      <c r="AF96" s="35"/>
      <c r="AG96" s="35"/>
      <c r="AH96" s="35"/>
      <c r="AI96" s="45">
        <f t="shared" si="25"/>
        <v>0</v>
      </c>
      <c r="AJ96" s="45"/>
      <c r="AK96" s="35"/>
      <c r="AL96" s="35"/>
      <c r="AM96" s="35"/>
      <c r="AN96" s="35"/>
      <c r="AO96" s="35"/>
      <c r="AP96" s="35"/>
      <c r="AQ96" s="35"/>
      <c r="AR96" s="35"/>
      <c r="AS96" s="45">
        <f t="shared" si="17"/>
        <v>0</v>
      </c>
      <c r="AT96" s="45"/>
      <c r="AU96" s="35"/>
      <c r="AV96" s="35"/>
      <c r="AW96" s="35"/>
      <c r="AX96" s="35"/>
      <c r="AY96" s="35">
        <f t="shared" si="26"/>
        <v>0</v>
      </c>
      <c r="AZ96" s="35"/>
      <c r="BA96" s="35" t="s">
        <v>507</v>
      </c>
      <c r="BB96" s="51"/>
      <c r="BC96" s="35" t="s">
        <v>43</v>
      </c>
      <c r="BD96" s="35"/>
      <c r="BE96" s="35"/>
      <c r="BF96" s="35"/>
      <c r="BG96" s="35"/>
      <c r="BH96" s="35"/>
      <c r="BI96" s="35"/>
      <c r="BJ96" s="35"/>
      <c r="BK96" s="35"/>
      <c r="BL96" s="35"/>
      <c r="BM96" s="35">
        <f t="shared" si="18"/>
        <v>0</v>
      </c>
      <c r="BN96" s="54"/>
    </row>
    <row r="97" spans="1:67" hidden="1" x14ac:dyDescent="0.2">
      <c r="A97" s="44" t="s">
        <v>45</v>
      </c>
      <c r="C97" s="35" t="s">
        <v>103</v>
      </c>
      <c r="D97" s="35"/>
      <c r="E97" s="35">
        <f t="shared" si="28"/>
        <v>0</v>
      </c>
      <c r="F97" s="35"/>
      <c r="G97" s="35"/>
      <c r="H97" s="35"/>
      <c r="I97" s="35"/>
      <c r="J97" s="35"/>
      <c r="K97" s="35">
        <f t="shared" si="29"/>
        <v>0</v>
      </c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>
        <f t="shared" si="27"/>
        <v>0</v>
      </c>
      <c r="X97" s="35"/>
      <c r="Y97" s="44" t="s">
        <v>45</v>
      </c>
      <c r="Z97" s="55"/>
      <c r="AA97" s="35" t="s">
        <v>103</v>
      </c>
      <c r="AB97" s="35"/>
      <c r="AC97" s="35"/>
      <c r="AD97" s="35"/>
      <c r="AE97" s="35"/>
      <c r="AF97" s="35"/>
      <c r="AG97" s="35"/>
      <c r="AH97" s="35"/>
      <c r="AI97" s="45">
        <f t="shared" si="25"/>
        <v>0</v>
      </c>
      <c r="AJ97" s="45"/>
      <c r="AK97" s="35"/>
      <c r="AL97" s="35"/>
      <c r="AM97" s="35"/>
      <c r="AN97" s="35"/>
      <c r="AO97" s="35"/>
      <c r="AP97" s="35"/>
      <c r="AQ97" s="35"/>
      <c r="AR97" s="35"/>
      <c r="AS97" s="45">
        <f t="shared" si="17"/>
        <v>0</v>
      </c>
      <c r="AT97" s="45"/>
      <c r="AU97" s="35">
        <v>0</v>
      </c>
      <c r="AV97" s="35"/>
      <c r="AW97" s="35">
        <v>0</v>
      </c>
      <c r="AX97" s="35"/>
      <c r="AY97" s="35">
        <f t="shared" si="26"/>
        <v>0</v>
      </c>
      <c r="AZ97" s="35"/>
      <c r="BA97" s="44" t="s">
        <v>45</v>
      </c>
      <c r="BB97" s="55"/>
      <c r="BC97" s="35" t="s">
        <v>103</v>
      </c>
      <c r="BD97" s="35"/>
      <c r="BE97" s="35"/>
      <c r="BF97" s="35"/>
      <c r="BG97" s="35"/>
      <c r="BH97" s="35"/>
      <c r="BI97" s="35"/>
      <c r="BJ97" s="35"/>
      <c r="BK97" s="35"/>
      <c r="BL97" s="35"/>
      <c r="BM97" s="35">
        <f t="shared" si="18"/>
        <v>0</v>
      </c>
      <c r="BN97" s="54" t="s">
        <v>347</v>
      </c>
      <c r="BO97" s="55" t="s">
        <v>315</v>
      </c>
    </row>
    <row r="98" spans="1:67" hidden="1" x14ac:dyDescent="0.2">
      <c r="A98" s="44" t="s">
        <v>123</v>
      </c>
      <c r="C98" s="35" t="s">
        <v>45</v>
      </c>
      <c r="D98" s="35"/>
      <c r="E98" s="35">
        <f t="shared" si="28"/>
        <v>0</v>
      </c>
      <c r="F98" s="35"/>
      <c r="G98" s="35"/>
      <c r="H98" s="35"/>
      <c r="I98" s="35"/>
      <c r="J98" s="35"/>
      <c r="K98" s="35">
        <f t="shared" si="29"/>
        <v>0</v>
      </c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>
        <f t="shared" si="27"/>
        <v>0</v>
      </c>
      <c r="X98" s="35"/>
      <c r="Y98" s="44" t="s">
        <v>123</v>
      </c>
      <c r="Z98" s="55"/>
      <c r="AA98" s="35" t="s">
        <v>45</v>
      </c>
      <c r="AB98" s="35"/>
      <c r="AC98" s="35"/>
      <c r="AD98" s="35"/>
      <c r="AE98" s="35"/>
      <c r="AF98" s="35"/>
      <c r="AG98" s="35"/>
      <c r="AH98" s="35"/>
      <c r="AI98" s="45">
        <f t="shared" si="25"/>
        <v>0</v>
      </c>
      <c r="AJ98" s="45"/>
      <c r="AK98" s="35"/>
      <c r="AL98" s="35"/>
      <c r="AM98" s="35"/>
      <c r="AN98" s="35"/>
      <c r="AO98" s="35"/>
      <c r="AP98" s="35"/>
      <c r="AQ98" s="35"/>
      <c r="AR98" s="35"/>
      <c r="AS98" s="45">
        <f t="shared" si="17"/>
        <v>0</v>
      </c>
      <c r="AT98" s="45"/>
      <c r="AU98" s="35">
        <v>0</v>
      </c>
      <c r="AV98" s="35"/>
      <c r="AW98" s="35">
        <v>0</v>
      </c>
      <c r="AX98" s="35"/>
      <c r="AY98" s="35">
        <f t="shared" si="26"/>
        <v>0</v>
      </c>
      <c r="AZ98" s="35"/>
      <c r="BA98" s="44" t="s">
        <v>123</v>
      </c>
      <c r="BB98" s="55"/>
      <c r="BC98" s="35" t="s">
        <v>45</v>
      </c>
      <c r="BD98" s="35"/>
      <c r="BE98" s="35"/>
      <c r="BF98" s="35"/>
      <c r="BG98" s="35"/>
      <c r="BH98" s="35"/>
      <c r="BI98" s="35"/>
      <c r="BJ98" s="35"/>
      <c r="BK98" s="35"/>
      <c r="BL98" s="35"/>
      <c r="BM98" s="35">
        <f t="shared" si="18"/>
        <v>0</v>
      </c>
      <c r="BN98" s="54" t="s">
        <v>347</v>
      </c>
    </row>
    <row r="99" spans="1:67" hidden="1" x14ac:dyDescent="0.2">
      <c r="A99" s="35" t="s">
        <v>124</v>
      </c>
      <c r="C99" s="35" t="s">
        <v>125</v>
      </c>
      <c r="D99" s="35"/>
      <c r="E99" s="35">
        <f t="shared" si="28"/>
        <v>0</v>
      </c>
      <c r="F99" s="35"/>
      <c r="G99" s="35"/>
      <c r="H99" s="35"/>
      <c r="I99" s="35"/>
      <c r="J99" s="35"/>
      <c r="K99" s="35">
        <f t="shared" si="29"/>
        <v>0</v>
      </c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>
        <f t="shared" si="27"/>
        <v>0</v>
      </c>
      <c r="X99" s="35"/>
      <c r="Y99" s="35" t="s">
        <v>124</v>
      </c>
      <c r="Z99" s="55"/>
      <c r="AA99" s="35" t="s">
        <v>125</v>
      </c>
      <c r="AB99" s="35"/>
      <c r="AC99" s="35"/>
      <c r="AD99" s="35"/>
      <c r="AE99" s="35"/>
      <c r="AF99" s="35"/>
      <c r="AG99" s="35"/>
      <c r="AH99" s="35"/>
      <c r="AI99" s="45">
        <f t="shared" si="25"/>
        <v>0</v>
      </c>
      <c r="AJ99" s="45"/>
      <c r="AK99" s="35"/>
      <c r="AL99" s="35"/>
      <c r="AM99" s="35"/>
      <c r="AN99" s="35"/>
      <c r="AO99" s="35"/>
      <c r="AP99" s="35"/>
      <c r="AQ99" s="35"/>
      <c r="AR99" s="35"/>
      <c r="AS99" s="45">
        <f t="shared" si="17"/>
        <v>0</v>
      </c>
      <c r="AT99" s="45"/>
      <c r="AU99" s="35">
        <v>0</v>
      </c>
      <c r="AV99" s="35"/>
      <c r="AW99" s="35">
        <v>0</v>
      </c>
      <c r="AX99" s="35"/>
      <c r="AY99" s="35">
        <f t="shared" si="26"/>
        <v>0</v>
      </c>
      <c r="AZ99" s="35"/>
      <c r="BA99" s="35" t="s">
        <v>124</v>
      </c>
      <c r="BB99" s="55"/>
      <c r="BC99" s="35" t="s">
        <v>125</v>
      </c>
      <c r="BD99" s="35"/>
      <c r="BE99" s="35"/>
      <c r="BF99" s="35"/>
      <c r="BG99" s="35"/>
      <c r="BH99" s="35"/>
      <c r="BI99" s="35"/>
      <c r="BJ99" s="35"/>
      <c r="BK99" s="35"/>
      <c r="BL99" s="35"/>
      <c r="BM99" s="35">
        <f t="shared" si="18"/>
        <v>0</v>
      </c>
      <c r="BN99" s="54" t="s">
        <v>347</v>
      </c>
    </row>
    <row r="100" spans="1:67" hidden="1" x14ac:dyDescent="0.2">
      <c r="A100" s="35" t="s">
        <v>126</v>
      </c>
      <c r="C100" s="35" t="s">
        <v>27</v>
      </c>
      <c r="D100" s="35"/>
      <c r="E100" s="35">
        <f t="shared" si="28"/>
        <v>0</v>
      </c>
      <c r="F100" s="35"/>
      <c r="G100" s="35"/>
      <c r="H100" s="35"/>
      <c r="I100" s="35"/>
      <c r="J100" s="35"/>
      <c r="K100" s="35">
        <f t="shared" si="29"/>
        <v>0</v>
      </c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>
        <f t="shared" si="27"/>
        <v>0</v>
      </c>
      <c r="X100" s="35"/>
      <c r="Y100" s="35" t="s">
        <v>126</v>
      </c>
      <c r="Z100" s="55"/>
      <c r="AA100" s="35" t="s">
        <v>27</v>
      </c>
      <c r="AB100" s="35"/>
      <c r="AC100" s="35"/>
      <c r="AD100" s="35"/>
      <c r="AE100" s="35"/>
      <c r="AF100" s="35"/>
      <c r="AG100" s="35"/>
      <c r="AH100" s="35"/>
      <c r="AI100" s="45">
        <f t="shared" si="25"/>
        <v>0</v>
      </c>
      <c r="AJ100" s="45"/>
      <c r="AK100" s="35"/>
      <c r="AL100" s="35"/>
      <c r="AM100" s="35"/>
      <c r="AN100" s="35"/>
      <c r="AO100" s="35"/>
      <c r="AP100" s="35"/>
      <c r="AQ100" s="35"/>
      <c r="AR100" s="35"/>
      <c r="AS100" s="45">
        <f t="shared" si="17"/>
        <v>0</v>
      </c>
      <c r="AT100" s="45"/>
      <c r="AU100" s="35">
        <v>0</v>
      </c>
      <c r="AV100" s="35"/>
      <c r="AW100" s="35">
        <v>0</v>
      </c>
      <c r="AX100" s="35"/>
      <c r="AY100" s="35">
        <f t="shared" si="26"/>
        <v>0</v>
      </c>
      <c r="AZ100" s="35"/>
      <c r="BA100" s="35" t="s">
        <v>126</v>
      </c>
      <c r="BB100" s="55"/>
      <c r="BC100" s="35" t="s">
        <v>27</v>
      </c>
      <c r="BD100" s="35"/>
      <c r="BE100" s="35"/>
      <c r="BF100" s="35"/>
      <c r="BG100" s="35"/>
      <c r="BH100" s="35"/>
      <c r="BI100" s="35"/>
      <c r="BJ100" s="35"/>
      <c r="BK100" s="35"/>
      <c r="BL100" s="35"/>
      <c r="BM100" s="35">
        <f t="shared" si="18"/>
        <v>0</v>
      </c>
      <c r="BN100" s="54" t="s">
        <v>347</v>
      </c>
    </row>
    <row r="101" spans="1:67" hidden="1" x14ac:dyDescent="0.2">
      <c r="A101" s="35" t="s">
        <v>127</v>
      </c>
      <c r="C101" s="35" t="s">
        <v>43</v>
      </c>
      <c r="D101" s="35"/>
      <c r="E101" s="35">
        <f t="shared" si="28"/>
        <v>0</v>
      </c>
      <c r="F101" s="35"/>
      <c r="G101" s="35"/>
      <c r="H101" s="35"/>
      <c r="I101" s="35"/>
      <c r="J101" s="35"/>
      <c r="K101" s="35">
        <f t="shared" si="29"/>
        <v>0</v>
      </c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>
        <f t="shared" si="27"/>
        <v>0</v>
      </c>
      <c r="X101" s="35"/>
      <c r="Y101" s="35" t="s">
        <v>127</v>
      </c>
      <c r="Z101" s="55"/>
      <c r="AA101" s="35" t="s">
        <v>43</v>
      </c>
      <c r="AB101" s="35"/>
      <c r="AC101" s="35"/>
      <c r="AD101" s="35"/>
      <c r="AE101" s="35"/>
      <c r="AF101" s="35"/>
      <c r="AG101" s="35"/>
      <c r="AH101" s="35"/>
      <c r="AI101" s="45">
        <f t="shared" si="25"/>
        <v>0</v>
      </c>
      <c r="AJ101" s="45"/>
      <c r="AK101" s="35"/>
      <c r="AL101" s="35"/>
      <c r="AM101" s="35"/>
      <c r="AN101" s="35"/>
      <c r="AO101" s="35"/>
      <c r="AP101" s="35"/>
      <c r="AQ101" s="35"/>
      <c r="AR101" s="35"/>
      <c r="AS101" s="45">
        <f t="shared" si="17"/>
        <v>0</v>
      </c>
      <c r="AT101" s="45"/>
      <c r="AU101" s="35">
        <v>0</v>
      </c>
      <c r="AV101" s="35"/>
      <c r="AW101" s="35">
        <v>0</v>
      </c>
      <c r="AX101" s="35"/>
      <c r="AY101" s="35">
        <f t="shared" si="26"/>
        <v>0</v>
      </c>
      <c r="AZ101" s="35"/>
      <c r="BA101" s="35" t="s">
        <v>127</v>
      </c>
      <c r="BB101" s="55"/>
      <c r="BC101" s="35" t="s">
        <v>43</v>
      </c>
      <c r="BD101" s="35"/>
      <c r="BE101" s="35"/>
      <c r="BF101" s="35"/>
      <c r="BG101" s="35"/>
      <c r="BH101" s="35"/>
      <c r="BI101" s="35"/>
      <c r="BJ101" s="35"/>
      <c r="BK101" s="35"/>
      <c r="BL101" s="35"/>
      <c r="BM101" s="35">
        <f t="shared" ref="BM101:BM144" si="30">SUM(BE101:BK101)</f>
        <v>0</v>
      </c>
      <c r="BN101" s="54" t="s">
        <v>347</v>
      </c>
    </row>
    <row r="102" spans="1:67" hidden="1" x14ac:dyDescent="0.2">
      <c r="A102" s="35" t="s">
        <v>128</v>
      </c>
      <c r="C102" s="35" t="s">
        <v>119</v>
      </c>
      <c r="D102" s="35"/>
      <c r="E102" s="35">
        <f t="shared" si="28"/>
        <v>0</v>
      </c>
      <c r="F102" s="35"/>
      <c r="G102" s="35"/>
      <c r="H102" s="35"/>
      <c r="I102" s="35"/>
      <c r="J102" s="35"/>
      <c r="K102" s="35">
        <f t="shared" si="29"/>
        <v>0</v>
      </c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>
        <f t="shared" si="27"/>
        <v>0</v>
      </c>
      <c r="X102" s="35"/>
      <c r="Y102" s="35" t="s">
        <v>128</v>
      </c>
      <c r="Z102" s="55"/>
      <c r="AA102" s="35" t="s">
        <v>119</v>
      </c>
      <c r="AB102" s="35"/>
      <c r="AC102" s="35"/>
      <c r="AD102" s="35"/>
      <c r="AE102" s="35"/>
      <c r="AF102" s="35"/>
      <c r="AG102" s="35"/>
      <c r="AH102" s="35"/>
      <c r="AI102" s="45">
        <f t="shared" si="25"/>
        <v>0</v>
      </c>
      <c r="AJ102" s="45"/>
      <c r="AK102" s="35"/>
      <c r="AL102" s="35"/>
      <c r="AM102" s="35"/>
      <c r="AN102" s="35"/>
      <c r="AO102" s="35"/>
      <c r="AP102" s="35"/>
      <c r="AQ102" s="35"/>
      <c r="AR102" s="35"/>
      <c r="AS102" s="45">
        <f t="shared" si="17"/>
        <v>0</v>
      </c>
      <c r="AT102" s="45"/>
      <c r="AU102" s="35">
        <v>0</v>
      </c>
      <c r="AV102" s="35"/>
      <c r="AW102" s="35">
        <v>0</v>
      </c>
      <c r="AX102" s="35"/>
      <c r="AY102" s="35">
        <f t="shared" si="26"/>
        <v>0</v>
      </c>
      <c r="AZ102" s="35"/>
      <c r="BA102" s="35" t="s">
        <v>128</v>
      </c>
      <c r="BB102" s="55"/>
      <c r="BC102" s="35" t="s">
        <v>119</v>
      </c>
      <c r="BD102" s="35"/>
      <c r="BE102" s="35"/>
      <c r="BF102" s="35"/>
      <c r="BG102" s="35"/>
      <c r="BH102" s="35"/>
      <c r="BI102" s="35"/>
      <c r="BJ102" s="35"/>
      <c r="BK102" s="35"/>
      <c r="BL102" s="35"/>
      <c r="BM102" s="35">
        <f t="shared" si="30"/>
        <v>0</v>
      </c>
      <c r="BN102" s="54" t="s">
        <v>347</v>
      </c>
    </row>
    <row r="103" spans="1:67" ht="12" hidden="1" x14ac:dyDescent="0.2">
      <c r="A103" s="35" t="s">
        <v>129</v>
      </c>
      <c r="B103" s="55"/>
      <c r="C103" s="35" t="s">
        <v>80</v>
      </c>
      <c r="D103" s="35"/>
      <c r="E103" s="35">
        <f t="shared" si="28"/>
        <v>0</v>
      </c>
      <c r="F103" s="35"/>
      <c r="G103" s="35"/>
      <c r="H103" s="35"/>
      <c r="I103" s="35"/>
      <c r="J103" s="35"/>
      <c r="K103" s="35">
        <f t="shared" si="29"/>
        <v>0</v>
      </c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>
        <f t="shared" si="27"/>
        <v>0</v>
      </c>
      <c r="X103" s="35"/>
      <c r="Y103" s="35" t="s">
        <v>129</v>
      </c>
      <c r="Z103" s="55"/>
      <c r="AA103" s="35" t="s">
        <v>80</v>
      </c>
      <c r="AB103" s="35"/>
      <c r="AC103" s="35"/>
      <c r="AD103" s="35"/>
      <c r="AE103" s="35"/>
      <c r="AF103" s="35"/>
      <c r="AG103" s="35"/>
      <c r="AH103" s="35"/>
      <c r="AI103" s="45">
        <f t="shared" si="25"/>
        <v>0</v>
      </c>
      <c r="AJ103" s="45"/>
      <c r="AK103" s="35"/>
      <c r="AL103" s="35"/>
      <c r="AM103" s="35"/>
      <c r="AN103" s="35"/>
      <c r="AO103" s="35"/>
      <c r="AP103" s="35"/>
      <c r="AQ103" s="35"/>
      <c r="AR103" s="35"/>
      <c r="AS103" s="45">
        <f t="shared" si="17"/>
        <v>0</v>
      </c>
      <c r="AT103" s="45"/>
      <c r="AU103" s="35">
        <v>0</v>
      </c>
      <c r="AV103" s="35"/>
      <c r="AW103" s="35">
        <v>0</v>
      </c>
      <c r="AX103" s="35"/>
      <c r="AY103" s="35">
        <f t="shared" si="26"/>
        <v>0</v>
      </c>
      <c r="AZ103" s="35"/>
      <c r="BA103" s="35" t="s">
        <v>129</v>
      </c>
      <c r="BB103" s="55"/>
      <c r="BC103" s="35" t="s">
        <v>80</v>
      </c>
      <c r="BD103" s="35"/>
      <c r="BE103" s="35"/>
      <c r="BF103" s="35"/>
      <c r="BG103" s="35"/>
      <c r="BH103" s="35"/>
      <c r="BI103" s="35"/>
      <c r="BJ103" s="35"/>
      <c r="BK103" s="35"/>
      <c r="BL103" s="35"/>
      <c r="BM103" s="35">
        <f t="shared" si="30"/>
        <v>0</v>
      </c>
      <c r="BN103" s="54" t="s">
        <v>347</v>
      </c>
    </row>
    <row r="104" spans="1:67" hidden="1" x14ac:dyDescent="0.2">
      <c r="A104" s="35" t="s">
        <v>130</v>
      </c>
      <c r="C104" s="35" t="s">
        <v>66</v>
      </c>
      <c r="D104" s="35"/>
      <c r="E104" s="35">
        <f t="shared" si="28"/>
        <v>0</v>
      </c>
      <c r="F104" s="35"/>
      <c r="G104" s="35"/>
      <c r="H104" s="35"/>
      <c r="I104" s="35"/>
      <c r="J104" s="35"/>
      <c r="K104" s="35">
        <f t="shared" si="29"/>
        <v>0</v>
      </c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>
        <f t="shared" si="27"/>
        <v>0</v>
      </c>
      <c r="X104" s="35"/>
      <c r="Y104" s="35" t="s">
        <v>130</v>
      </c>
      <c r="Z104" s="55"/>
      <c r="AA104" s="35" t="s">
        <v>66</v>
      </c>
      <c r="AB104" s="35"/>
      <c r="AC104" s="35"/>
      <c r="AD104" s="35"/>
      <c r="AE104" s="35"/>
      <c r="AF104" s="35"/>
      <c r="AG104" s="35"/>
      <c r="AH104" s="35"/>
      <c r="AI104" s="45">
        <f t="shared" si="25"/>
        <v>0</v>
      </c>
      <c r="AJ104" s="45"/>
      <c r="AK104" s="35"/>
      <c r="AL104" s="35"/>
      <c r="AM104" s="35"/>
      <c r="AN104" s="35"/>
      <c r="AO104" s="35"/>
      <c r="AP104" s="35"/>
      <c r="AQ104" s="35"/>
      <c r="AR104" s="35"/>
      <c r="AS104" s="45">
        <f t="shared" si="17"/>
        <v>0</v>
      </c>
      <c r="AT104" s="45"/>
      <c r="AU104" s="35">
        <v>0</v>
      </c>
      <c r="AV104" s="35"/>
      <c r="AW104" s="35">
        <v>0</v>
      </c>
      <c r="AX104" s="35"/>
      <c r="AY104" s="35">
        <f t="shared" si="26"/>
        <v>0</v>
      </c>
      <c r="AZ104" s="35"/>
      <c r="BA104" s="35" t="s">
        <v>130</v>
      </c>
      <c r="BB104" s="55"/>
      <c r="BC104" s="35" t="s">
        <v>66</v>
      </c>
      <c r="BD104" s="35"/>
      <c r="BE104" s="35"/>
      <c r="BF104" s="35"/>
      <c r="BG104" s="35"/>
      <c r="BH104" s="35"/>
      <c r="BI104" s="35"/>
      <c r="BJ104" s="35"/>
      <c r="BK104" s="35"/>
      <c r="BL104" s="35"/>
      <c r="BM104" s="35">
        <f t="shared" si="30"/>
        <v>0</v>
      </c>
      <c r="BN104" s="54" t="s">
        <v>347</v>
      </c>
    </row>
    <row r="105" spans="1:67" hidden="1" x14ac:dyDescent="0.2">
      <c r="A105" s="35" t="s">
        <v>131</v>
      </c>
      <c r="C105" s="35" t="s">
        <v>13</v>
      </c>
      <c r="D105" s="35"/>
      <c r="E105" s="35">
        <f t="shared" si="28"/>
        <v>0</v>
      </c>
      <c r="F105" s="35"/>
      <c r="G105" s="35"/>
      <c r="H105" s="35"/>
      <c r="I105" s="35"/>
      <c r="J105" s="35"/>
      <c r="K105" s="35">
        <f t="shared" si="29"/>
        <v>0</v>
      </c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>
        <f t="shared" si="27"/>
        <v>0</v>
      </c>
      <c r="X105" s="35"/>
      <c r="Y105" s="35" t="s">
        <v>131</v>
      </c>
      <c r="Z105" s="55"/>
      <c r="AA105" s="35" t="s">
        <v>13</v>
      </c>
      <c r="AB105" s="35"/>
      <c r="AC105" s="35"/>
      <c r="AD105" s="35"/>
      <c r="AE105" s="35"/>
      <c r="AF105" s="35"/>
      <c r="AG105" s="35"/>
      <c r="AH105" s="35"/>
      <c r="AI105" s="45">
        <f t="shared" si="25"/>
        <v>0</v>
      </c>
      <c r="AJ105" s="45"/>
      <c r="AK105" s="35"/>
      <c r="AL105" s="35"/>
      <c r="AM105" s="35"/>
      <c r="AN105" s="35"/>
      <c r="AO105" s="35"/>
      <c r="AP105" s="35"/>
      <c r="AQ105" s="35"/>
      <c r="AR105" s="35"/>
      <c r="AS105" s="45">
        <f t="shared" ref="AS105:AS170" si="31">+AI105+AK105+AM105-AO105+AQ105</f>
        <v>0</v>
      </c>
      <c r="AT105" s="45"/>
      <c r="AU105" s="35">
        <v>0</v>
      </c>
      <c r="AV105" s="35"/>
      <c r="AW105" s="35">
        <v>0</v>
      </c>
      <c r="AX105" s="35"/>
      <c r="AY105" s="35">
        <f t="shared" si="26"/>
        <v>0</v>
      </c>
      <c r="AZ105" s="35"/>
      <c r="BA105" s="35" t="s">
        <v>131</v>
      </c>
      <c r="BB105" s="55"/>
      <c r="BC105" s="35" t="s">
        <v>13</v>
      </c>
      <c r="BD105" s="35"/>
      <c r="BE105" s="35"/>
      <c r="BF105" s="35"/>
      <c r="BG105" s="35"/>
      <c r="BH105" s="35"/>
      <c r="BI105" s="35"/>
      <c r="BJ105" s="35"/>
      <c r="BK105" s="35"/>
      <c r="BL105" s="35"/>
      <c r="BM105" s="35">
        <f t="shared" si="30"/>
        <v>0</v>
      </c>
      <c r="BN105" s="54" t="s">
        <v>347</v>
      </c>
    </row>
    <row r="106" spans="1:67" hidden="1" x14ac:dyDescent="0.2">
      <c r="A106" s="35" t="s">
        <v>38</v>
      </c>
      <c r="C106" s="35" t="s">
        <v>132</v>
      </c>
      <c r="D106" s="35"/>
      <c r="E106" s="35">
        <f t="shared" si="28"/>
        <v>0</v>
      </c>
      <c r="F106" s="35"/>
      <c r="G106" s="35"/>
      <c r="H106" s="35"/>
      <c r="I106" s="35"/>
      <c r="J106" s="35"/>
      <c r="K106" s="35">
        <f t="shared" si="29"/>
        <v>0</v>
      </c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>
        <f t="shared" si="27"/>
        <v>0</v>
      </c>
      <c r="X106" s="35"/>
      <c r="Y106" s="35" t="s">
        <v>38</v>
      </c>
      <c r="Z106" s="55"/>
      <c r="AA106" s="35" t="s">
        <v>132</v>
      </c>
      <c r="AB106" s="35"/>
      <c r="AC106" s="35"/>
      <c r="AD106" s="35"/>
      <c r="AE106" s="35"/>
      <c r="AF106" s="35"/>
      <c r="AG106" s="35"/>
      <c r="AH106" s="35"/>
      <c r="AI106" s="45">
        <f t="shared" si="25"/>
        <v>0</v>
      </c>
      <c r="AJ106" s="45"/>
      <c r="AK106" s="35"/>
      <c r="AL106" s="35"/>
      <c r="AM106" s="35"/>
      <c r="AN106" s="35"/>
      <c r="AO106" s="35"/>
      <c r="AP106" s="35"/>
      <c r="AQ106" s="35"/>
      <c r="AR106" s="35"/>
      <c r="AS106" s="45">
        <f t="shared" si="31"/>
        <v>0</v>
      </c>
      <c r="AT106" s="45"/>
      <c r="AU106" s="35">
        <v>0</v>
      </c>
      <c r="AV106" s="35"/>
      <c r="AW106" s="35">
        <v>0</v>
      </c>
      <c r="AX106" s="35"/>
      <c r="AY106" s="35">
        <f t="shared" si="26"/>
        <v>0</v>
      </c>
      <c r="AZ106" s="35"/>
      <c r="BA106" s="35" t="s">
        <v>38</v>
      </c>
      <c r="BB106" s="55"/>
      <c r="BC106" s="35" t="s">
        <v>132</v>
      </c>
      <c r="BD106" s="35"/>
      <c r="BE106" s="35"/>
      <c r="BF106" s="35"/>
      <c r="BG106" s="35"/>
      <c r="BH106" s="35"/>
      <c r="BI106" s="35"/>
      <c r="BJ106" s="35"/>
      <c r="BK106" s="35"/>
      <c r="BL106" s="35"/>
      <c r="BM106" s="35">
        <f t="shared" si="30"/>
        <v>0</v>
      </c>
      <c r="BN106" s="54" t="s">
        <v>347</v>
      </c>
    </row>
    <row r="107" spans="1:67" hidden="1" x14ac:dyDescent="0.2">
      <c r="A107" s="35" t="s">
        <v>133</v>
      </c>
      <c r="C107" s="35" t="s">
        <v>27</v>
      </c>
      <c r="D107" s="35"/>
      <c r="E107" s="35">
        <f t="shared" si="28"/>
        <v>0</v>
      </c>
      <c r="F107" s="35"/>
      <c r="G107" s="35"/>
      <c r="H107" s="35"/>
      <c r="I107" s="35"/>
      <c r="J107" s="35"/>
      <c r="K107" s="35">
        <f t="shared" si="29"/>
        <v>0</v>
      </c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>
        <f t="shared" si="27"/>
        <v>0</v>
      </c>
      <c r="X107" s="35"/>
      <c r="Y107" s="35" t="s">
        <v>133</v>
      </c>
      <c r="Z107" s="55"/>
      <c r="AA107" s="35" t="s">
        <v>27</v>
      </c>
      <c r="AB107" s="35"/>
      <c r="AC107" s="35"/>
      <c r="AD107" s="35"/>
      <c r="AE107" s="35"/>
      <c r="AF107" s="35"/>
      <c r="AG107" s="35"/>
      <c r="AH107" s="35"/>
      <c r="AI107" s="45">
        <f t="shared" si="25"/>
        <v>0</v>
      </c>
      <c r="AJ107" s="45"/>
      <c r="AK107" s="35"/>
      <c r="AL107" s="35"/>
      <c r="AM107" s="35"/>
      <c r="AN107" s="35"/>
      <c r="AO107" s="35"/>
      <c r="AP107" s="35"/>
      <c r="AQ107" s="35"/>
      <c r="AR107" s="35"/>
      <c r="AS107" s="45">
        <f t="shared" si="31"/>
        <v>0</v>
      </c>
      <c r="AT107" s="45"/>
      <c r="AU107" s="35">
        <v>0</v>
      </c>
      <c r="AV107" s="35"/>
      <c r="AW107" s="35">
        <v>0</v>
      </c>
      <c r="AX107" s="35"/>
      <c r="AY107" s="35">
        <f t="shared" si="26"/>
        <v>0</v>
      </c>
      <c r="AZ107" s="35"/>
      <c r="BA107" s="35" t="s">
        <v>133</v>
      </c>
      <c r="BB107" s="55"/>
      <c r="BC107" s="35" t="s">
        <v>27</v>
      </c>
      <c r="BD107" s="35"/>
      <c r="BE107" s="35"/>
      <c r="BF107" s="35"/>
      <c r="BG107" s="35"/>
      <c r="BH107" s="35"/>
      <c r="BI107" s="35"/>
      <c r="BJ107" s="35"/>
      <c r="BK107" s="35"/>
      <c r="BL107" s="35"/>
      <c r="BM107" s="35">
        <f t="shared" si="30"/>
        <v>0</v>
      </c>
      <c r="BN107" s="54" t="s">
        <v>347</v>
      </c>
    </row>
    <row r="108" spans="1:67" ht="12" x14ac:dyDescent="0.2">
      <c r="A108" s="35" t="s">
        <v>134</v>
      </c>
      <c r="B108" s="55"/>
      <c r="C108" s="35" t="s">
        <v>135</v>
      </c>
      <c r="D108" s="35"/>
      <c r="E108" s="35">
        <f t="shared" si="28"/>
        <v>176342</v>
      </c>
      <c r="F108" s="35"/>
      <c r="G108" s="35">
        <v>45712</v>
      </c>
      <c r="H108" s="35"/>
      <c r="I108" s="35">
        <v>222054</v>
      </c>
      <c r="J108" s="35"/>
      <c r="K108" s="35">
        <f t="shared" si="29"/>
        <v>63473</v>
      </c>
      <c r="L108" s="35"/>
      <c r="M108" s="35">
        <v>16938</v>
      </c>
      <c r="N108" s="35"/>
      <c r="O108" s="35">
        <v>80411</v>
      </c>
      <c r="P108" s="35"/>
      <c r="Q108" s="35">
        <v>45161</v>
      </c>
      <c r="R108" s="35"/>
      <c r="S108" s="35">
        <v>0</v>
      </c>
      <c r="T108" s="35"/>
      <c r="U108" s="35">
        <v>96482</v>
      </c>
      <c r="V108" s="35"/>
      <c r="W108" s="35">
        <f t="shared" si="27"/>
        <v>141643</v>
      </c>
      <c r="X108" s="35"/>
      <c r="Y108" s="35" t="s">
        <v>134</v>
      </c>
      <c r="Z108" s="55"/>
      <c r="AA108" s="35" t="s">
        <v>135</v>
      </c>
      <c r="AB108" s="35"/>
      <c r="AC108" s="35">
        <v>691765</v>
      </c>
      <c r="AD108" s="35"/>
      <c r="AE108" s="35">
        <v>685789</v>
      </c>
      <c r="AF108" s="35"/>
      <c r="AG108" s="35">
        <v>0</v>
      </c>
      <c r="AH108" s="35"/>
      <c r="AI108" s="45">
        <f t="shared" si="25"/>
        <v>5976</v>
      </c>
      <c r="AJ108" s="45"/>
      <c r="AK108" s="35">
        <v>6856</v>
      </c>
      <c r="AL108" s="35"/>
      <c r="AM108" s="35">
        <v>50000</v>
      </c>
      <c r="AN108" s="35"/>
      <c r="AO108" s="35">
        <v>0</v>
      </c>
      <c r="AP108" s="35"/>
      <c r="AQ108" s="35">
        <v>0</v>
      </c>
      <c r="AR108" s="35"/>
      <c r="AS108" s="45">
        <f t="shared" si="31"/>
        <v>62832</v>
      </c>
      <c r="AT108" s="45"/>
      <c r="AU108" s="35"/>
      <c r="AV108" s="35"/>
      <c r="AW108" s="35"/>
      <c r="AX108" s="35"/>
      <c r="AY108" s="35">
        <f t="shared" si="26"/>
        <v>112869</v>
      </c>
      <c r="AZ108" s="35"/>
      <c r="BA108" s="35" t="s">
        <v>134</v>
      </c>
      <c r="BB108" s="55"/>
      <c r="BC108" s="35" t="s">
        <v>135</v>
      </c>
      <c r="BD108" s="35"/>
      <c r="BE108" s="35">
        <v>0</v>
      </c>
      <c r="BF108" s="35"/>
      <c r="BG108" s="35">
        <v>0</v>
      </c>
      <c r="BH108" s="35"/>
      <c r="BI108" s="35">
        <v>0</v>
      </c>
      <c r="BJ108" s="35"/>
      <c r="BK108" s="35">
        <f>16938+17815</f>
        <v>34753</v>
      </c>
      <c r="BL108" s="35"/>
      <c r="BM108" s="35">
        <f t="shared" si="30"/>
        <v>34753</v>
      </c>
      <c r="BN108" s="54"/>
    </row>
    <row r="109" spans="1:67" hidden="1" x14ac:dyDescent="0.2">
      <c r="A109" s="35" t="s">
        <v>136</v>
      </c>
      <c r="C109" s="35" t="s">
        <v>136</v>
      </c>
      <c r="D109" s="35"/>
      <c r="E109" s="35">
        <f t="shared" si="28"/>
        <v>0</v>
      </c>
      <c r="F109" s="35"/>
      <c r="G109" s="35"/>
      <c r="H109" s="35"/>
      <c r="I109" s="35"/>
      <c r="J109" s="35"/>
      <c r="K109" s="35">
        <f t="shared" si="29"/>
        <v>0</v>
      </c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>
        <f t="shared" si="27"/>
        <v>0</v>
      </c>
      <c r="X109" s="35"/>
      <c r="Y109" s="35" t="s">
        <v>136</v>
      </c>
      <c r="Z109" s="55"/>
      <c r="AA109" s="35" t="s">
        <v>136</v>
      </c>
      <c r="AB109" s="35"/>
      <c r="AC109" s="35"/>
      <c r="AD109" s="35"/>
      <c r="AE109" s="35"/>
      <c r="AF109" s="35"/>
      <c r="AG109" s="35"/>
      <c r="AH109" s="35"/>
      <c r="AI109" s="45">
        <f t="shared" si="25"/>
        <v>0</v>
      </c>
      <c r="AJ109" s="45"/>
      <c r="AK109" s="35"/>
      <c r="AL109" s="35"/>
      <c r="AM109" s="35"/>
      <c r="AN109" s="35"/>
      <c r="AO109" s="35"/>
      <c r="AP109" s="35"/>
      <c r="AQ109" s="35"/>
      <c r="AR109" s="35"/>
      <c r="AS109" s="45">
        <f t="shared" si="31"/>
        <v>0</v>
      </c>
      <c r="AT109" s="45"/>
      <c r="AU109" s="35">
        <v>0</v>
      </c>
      <c r="AV109" s="35"/>
      <c r="AW109" s="35">
        <v>0</v>
      </c>
      <c r="AX109" s="35"/>
      <c r="AY109" s="35">
        <f t="shared" si="26"/>
        <v>0</v>
      </c>
      <c r="AZ109" s="35"/>
      <c r="BA109" s="35" t="s">
        <v>136</v>
      </c>
      <c r="BB109" s="55"/>
      <c r="BC109" s="35" t="s">
        <v>136</v>
      </c>
      <c r="BD109" s="35"/>
      <c r="BE109" s="35"/>
      <c r="BF109" s="35"/>
      <c r="BG109" s="35"/>
      <c r="BH109" s="35"/>
      <c r="BI109" s="35"/>
      <c r="BJ109" s="35"/>
      <c r="BK109" s="35"/>
      <c r="BL109" s="35"/>
      <c r="BM109" s="35">
        <f t="shared" si="30"/>
        <v>0</v>
      </c>
      <c r="BN109" s="54" t="s">
        <v>347</v>
      </c>
    </row>
    <row r="110" spans="1:67" x14ac:dyDescent="0.2">
      <c r="A110" s="35" t="s">
        <v>137</v>
      </c>
      <c r="C110" s="35" t="s">
        <v>22</v>
      </c>
      <c r="D110" s="35"/>
      <c r="E110" s="35">
        <f t="shared" si="28"/>
        <v>288360</v>
      </c>
      <c r="F110" s="35"/>
      <c r="G110" s="35">
        <v>775</v>
      </c>
      <c r="H110" s="35"/>
      <c r="I110" s="35">
        <v>289135</v>
      </c>
      <c r="J110" s="35"/>
      <c r="K110" s="35">
        <f t="shared" si="29"/>
        <v>512651</v>
      </c>
      <c r="L110" s="35"/>
      <c r="M110" s="35">
        <v>450</v>
      </c>
      <c r="N110" s="35"/>
      <c r="O110" s="35">
        <v>513101</v>
      </c>
      <c r="P110" s="35"/>
      <c r="Q110" s="35">
        <v>775</v>
      </c>
      <c r="R110" s="35"/>
      <c r="S110" s="35">
        <v>0</v>
      </c>
      <c r="T110" s="35"/>
      <c r="U110" s="35">
        <v>-224741</v>
      </c>
      <c r="V110" s="35"/>
      <c r="W110" s="35">
        <f t="shared" ref="W110:W141" si="32">SUM(Q110:U110)</f>
        <v>-223966</v>
      </c>
      <c r="X110" s="35"/>
      <c r="Y110" s="35" t="s">
        <v>137</v>
      </c>
      <c r="Z110" s="55"/>
      <c r="AA110" s="35" t="s">
        <v>22</v>
      </c>
      <c r="AB110" s="35"/>
      <c r="AC110" s="35">
        <v>424599</v>
      </c>
      <c r="AD110" s="35"/>
      <c r="AE110" s="35">
        <f>431280-222</f>
        <v>431058</v>
      </c>
      <c r="AF110" s="35"/>
      <c r="AG110" s="35">
        <v>222</v>
      </c>
      <c r="AH110" s="35"/>
      <c r="AI110" s="45">
        <f t="shared" si="25"/>
        <v>-6681</v>
      </c>
      <c r="AJ110" s="45"/>
      <c r="AK110" s="35">
        <v>12500</v>
      </c>
      <c r="AL110" s="35"/>
      <c r="AM110" s="35">
        <v>140000</v>
      </c>
      <c r="AN110" s="35"/>
      <c r="AO110" s="35">
        <v>0</v>
      </c>
      <c r="AP110" s="35"/>
      <c r="AQ110" s="35">
        <v>0</v>
      </c>
      <c r="AR110" s="35"/>
      <c r="AS110" s="45">
        <f t="shared" si="31"/>
        <v>145819</v>
      </c>
      <c r="AT110" s="45"/>
      <c r="AU110" s="35">
        <v>0</v>
      </c>
      <c r="AV110" s="35"/>
      <c r="AW110" s="35">
        <v>0</v>
      </c>
      <c r="AX110" s="35"/>
      <c r="AY110" s="35">
        <f t="shared" si="26"/>
        <v>-224291</v>
      </c>
      <c r="AZ110" s="35"/>
      <c r="BA110" s="35" t="s">
        <v>137</v>
      </c>
      <c r="BB110" s="55"/>
      <c r="BC110" s="35" t="s">
        <v>22</v>
      </c>
      <c r="BD110" s="35"/>
      <c r="BE110" s="35">
        <v>0</v>
      </c>
      <c r="BF110" s="35"/>
      <c r="BG110" s="35">
        <v>0</v>
      </c>
      <c r="BH110" s="35"/>
      <c r="BI110" s="35">
        <v>0</v>
      </c>
      <c r="BJ110" s="35"/>
      <c r="BK110" s="35">
        <f>450+3487</f>
        <v>3937</v>
      </c>
      <c r="BL110" s="35"/>
      <c r="BM110" s="35">
        <f t="shared" si="30"/>
        <v>3937</v>
      </c>
      <c r="BN110" s="54" t="s">
        <v>347</v>
      </c>
    </row>
    <row r="111" spans="1:67" hidden="1" x14ac:dyDescent="0.2">
      <c r="A111" s="35" t="s">
        <v>138</v>
      </c>
      <c r="C111" s="35" t="s">
        <v>139</v>
      </c>
      <c r="D111" s="35"/>
      <c r="E111" s="35">
        <f t="shared" si="28"/>
        <v>0</v>
      </c>
      <c r="F111" s="35"/>
      <c r="G111" s="35"/>
      <c r="H111" s="35"/>
      <c r="I111" s="35"/>
      <c r="J111" s="35"/>
      <c r="K111" s="35">
        <f t="shared" si="29"/>
        <v>0</v>
      </c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>
        <f t="shared" si="32"/>
        <v>0</v>
      </c>
      <c r="X111" s="35"/>
      <c r="Y111" s="35" t="s">
        <v>138</v>
      </c>
      <c r="Z111" s="55"/>
      <c r="AA111" s="35" t="s">
        <v>139</v>
      </c>
      <c r="AB111" s="35"/>
      <c r="AC111" s="35"/>
      <c r="AD111" s="35"/>
      <c r="AE111" s="35"/>
      <c r="AF111" s="35"/>
      <c r="AG111" s="35"/>
      <c r="AH111" s="35"/>
      <c r="AI111" s="45">
        <f t="shared" si="25"/>
        <v>0</v>
      </c>
      <c r="AJ111" s="45"/>
      <c r="AK111" s="35"/>
      <c r="AL111" s="35"/>
      <c r="AM111" s="35"/>
      <c r="AN111" s="35"/>
      <c r="AO111" s="35"/>
      <c r="AP111" s="35"/>
      <c r="AQ111" s="35"/>
      <c r="AR111" s="35"/>
      <c r="AS111" s="45">
        <f t="shared" si="31"/>
        <v>0</v>
      </c>
      <c r="AT111" s="45"/>
      <c r="AU111" s="35">
        <v>0</v>
      </c>
      <c r="AV111" s="35"/>
      <c r="AW111" s="35">
        <v>0</v>
      </c>
      <c r="AX111" s="35"/>
      <c r="AY111" s="35">
        <f t="shared" si="26"/>
        <v>0</v>
      </c>
      <c r="AZ111" s="35"/>
      <c r="BA111" s="35" t="s">
        <v>138</v>
      </c>
      <c r="BB111" s="55"/>
      <c r="BC111" s="35" t="s">
        <v>139</v>
      </c>
      <c r="BD111" s="35"/>
      <c r="BE111" s="35"/>
      <c r="BF111" s="35"/>
      <c r="BG111" s="35"/>
      <c r="BH111" s="35"/>
      <c r="BI111" s="35"/>
      <c r="BJ111" s="35"/>
      <c r="BK111" s="35"/>
      <c r="BL111" s="35"/>
      <c r="BM111" s="35">
        <f t="shared" si="30"/>
        <v>0</v>
      </c>
      <c r="BN111" s="54" t="s">
        <v>347</v>
      </c>
    </row>
    <row r="112" spans="1:67" hidden="1" x14ac:dyDescent="0.2">
      <c r="A112" s="35" t="s">
        <v>140</v>
      </c>
      <c r="C112" s="35" t="s">
        <v>66</v>
      </c>
      <c r="D112" s="35"/>
      <c r="E112" s="35">
        <f t="shared" si="28"/>
        <v>0</v>
      </c>
      <c r="F112" s="35"/>
      <c r="G112" s="35"/>
      <c r="H112" s="35"/>
      <c r="I112" s="35"/>
      <c r="J112" s="35"/>
      <c r="K112" s="35">
        <f t="shared" si="29"/>
        <v>0</v>
      </c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>
        <f t="shared" si="32"/>
        <v>0</v>
      </c>
      <c r="X112" s="35"/>
      <c r="Y112" s="35" t="s">
        <v>140</v>
      </c>
      <c r="Z112" s="55"/>
      <c r="AA112" s="35" t="s">
        <v>66</v>
      </c>
      <c r="AB112" s="35"/>
      <c r="AC112" s="35"/>
      <c r="AD112" s="35"/>
      <c r="AE112" s="35"/>
      <c r="AF112" s="35"/>
      <c r="AG112" s="35"/>
      <c r="AH112" s="35"/>
      <c r="AI112" s="45">
        <f t="shared" si="25"/>
        <v>0</v>
      </c>
      <c r="AJ112" s="45"/>
      <c r="AK112" s="35"/>
      <c r="AL112" s="35"/>
      <c r="AM112" s="35"/>
      <c r="AN112" s="35"/>
      <c r="AO112" s="35"/>
      <c r="AP112" s="35"/>
      <c r="AQ112" s="35"/>
      <c r="AR112" s="35"/>
      <c r="AS112" s="45">
        <f t="shared" si="31"/>
        <v>0</v>
      </c>
      <c r="AT112" s="45"/>
      <c r="AU112" s="35">
        <v>0</v>
      </c>
      <c r="AV112" s="35"/>
      <c r="AW112" s="35">
        <v>0</v>
      </c>
      <c r="AX112" s="35"/>
      <c r="AY112" s="35">
        <f t="shared" si="26"/>
        <v>0</v>
      </c>
      <c r="AZ112" s="35"/>
      <c r="BA112" s="35" t="s">
        <v>140</v>
      </c>
      <c r="BB112" s="55"/>
      <c r="BC112" s="35" t="s">
        <v>66</v>
      </c>
      <c r="BD112" s="35"/>
      <c r="BE112" s="35"/>
      <c r="BF112" s="35"/>
      <c r="BG112" s="35"/>
      <c r="BH112" s="35"/>
      <c r="BI112" s="35"/>
      <c r="BJ112" s="35"/>
      <c r="BK112" s="35"/>
      <c r="BL112" s="35"/>
      <c r="BM112" s="35">
        <f t="shared" si="30"/>
        <v>0</v>
      </c>
      <c r="BN112" s="54" t="s">
        <v>347</v>
      </c>
    </row>
    <row r="113" spans="1:67" hidden="1" x14ac:dyDescent="0.2">
      <c r="A113" s="35" t="s">
        <v>141</v>
      </c>
      <c r="C113" s="35" t="s">
        <v>27</v>
      </c>
      <c r="D113" s="35"/>
      <c r="E113" s="35">
        <f t="shared" si="28"/>
        <v>0</v>
      </c>
      <c r="F113" s="35"/>
      <c r="G113" s="35"/>
      <c r="H113" s="35"/>
      <c r="I113" s="35"/>
      <c r="J113" s="35"/>
      <c r="K113" s="35">
        <f t="shared" si="29"/>
        <v>0</v>
      </c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>
        <f t="shared" si="32"/>
        <v>0</v>
      </c>
      <c r="X113" s="35"/>
      <c r="Y113" s="35" t="s">
        <v>141</v>
      </c>
      <c r="Z113" s="55"/>
      <c r="AA113" s="35" t="s">
        <v>27</v>
      </c>
      <c r="AB113" s="35"/>
      <c r="AC113" s="35"/>
      <c r="AD113" s="35"/>
      <c r="AE113" s="35"/>
      <c r="AF113" s="35"/>
      <c r="AG113" s="35"/>
      <c r="AH113" s="35"/>
      <c r="AI113" s="45">
        <f t="shared" si="25"/>
        <v>0</v>
      </c>
      <c r="AJ113" s="45"/>
      <c r="AK113" s="35"/>
      <c r="AL113" s="35"/>
      <c r="AM113" s="35"/>
      <c r="AN113" s="35"/>
      <c r="AO113" s="35"/>
      <c r="AP113" s="35"/>
      <c r="AQ113" s="35"/>
      <c r="AR113" s="35"/>
      <c r="AS113" s="45">
        <f t="shared" si="31"/>
        <v>0</v>
      </c>
      <c r="AT113" s="45"/>
      <c r="AU113" s="35">
        <v>0</v>
      </c>
      <c r="AV113" s="35"/>
      <c r="AW113" s="35">
        <v>0</v>
      </c>
      <c r="AX113" s="35"/>
      <c r="AY113" s="35">
        <f t="shared" si="26"/>
        <v>0</v>
      </c>
      <c r="AZ113" s="35"/>
      <c r="BA113" s="35" t="s">
        <v>141</v>
      </c>
      <c r="BB113" s="55"/>
      <c r="BC113" s="35" t="s">
        <v>27</v>
      </c>
      <c r="BD113" s="35"/>
      <c r="BE113" s="35"/>
      <c r="BF113" s="35"/>
      <c r="BG113" s="35"/>
      <c r="BH113" s="35"/>
      <c r="BI113" s="35"/>
      <c r="BJ113" s="35"/>
      <c r="BK113" s="35"/>
      <c r="BL113" s="35"/>
      <c r="BM113" s="35">
        <f t="shared" si="30"/>
        <v>0</v>
      </c>
      <c r="BN113" s="54" t="s">
        <v>347</v>
      </c>
      <c r="BO113" s="55" t="s">
        <v>372</v>
      </c>
    </row>
    <row r="114" spans="1:67" x14ac:dyDescent="0.2">
      <c r="A114" s="35" t="s">
        <v>142</v>
      </c>
      <c r="C114" s="35" t="s">
        <v>102</v>
      </c>
      <c r="D114" s="35"/>
      <c r="E114" s="35">
        <f t="shared" si="28"/>
        <v>2840349</v>
      </c>
      <c r="F114" s="35"/>
      <c r="G114" s="35">
        <v>1850050</v>
      </c>
      <c r="H114" s="35"/>
      <c r="I114" s="35">
        <v>4690399</v>
      </c>
      <c r="J114" s="35"/>
      <c r="K114" s="35">
        <f t="shared" si="29"/>
        <v>582987</v>
      </c>
      <c r="L114" s="35"/>
      <c r="M114" s="35">
        <v>3187879</v>
      </c>
      <c r="N114" s="35"/>
      <c r="O114" s="35">
        <v>3770866</v>
      </c>
      <c r="P114" s="35"/>
      <c r="Q114" s="35">
        <v>1323346</v>
      </c>
      <c r="R114" s="35"/>
      <c r="S114" s="35">
        <v>0</v>
      </c>
      <c r="T114" s="35"/>
      <c r="U114" s="35">
        <v>-403813</v>
      </c>
      <c r="V114" s="35"/>
      <c r="W114" s="35">
        <f t="shared" si="32"/>
        <v>919533</v>
      </c>
      <c r="X114" s="35"/>
      <c r="Y114" s="35" t="s">
        <v>142</v>
      </c>
      <c r="Z114" s="55"/>
      <c r="AA114" s="35" t="s">
        <v>102</v>
      </c>
      <c r="AB114" s="35"/>
      <c r="AC114" s="35">
        <v>3583806</v>
      </c>
      <c r="AD114" s="35"/>
      <c r="AE114" s="35">
        <f>3349385-174374</f>
        <v>3175011</v>
      </c>
      <c r="AF114" s="35"/>
      <c r="AG114" s="35">
        <v>174374</v>
      </c>
      <c r="AH114" s="35"/>
      <c r="AI114" s="45">
        <f t="shared" si="25"/>
        <v>234421</v>
      </c>
      <c r="AJ114" s="45"/>
      <c r="AK114" s="35">
        <v>-70905</v>
      </c>
      <c r="AL114" s="35"/>
      <c r="AM114" s="35">
        <v>0</v>
      </c>
      <c r="AN114" s="35"/>
      <c r="AO114" s="35">
        <v>0</v>
      </c>
      <c r="AP114" s="35"/>
      <c r="AQ114" s="35">
        <v>0</v>
      </c>
      <c r="AR114" s="35"/>
      <c r="AS114" s="45">
        <f t="shared" si="31"/>
        <v>163516</v>
      </c>
      <c r="AT114" s="45"/>
      <c r="AU114" s="35">
        <v>0</v>
      </c>
      <c r="AV114" s="35"/>
      <c r="AW114" s="35">
        <v>0</v>
      </c>
      <c r="AX114" s="35"/>
      <c r="AY114" s="35">
        <f t="shared" si="26"/>
        <v>2257362</v>
      </c>
      <c r="AZ114" s="35"/>
      <c r="BA114" s="35" t="s">
        <v>142</v>
      </c>
      <c r="BB114" s="55"/>
      <c r="BC114" s="35" t="s">
        <v>102</v>
      </c>
      <c r="BD114" s="35"/>
      <c r="BE114" s="35">
        <v>0</v>
      </c>
      <c r="BF114" s="35"/>
      <c r="BG114" s="35">
        <v>0</v>
      </c>
      <c r="BH114" s="35"/>
      <c r="BI114" s="35">
        <f>1530880+221770</f>
        <v>1752650</v>
      </c>
      <c r="BJ114" s="35"/>
      <c r="BK114" s="35">
        <f>1363397+293602+76061+78600</f>
        <v>1811660</v>
      </c>
      <c r="BL114" s="35"/>
      <c r="BM114" s="35">
        <f t="shared" si="30"/>
        <v>3564310</v>
      </c>
      <c r="BN114" s="54" t="s">
        <v>347</v>
      </c>
      <c r="BO114" s="55" t="s">
        <v>372</v>
      </c>
    </row>
    <row r="115" spans="1:67" x14ac:dyDescent="0.2">
      <c r="A115" s="35" t="s">
        <v>143</v>
      </c>
      <c r="C115" s="35" t="s">
        <v>111</v>
      </c>
      <c r="D115" s="35"/>
      <c r="E115" s="35">
        <f t="shared" si="28"/>
        <v>4394151</v>
      </c>
      <c r="F115" s="35"/>
      <c r="G115" s="35">
        <v>25956186</v>
      </c>
      <c r="H115" s="35"/>
      <c r="I115" s="35">
        <v>30350337</v>
      </c>
      <c r="J115" s="35"/>
      <c r="K115" s="35">
        <f t="shared" si="29"/>
        <v>0</v>
      </c>
      <c r="L115" s="35"/>
      <c r="M115" s="35">
        <v>127689</v>
      </c>
      <c r="N115" s="35"/>
      <c r="O115" s="35">
        <v>127689</v>
      </c>
      <c r="P115" s="35"/>
      <c r="Q115" s="35">
        <v>125247</v>
      </c>
      <c r="R115" s="35"/>
      <c r="S115" s="35">
        <v>0</v>
      </c>
      <c r="T115" s="35"/>
      <c r="U115" s="35">
        <v>429569</v>
      </c>
      <c r="V115" s="35"/>
      <c r="W115" s="35">
        <f t="shared" si="32"/>
        <v>554816</v>
      </c>
      <c r="X115" s="35"/>
      <c r="Y115" s="35" t="s">
        <v>143</v>
      </c>
      <c r="Z115" s="55"/>
      <c r="AA115" s="35" t="s">
        <v>111</v>
      </c>
      <c r="AB115" s="35"/>
      <c r="AC115" s="35">
        <v>1555506</v>
      </c>
      <c r="AD115" s="35"/>
      <c r="AE115" s="35">
        <f>1503510-17810</f>
        <v>1485700</v>
      </c>
      <c r="AF115" s="35"/>
      <c r="AG115" s="35">
        <v>17810</v>
      </c>
      <c r="AH115" s="35"/>
      <c r="AI115" s="45">
        <f t="shared" ref="AI115" si="33">+AC115-AE115-AG115</f>
        <v>51996</v>
      </c>
      <c r="AJ115" s="45"/>
      <c r="AK115" s="35">
        <v>-2442</v>
      </c>
      <c r="AL115" s="35"/>
      <c r="AM115" s="35">
        <v>0</v>
      </c>
      <c r="AN115" s="35"/>
      <c r="AO115" s="35">
        <v>0</v>
      </c>
      <c r="AP115" s="35"/>
      <c r="AQ115" s="35">
        <v>0</v>
      </c>
      <c r="AR115" s="35"/>
      <c r="AS115" s="45">
        <f t="shared" ref="AS115" si="34">+AI115+AK115+AM115-AO115+AQ115</f>
        <v>49554</v>
      </c>
      <c r="AT115" s="45"/>
      <c r="AU115" s="35">
        <v>0</v>
      </c>
      <c r="AV115" s="35"/>
      <c r="AW115" s="35">
        <v>0</v>
      </c>
      <c r="AX115" s="35"/>
      <c r="AY115" s="35">
        <f t="shared" si="26"/>
        <v>4394151</v>
      </c>
      <c r="AZ115" s="35"/>
      <c r="BA115" s="35" t="s">
        <v>143</v>
      </c>
      <c r="BB115" s="55"/>
      <c r="BC115" s="35" t="s">
        <v>111</v>
      </c>
      <c r="BD115" s="35"/>
      <c r="BE115" s="35">
        <v>0</v>
      </c>
      <c r="BF115" s="35"/>
      <c r="BG115" s="35">
        <v>0</v>
      </c>
      <c r="BH115" s="35"/>
      <c r="BI115" s="35">
        <v>0</v>
      </c>
      <c r="BJ115" s="35"/>
      <c r="BK115" s="35">
        <f>8762+4223</f>
        <v>12985</v>
      </c>
      <c r="BL115" s="35"/>
      <c r="BM115" s="35">
        <f t="shared" si="30"/>
        <v>12985</v>
      </c>
      <c r="BN115" s="54" t="s">
        <v>347</v>
      </c>
      <c r="BO115" s="55" t="s">
        <v>315</v>
      </c>
    </row>
    <row r="116" spans="1:67" x14ac:dyDescent="0.2">
      <c r="A116" s="35" t="s">
        <v>144</v>
      </c>
      <c r="C116" s="35" t="s">
        <v>88</v>
      </c>
      <c r="D116" s="35"/>
      <c r="E116" s="35">
        <f t="shared" si="28"/>
        <v>1398701</v>
      </c>
      <c r="F116" s="35"/>
      <c r="G116" s="35">
        <v>0</v>
      </c>
      <c r="H116" s="35"/>
      <c r="I116" s="35">
        <v>1398701</v>
      </c>
      <c r="J116" s="35"/>
      <c r="K116" s="35">
        <f t="shared" si="29"/>
        <v>186542</v>
      </c>
      <c r="L116" s="35"/>
      <c r="M116" s="35">
        <v>15266</v>
      </c>
      <c r="N116" s="35"/>
      <c r="O116" s="35">
        <v>201808</v>
      </c>
      <c r="P116" s="35"/>
      <c r="Q116" s="35">
        <v>0</v>
      </c>
      <c r="R116" s="35"/>
      <c r="S116" s="35">
        <v>0</v>
      </c>
      <c r="T116" s="35"/>
      <c r="U116" s="35">
        <v>1196893</v>
      </c>
      <c r="V116" s="35"/>
      <c r="W116" s="35">
        <f t="shared" si="32"/>
        <v>1196893</v>
      </c>
      <c r="X116" s="35"/>
      <c r="Y116" s="35" t="s">
        <v>144</v>
      </c>
      <c r="Z116" s="55"/>
      <c r="AA116" s="35" t="s">
        <v>88</v>
      </c>
      <c r="AB116" s="35"/>
      <c r="AC116" s="35">
        <v>2757241</v>
      </c>
      <c r="AD116" s="35"/>
      <c r="AE116" s="35">
        <v>2747588</v>
      </c>
      <c r="AF116" s="35"/>
      <c r="AG116" s="35">
        <v>0</v>
      </c>
      <c r="AH116" s="35"/>
      <c r="AI116" s="45">
        <f t="shared" si="25"/>
        <v>9653</v>
      </c>
      <c r="AJ116" s="45"/>
      <c r="AK116" s="35">
        <v>0</v>
      </c>
      <c r="AL116" s="35"/>
      <c r="AM116" s="35">
        <v>0</v>
      </c>
      <c r="AN116" s="35"/>
      <c r="AO116" s="35">
        <v>0</v>
      </c>
      <c r="AP116" s="35"/>
      <c r="AQ116" s="35">
        <v>0</v>
      </c>
      <c r="AR116" s="35"/>
      <c r="AS116" s="45">
        <f t="shared" si="31"/>
        <v>9653</v>
      </c>
      <c r="AT116" s="45"/>
      <c r="AU116" s="35">
        <v>0</v>
      </c>
      <c r="AV116" s="35"/>
      <c r="AW116" s="35">
        <v>0</v>
      </c>
      <c r="AX116" s="35"/>
      <c r="AY116" s="35">
        <f t="shared" si="26"/>
        <v>1212159</v>
      </c>
      <c r="AZ116" s="35"/>
      <c r="BA116" s="35" t="s">
        <v>144</v>
      </c>
      <c r="BB116" s="55"/>
      <c r="BC116" s="35" t="s">
        <v>88</v>
      </c>
      <c r="BD116" s="35"/>
      <c r="BE116" s="35">
        <v>0</v>
      </c>
      <c r="BF116" s="35"/>
      <c r="BG116" s="35">
        <v>0</v>
      </c>
      <c r="BH116" s="35"/>
      <c r="BI116" s="35">
        <v>0</v>
      </c>
      <c r="BJ116" s="35"/>
      <c r="BK116" s="35">
        <v>15266</v>
      </c>
      <c r="BL116" s="35"/>
      <c r="BM116" s="35">
        <f t="shared" si="30"/>
        <v>15266</v>
      </c>
      <c r="BN116" s="54" t="s">
        <v>347</v>
      </c>
    </row>
    <row r="117" spans="1:67" hidden="1" x14ac:dyDescent="0.2">
      <c r="A117" s="35" t="s">
        <v>36</v>
      </c>
      <c r="C117" s="35" t="s">
        <v>145</v>
      </c>
      <c r="D117" s="35"/>
      <c r="E117" s="35">
        <f t="shared" si="28"/>
        <v>0</v>
      </c>
      <c r="F117" s="35"/>
      <c r="G117" s="35"/>
      <c r="H117" s="35"/>
      <c r="I117" s="35"/>
      <c r="J117" s="35"/>
      <c r="K117" s="35">
        <f t="shared" si="29"/>
        <v>0</v>
      </c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>
        <f t="shared" si="32"/>
        <v>0</v>
      </c>
      <c r="X117" s="35"/>
      <c r="Y117" s="35" t="s">
        <v>36</v>
      </c>
      <c r="Z117" s="55"/>
      <c r="AA117" s="35" t="s">
        <v>145</v>
      </c>
      <c r="AB117" s="35"/>
      <c r="AC117" s="35"/>
      <c r="AD117" s="35"/>
      <c r="AE117" s="35"/>
      <c r="AF117" s="35"/>
      <c r="AG117" s="35"/>
      <c r="AH117" s="35"/>
      <c r="AI117" s="45">
        <f t="shared" si="25"/>
        <v>0</v>
      </c>
      <c r="AJ117" s="45"/>
      <c r="AK117" s="35"/>
      <c r="AL117" s="35"/>
      <c r="AM117" s="35"/>
      <c r="AN117" s="35"/>
      <c r="AO117" s="35"/>
      <c r="AP117" s="35"/>
      <c r="AQ117" s="35"/>
      <c r="AR117" s="35"/>
      <c r="AS117" s="45">
        <f t="shared" si="31"/>
        <v>0</v>
      </c>
      <c r="AT117" s="45"/>
      <c r="AU117" s="35">
        <v>0</v>
      </c>
      <c r="AV117" s="35"/>
      <c r="AW117" s="35">
        <v>0</v>
      </c>
      <c r="AX117" s="35"/>
      <c r="AY117" s="35">
        <f t="shared" si="26"/>
        <v>0</v>
      </c>
      <c r="AZ117" s="35"/>
      <c r="BA117" s="35" t="s">
        <v>36</v>
      </c>
      <c r="BB117" s="55"/>
      <c r="BC117" s="35" t="s">
        <v>145</v>
      </c>
      <c r="BD117" s="35"/>
      <c r="BE117" s="35"/>
      <c r="BF117" s="35"/>
      <c r="BG117" s="35"/>
      <c r="BH117" s="35"/>
      <c r="BI117" s="35"/>
      <c r="BJ117" s="35"/>
      <c r="BK117" s="35"/>
      <c r="BL117" s="35"/>
      <c r="BM117" s="35">
        <f t="shared" si="30"/>
        <v>0</v>
      </c>
      <c r="BN117" s="54" t="s">
        <v>347</v>
      </c>
    </row>
    <row r="118" spans="1:67" x14ac:dyDescent="0.2">
      <c r="A118" s="35" t="s">
        <v>146</v>
      </c>
      <c r="C118" s="35" t="s">
        <v>147</v>
      </c>
      <c r="D118" s="35"/>
      <c r="E118" s="35">
        <f t="shared" si="28"/>
        <v>1003002</v>
      </c>
      <c r="F118" s="35"/>
      <c r="G118" s="35">
        <v>701752</v>
      </c>
      <c r="H118" s="35"/>
      <c r="I118" s="35">
        <v>1704754</v>
      </c>
      <c r="J118" s="35"/>
      <c r="K118" s="35">
        <f t="shared" si="29"/>
        <v>81333</v>
      </c>
      <c r="L118" s="35"/>
      <c r="M118" s="35">
        <v>8304</v>
      </c>
      <c r="N118" s="35"/>
      <c r="O118" s="35">
        <v>89637</v>
      </c>
      <c r="P118" s="35"/>
      <c r="Q118" s="35">
        <v>680889</v>
      </c>
      <c r="R118" s="35"/>
      <c r="S118" s="35">
        <v>0</v>
      </c>
      <c r="T118" s="35"/>
      <c r="U118" s="35">
        <v>934228</v>
      </c>
      <c r="V118" s="35"/>
      <c r="W118" s="35">
        <f t="shared" si="32"/>
        <v>1615117</v>
      </c>
      <c r="X118" s="35"/>
      <c r="Y118" s="35" t="s">
        <v>146</v>
      </c>
      <c r="Z118" s="55"/>
      <c r="AA118" s="35" t="s">
        <v>147</v>
      </c>
      <c r="AB118" s="35"/>
      <c r="AC118" s="35">
        <v>908038</v>
      </c>
      <c r="AD118" s="35"/>
      <c r="AE118" s="35">
        <f>909521-60574</f>
        <v>848947</v>
      </c>
      <c r="AF118" s="35"/>
      <c r="AG118" s="35">
        <v>60574</v>
      </c>
      <c r="AH118" s="35"/>
      <c r="AI118" s="45">
        <f t="shared" si="25"/>
        <v>-1483</v>
      </c>
      <c r="AJ118" s="45"/>
      <c r="AK118" s="35">
        <v>-1562</v>
      </c>
      <c r="AL118" s="35"/>
      <c r="AM118" s="35">
        <v>0</v>
      </c>
      <c r="AN118" s="35"/>
      <c r="AO118" s="35">
        <v>0</v>
      </c>
      <c r="AP118" s="35"/>
      <c r="AQ118" s="35">
        <v>0</v>
      </c>
      <c r="AR118" s="35"/>
      <c r="AS118" s="45">
        <f t="shared" si="31"/>
        <v>-3045</v>
      </c>
      <c r="AT118" s="45"/>
      <c r="AU118" s="35">
        <v>0</v>
      </c>
      <c r="AV118" s="35"/>
      <c r="AW118" s="35">
        <v>0</v>
      </c>
      <c r="AX118" s="35"/>
      <c r="AY118" s="35">
        <f t="shared" si="26"/>
        <v>921669</v>
      </c>
      <c r="AZ118" s="35"/>
      <c r="BA118" s="35" t="s">
        <v>146</v>
      </c>
      <c r="BB118" s="55"/>
      <c r="BC118" s="35" t="s">
        <v>147</v>
      </c>
      <c r="BD118" s="35"/>
      <c r="BE118" s="35">
        <v>0</v>
      </c>
      <c r="BF118" s="35"/>
      <c r="BG118" s="35">
        <v>0</v>
      </c>
      <c r="BH118" s="35"/>
      <c r="BI118" s="35">
        <v>0</v>
      </c>
      <c r="BJ118" s="35"/>
      <c r="BK118" s="35">
        <f>8304+8386</f>
        <v>16690</v>
      </c>
      <c r="BL118" s="35"/>
      <c r="BM118" s="35">
        <f t="shared" si="30"/>
        <v>16690</v>
      </c>
      <c r="BN118" s="54" t="s">
        <v>347</v>
      </c>
    </row>
    <row r="119" spans="1:67" hidden="1" x14ac:dyDescent="0.2">
      <c r="A119" s="35" t="s">
        <v>17</v>
      </c>
      <c r="C119" s="35" t="s">
        <v>17</v>
      </c>
      <c r="D119" s="35"/>
      <c r="E119" s="35">
        <f t="shared" ref="E119:E124" si="35">I119-G119</f>
        <v>0</v>
      </c>
      <c r="F119" s="35"/>
      <c r="G119" s="35"/>
      <c r="H119" s="35"/>
      <c r="I119" s="35"/>
      <c r="J119" s="35"/>
      <c r="K119" s="35">
        <f t="shared" ref="K119:K124" si="36">O119-M119</f>
        <v>0</v>
      </c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>
        <f t="shared" si="32"/>
        <v>0</v>
      </c>
      <c r="X119" s="35"/>
      <c r="Y119" s="35" t="s">
        <v>17</v>
      </c>
      <c r="Z119" s="55"/>
      <c r="AA119" s="35" t="s">
        <v>17</v>
      </c>
      <c r="AB119" s="35"/>
      <c r="AC119" s="35"/>
      <c r="AD119" s="35"/>
      <c r="AE119" s="35"/>
      <c r="AF119" s="35"/>
      <c r="AG119" s="35"/>
      <c r="AH119" s="35"/>
      <c r="AI119" s="45">
        <f t="shared" si="25"/>
        <v>0</v>
      </c>
      <c r="AJ119" s="45"/>
      <c r="AK119" s="35"/>
      <c r="AL119" s="35"/>
      <c r="AM119" s="35"/>
      <c r="AN119" s="35"/>
      <c r="AO119" s="35"/>
      <c r="AP119" s="35"/>
      <c r="AQ119" s="35"/>
      <c r="AR119" s="35"/>
      <c r="AS119" s="45">
        <f t="shared" si="31"/>
        <v>0</v>
      </c>
      <c r="AT119" s="45"/>
      <c r="AU119" s="35">
        <v>0</v>
      </c>
      <c r="AV119" s="35"/>
      <c r="AW119" s="35">
        <v>0</v>
      </c>
      <c r="AX119" s="35"/>
      <c r="AY119" s="35">
        <f t="shared" si="26"/>
        <v>0</v>
      </c>
      <c r="AZ119" s="35"/>
      <c r="BA119" s="35" t="s">
        <v>17</v>
      </c>
      <c r="BB119" s="55"/>
      <c r="BC119" s="35" t="s">
        <v>17</v>
      </c>
      <c r="BD119" s="35"/>
      <c r="BE119" s="35"/>
      <c r="BF119" s="35"/>
      <c r="BG119" s="35"/>
      <c r="BH119" s="35"/>
      <c r="BI119" s="35"/>
      <c r="BJ119" s="35"/>
      <c r="BK119" s="35"/>
      <c r="BL119" s="35"/>
      <c r="BM119" s="35">
        <f t="shared" si="30"/>
        <v>0</v>
      </c>
      <c r="BN119" s="54" t="s">
        <v>347</v>
      </c>
    </row>
    <row r="120" spans="1:67" hidden="1" x14ac:dyDescent="0.2">
      <c r="A120" s="35" t="s">
        <v>148</v>
      </c>
      <c r="C120" s="35" t="s">
        <v>15</v>
      </c>
      <c r="D120" s="35"/>
      <c r="E120" s="35">
        <f t="shared" si="35"/>
        <v>0</v>
      </c>
      <c r="F120" s="35"/>
      <c r="G120" s="35"/>
      <c r="H120" s="35"/>
      <c r="I120" s="35"/>
      <c r="J120" s="35"/>
      <c r="K120" s="35">
        <f t="shared" si="36"/>
        <v>0</v>
      </c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>
        <f t="shared" si="32"/>
        <v>0</v>
      </c>
      <c r="X120" s="35"/>
      <c r="Y120" s="35" t="s">
        <v>148</v>
      </c>
      <c r="Z120" s="55"/>
      <c r="AA120" s="35" t="s">
        <v>15</v>
      </c>
      <c r="AB120" s="35"/>
      <c r="AC120" s="35"/>
      <c r="AD120" s="35"/>
      <c r="AE120" s="35"/>
      <c r="AF120" s="35"/>
      <c r="AG120" s="35"/>
      <c r="AH120" s="35"/>
      <c r="AI120" s="45">
        <f t="shared" si="25"/>
        <v>0</v>
      </c>
      <c r="AJ120" s="45"/>
      <c r="AK120" s="35"/>
      <c r="AL120" s="35"/>
      <c r="AM120" s="35"/>
      <c r="AN120" s="35"/>
      <c r="AO120" s="35"/>
      <c r="AP120" s="35"/>
      <c r="AQ120" s="35"/>
      <c r="AR120" s="35"/>
      <c r="AS120" s="45">
        <f t="shared" si="31"/>
        <v>0</v>
      </c>
      <c r="AT120" s="45"/>
      <c r="AU120" s="35">
        <v>0</v>
      </c>
      <c r="AV120" s="35"/>
      <c r="AW120" s="35">
        <v>0</v>
      </c>
      <c r="AX120" s="35"/>
      <c r="AY120" s="35">
        <f t="shared" si="26"/>
        <v>0</v>
      </c>
      <c r="AZ120" s="35"/>
      <c r="BA120" s="35" t="s">
        <v>148</v>
      </c>
      <c r="BB120" s="55"/>
      <c r="BC120" s="35" t="s">
        <v>15</v>
      </c>
      <c r="BD120" s="35"/>
      <c r="BE120" s="35"/>
      <c r="BF120" s="35"/>
      <c r="BG120" s="35"/>
      <c r="BH120" s="35"/>
      <c r="BI120" s="35"/>
      <c r="BJ120" s="35"/>
      <c r="BK120" s="35"/>
      <c r="BL120" s="35"/>
      <c r="BM120" s="35">
        <f t="shared" si="30"/>
        <v>0</v>
      </c>
      <c r="BN120" s="54" t="s">
        <v>347</v>
      </c>
    </row>
    <row r="121" spans="1:67" x14ac:dyDescent="0.2">
      <c r="A121" s="35" t="s">
        <v>149</v>
      </c>
      <c r="C121" s="35" t="s">
        <v>45</v>
      </c>
      <c r="D121" s="35"/>
      <c r="E121" s="35">
        <f t="shared" si="35"/>
        <v>151882</v>
      </c>
      <c r="F121" s="35"/>
      <c r="G121" s="35">
        <v>55312</v>
      </c>
      <c r="H121" s="35"/>
      <c r="I121" s="35">
        <v>207194</v>
      </c>
      <c r="J121" s="35"/>
      <c r="K121" s="35">
        <f t="shared" si="36"/>
        <v>78752</v>
      </c>
      <c r="L121" s="35"/>
      <c r="M121" s="35">
        <f>7206+15300</f>
        <v>22506</v>
      </c>
      <c r="N121" s="35"/>
      <c r="O121" s="35">
        <v>101258</v>
      </c>
      <c r="P121" s="35"/>
      <c r="Q121" s="35">
        <v>18798</v>
      </c>
      <c r="R121" s="35"/>
      <c r="S121" s="35">
        <v>0</v>
      </c>
      <c r="T121" s="35"/>
      <c r="U121" s="35">
        <v>87138</v>
      </c>
      <c r="V121" s="35"/>
      <c r="W121" s="35">
        <f t="shared" si="32"/>
        <v>105936</v>
      </c>
      <c r="X121" s="35"/>
      <c r="Y121" s="35" t="s">
        <v>149</v>
      </c>
      <c r="Z121" s="55"/>
      <c r="AA121" s="35" t="s">
        <v>45</v>
      </c>
      <c r="AB121" s="35"/>
      <c r="AC121" s="35">
        <v>1098143</v>
      </c>
      <c r="AD121" s="35"/>
      <c r="AE121" s="35">
        <f>981902-5650</f>
        <v>976252</v>
      </c>
      <c r="AF121" s="35"/>
      <c r="AG121" s="35">
        <v>5650</v>
      </c>
      <c r="AH121" s="35"/>
      <c r="AI121" s="45">
        <f t="shared" ref="AI121:AI185" si="37">+AC121-AE121-AG121</f>
        <v>116241</v>
      </c>
      <c r="AJ121" s="45"/>
      <c r="AK121" s="35">
        <v>46237</v>
      </c>
      <c r="AL121" s="35"/>
      <c r="AM121" s="35">
        <v>0</v>
      </c>
      <c r="AN121" s="35"/>
      <c r="AO121" s="35">
        <v>6299</v>
      </c>
      <c r="AP121" s="35"/>
      <c r="AQ121" s="35">
        <v>0</v>
      </c>
      <c r="AR121" s="35"/>
      <c r="AS121" s="45">
        <f t="shared" si="31"/>
        <v>156179</v>
      </c>
      <c r="AT121" s="45"/>
      <c r="AU121" s="35">
        <v>0</v>
      </c>
      <c r="AV121" s="35"/>
      <c r="AW121" s="35">
        <v>0</v>
      </c>
      <c r="AX121" s="35"/>
      <c r="AY121" s="35">
        <f t="shared" si="26"/>
        <v>73130</v>
      </c>
      <c r="AZ121" s="35"/>
      <c r="BA121" s="35" t="s">
        <v>149</v>
      </c>
      <c r="BB121" s="55"/>
      <c r="BC121" s="35" t="s">
        <v>45</v>
      </c>
      <c r="BD121" s="35"/>
      <c r="BE121" s="35">
        <f>15300+8500</f>
        <v>23800</v>
      </c>
      <c r="BF121" s="35"/>
      <c r="BG121" s="35">
        <v>0</v>
      </c>
      <c r="BH121" s="35"/>
      <c r="BI121" s="35">
        <v>0</v>
      </c>
      <c r="BJ121" s="35"/>
      <c r="BK121" s="35">
        <v>7206</v>
      </c>
      <c r="BL121" s="35"/>
      <c r="BM121" s="35">
        <f t="shared" si="30"/>
        <v>31006</v>
      </c>
      <c r="BN121" s="54" t="s">
        <v>347</v>
      </c>
    </row>
    <row r="122" spans="1:67" hidden="1" x14ac:dyDescent="0.2">
      <c r="A122" s="35" t="s">
        <v>150</v>
      </c>
      <c r="C122" s="35" t="s">
        <v>27</v>
      </c>
      <c r="D122" s="35"/>
      <c r="E122" s="35">
        <f t="shared" si="35"/>
        <v>0</v>
      </c>
      <c r="F122" s="35"/>
      <c r="G122" s="35"/>
      <c r="H122" s="35"/>
      <c r="I122" s="35"/>
      <c r="J122" s="35"/>
      <c r="K122" s="35">
        <f t="shared" si="36"/>
        <v>0</v>
      </c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>
        <f t="shared" si="32"/>
        <v>0</v>
      </c>
      <c r="X122" s="35"/>
      <c r="Y122" s="35" t="s">
        <v>150</v>
      </c>
      <c r="Z122" s="55"/>
      <c r="AA122" s="35" t="s">
        <v>27</v>
      </c>
      <c r="AB122" s="35"/>
      <c r="AC122" s="35"/>
      <c r="AD122" s="35"/>
      <c r="AE122" s="35"/>
      <c r="AF122" s="35"/>
      <c r="AG122" s="35"/>
      <c r="AH122" s="35"/>
      <c r="AI122" s="45">
        <f t="shared" si="37"/>
        <v>0</v>
      </c>
      <c r="AJ122" s="45"/>
      <c r="AK122" s="35"/>
      <c r="AL122" s="35"/>
      <c r="AM122" s="35"/>
      <c r="AN122" s="35"/>
      <c r="AO122" s="35"/>
      <c r="AP122" s="35"/>
      <c r="AQ122" s="35"/>
      <c r="AR122" s="35"/>
      <c r="AS122" s="45">
        <f t="shared" si="31"/>
        <v>0</v>
      </c>
      <c r="AT122" s="45"/>
      <c r="AU122" s="35">
        <v>0</v>
      </c>
      <c r="AV122" s="35"/>
      <c r="AW122" s="35">
        <v>0</v>
      </c>
      <c r="AX122" s="35"/>
      <c r="AY122" s="35">
        <f t="shared" si="26"/>
        <v>0</v>
      </c>
      <c r="AZ122" s="35"/>
      <c r="BA122" s="35" t="s">
        <v>150</v>
      </c>
      <c r="BB122" s="55"/>
      <c r="BC122" s="35" t="s">
        <v>27</v>
      </c>
      <c r="BD122" s="35"/>
      <c r="BE122" s="35"/>
      <c r="BF122" s="35"/>
      <c r="BG122" s="35"/>
      <c r="BH122" s="35"/>
      <c r="BI122" s="35"/>
      <c r="BJ122" s="35"/>
      <c r="BK122" s="35"/>
      <c r="BL122" s="35"/>
      <c r="BM122" s="35">
        <f t="shared" si="30"/>
        <v>0</v>
      </c>
      <c r="BN122" s="54" t="s">
        <v>347</v>
      </c>
    </row>
    <row r="123" spans="1:67" hidden="1" x14ac:dyDescent="0.2">
      <c r="A123" s="35" t="s">
        <v>151</v>
      </c>
      <c r="C123" s="35" t="s">
        <v>13</v>
      </c>
      <c r="D123" s="35"/>
      <c r="E123" s="35">
        <f t="shared" si="35"/>
        <v>0</v>
      </c>
      <c r="F123" s="35"/>
      <c r="G123" s="35"/>
      <c r="H123" s="35"/>
      <c r="I123" s="35"/>
      <c r="J123" s="35"/>
      <c r="K123" s="35">
        <f t="shared" si="36"/>
        <v>0</v>
      </c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>
        <f t="shared" si="32"/>
        <v>0</v>
      </c>
      <c r="X123" s="35"/>
      <c r="Y123" s="35" t="s">
        <v>151</v>
      </c>
      <c r="Z123" s="55"/>
      <c r="AA123" s="35" t="s">
        <v>13</v>
      </c>
      <c r="AB123" s="35"/>
      <c r="AC123" s="35"/>
      <c r="AD123" s="35"/>
      <c r="AE123" s="35"/>
      <c r="AF123" s="35"/>
      <c r="AG123" s="35"/>
      <c r="AH123" s="35"/>
      <c r="AI123" s="45">
        <f t="shared" si="37"/>
        <v>0</v>
      </c>
      <c r="AJ123" s="45"/>
      <c r="AK123" s="35"/>
      <c r="AL123" s="35"/>
      <c r="AM123" s="35"/>
      <c r="AN123" s="35"/>
      <c r="AO123" s="35"/>
      <c r="AP123" s="35"/>
      <c r="AQ123" s="35"/>
      <c r="AR123" s="35"/>
      <c r="AS123" s="45">
        <f t="shared" si="31"/>
        <v>0</v>
      </c>
      <c r="AT123" s="45"/>
      <c r="AU123" s="35">
        <v>0</v>
      </c>
      <c r="AV123" s="35"/>
      <c r="AW123" s="35">
        <v>0</v>
      </c>
      <c r="AX123" s="35"/>
      <c r="AY123" s="35">
        <f t="shared" si="26"/>
        <v>0</v>
      </c>
      <c r="AZ123" s="35"/>
      <c r="BA123" s="35" t="s">
        <v>151</v>
      </c>
      <c r="BB123" s="55"/>
      <c r="BC123" s="35" t="s">
        <v>13</v>
      </c>
      <c r="BD123" s="35"/>
      <c r="BE123" s="35"/>
      <c r="BF123" s="35"/>
      <c r="BG123" s="35"/>
      <c r="BH123" s="35"/>
      <c r="BI123" s="35"/>
      <c r="BJ123" s="35"/>
      <c r="BK123" s="35"/>
      <c r="BL123" s="35"/>
      <c r="BM123" s="35">
        <f t="shared" si="30"/>
        <v>0</v>
      </c>
      <c r="BN123" s="54" t="s">
        <v>347</v>
      </c>
    </row>
    <row r="124" spans="1:67" hidden="1" x14ac:dyDescent="0.2">
      <c r="A124" s="35" t="s">
        <v>152</v>
      </c>
      <c r="C124" s="35" t="s">
        <v>153</v>
      </c>
      <c r="D124" s="35"/>
      <c r="E124" s="35">
        <f t="shared" si="35"/>
        <v>0</v>
      </c>
      <c r="F124" s="35"/>
      <c r="G124" s="35"/>
      <c r="H124" s="35"/>
      <c r="I124" s="35"/>
      <c r="J124" s="35"/>
      <c r="K124" s="35">
        <f t="shared" si="36"/>
        <v>0</v>
      </c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>
        <f t="shared" si="32"/>
        <v>0</v>
      </c>
      <c r="X124" s="35"/>
      <c r="Y124" s="35" t="s">
        <v>152</v>
      </c>
      <c r="Z124" s="55"/>
      <c r="AA124" s="35" t="s">
        <v>153</v>
      </c>
      <c r="AB124" s="35"/>
      <c r="AC124" s="35"/>
      <c r="AD124" s="35"/>
      <c r="AE124" s="35"/>
      <c r="AF124" s="35"/>
      <c r="AG124" s="35"/>
      <c r="AH124" s="35"/>
      <c r="AI124" s="45">
        <f t="shared" si="37"/>
        <v>0</v>
      </c>
      <c r="AJ124" s="45"/>
      <c r="AK124" s="35"/>
      <c r="AL124" s="35"/>
      <c r="AM124" s="35"/>
      <c r="AN124" s="35"/>
      <c r="AO124" s="35"/>
      <c r="AP124" s="35"/>
      <c r="AQ124" s="35"/>
      <c r="AR124" s="35"/>
      <c r="AS124" s="45">
        <f t="shared" si="31"/>
        <v>0</v>
      </c>
      <c r="AT124" s="45"/>
      <c r="AU124" s="35">
        <v>0</v>
      </c>
      <c r="AV124" s="35"/>
      <c r="AW124" s="35">
        <v>0</v>
      </c>
      <c r="AX124" s="35"/>
      <c r="AY124" s="35">
        <f t="shared" si="26"/>
        <v>0</v>
      </c>
      <c r="AZ124" s="35"/>
      <c r="BA124" s="35" t="s">
        <v>152</v>
      </c>
      <c r="BB124" s="55"/>
      <c r="BC124" s="35" t="s">
        <v>153</v>
      </c>
      <c r="BD124" s="35"/>
      <c r="BE124" s="35"/>
      <c r="BF124" s="35"/>
      <c r="BG124" s="35"/>
      <c r="BH124" s="35"/>
      <c r="BI124" s="35"/>
      <c r="BJ124" s="35"/>
      <c r="BK124" s="35"/>
      <c r="BL124" s="35"/>
      <c r="BM124" s="35">
        <f t="shared" si="30"/>
        <v>0</v>
      </c>
      <c r="BN124" s="54" t="s">
        <v>347</v>
      </c>
    </row>
    <row r="125" spans="1:67" x14ac:dyDescent="0.2">
      <c r="A125" s="35" t="s">
        <v>154</v>
      </c>
      <c r="C125" s="35" t="s">
        <v>27</v>
      </c>
      <c r="D125" s="35"/>
      <c r="E125" s="35">
        <f t="shared" ref="E125:E189" si="38">I125-G125</f>
        <v>1438683</v>
      </c>
      <c r="F125" s="35"/>
      <c r="G125" s="35">
        <v>0</v>
      </c>
      <c r="H125" s="35"/>
      <c r="I125" s="35">
        <v>1438683</v>
      </c>
      <c r="J125" s="35"/>
      <c r="K125" s="35">
        <f t="shared" ref="K125:K189" si="39">O125-M125</f>
        <v>129698</v>
      </c>
      <c r="L125" s="35"/>
      <c r="M125" s="35">
        <v>0</v>
      </c>
      <c r="N125" s="35"/>
      <c r="O125" s="35">
        <v>129698</v>
      </c>
      <c r="P125" s="35"/>
      <c r="Q125" s="35">
        <v>0</v>
      </c>
      <c r="R125" s="35"/>
      <c r="S125" s="35">
        <v>0</v>
      </c>
      <c r="T125" s="35"/>
      <c r="U125" s="35">
        <v>1308985</v>
      </c>
      <c r="V125" s="35"/>
      <c r="W125" s="35">
        <f t="shared" si="32"/>
        <v>1308985</v>
      </c>
      <c r="X125" s="35"/>
      <c r="Y125" s="35" t="s">
        <v>154</v>
      </c>
      <c r="Z125" s="55"/>
      <c r="AA125" s="35" t="s">
        <v>27</v>
      </c>
      <c r="AB125" s="35"/>
      <c r="AC125" s="35">
        <v>2041405</v>
      </c>
      <c r="AD125" s="35"/>
      <c r="AE125" s="35">
        <v>1449716</v>
      </c>
      <c r="AF125" s="35"/>
      <c r="AG125" s="35">
        <v>0</v>
      </c>
      <c r="AH125" s="35"/>
      <c r="AI125" s="45">
        <f t="shared" si="37"/>
        <v>591689</v>
      </c>
      <c r="AJ125" s="45"/>
      <c r="AK125" s="35">
        <v>0</v>
      </c>
      <c r="AL125" s="35"/>
      <c r="AM125" s="35">
        <v>0</v>
      </c>
      <c r="AN125" s="35"/>
      <c r="AO125" s="35">
        <v>0</v>
      </c>
      <c r="AP125" s="35"/>
      <c r="AQ125" s="35">
        <v>717296</v>
      </c>
      <c r="AR125" s="35"/>
      <c r="AS125" s="45">
        <f t="shared" si="31"/>
        <v>1308985</v>
      </c>
      <c r="AT125" s="45"/>
      <c r="AU125" s="35">
        <v>0</v>
      </c>
      <c r="AV125" s="35"/>
      <c r="AW125" s="35">
        <v>0</v>
      </c>
      <c r="AX125" s="35"/>
      <c r="AY125" s="35">
        <f t="shared" si="26"/>
        <v>1308985</v>
      </c>
      <c r="AZ125" s="35"/>
      <c r="BA125" s="35" t="s">
        <v>154</v>
      </c>
      <c r="BB125" s="55"/>
      <c r="BC125" s="35" t="s">
        <v>27</v>
      </c>
      <c r="BD125" s="35"/>
      <c r="BE125" s="35">
        <v>0</v>
      </c>
      <c r="BF125" s="35"/>
      <c r="BG125" s="35">
        <v>0</v>
      </c>
      <c r="BH125" s="35"/>
      <c r="BI125" s="35">
        <v>0</v>
      </c>
      <c r="BJ125" s="35"/>
      <c r="BK125" s="35">
        <v>0</v>
      </c>
      <c r="BL125" s="35"/>
      <c r="BM125" s="35">
        <f t="shared" si="30"/>
        <v>0</v>
      </c>
      <c r="BN125" s="54" t="s">
        <v>347</v>
      </c>
    </row>
    <row r="126" spans="1:67" hidden="1" x14ac:dyDescent="0.2">
      <c r="A126" s="35" t="s">
        <v>155</v>
      </c>
      <c r="C126" s="35" t="s">
        <v>40</v>
      </c>
      <c r="D126" s="35"/>
      <c r="E126" s="35">
        <f t="shared" si="38"/>
        <v>0</v>
      </c>
      <c r="F126" s="35"/>
      <c r="G126" s="35"/>
      <c r="H126" s="35"/>
      <c r="I126" s="35"/>
      <c r="J126" s="35"/>
      <c r="K126" s="35">
        <f t="shared" si="39"/>
        <v>0</v>
      </c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>
        <f t="shared" si="32"/>
        <v>0</v>
      </c>
      <c r="X126" s="35"/>
      <c r="Y126" s="35" t="s">
        <v>155</v>
      </c>
      <c r="Z126" s="55"/>
      <c r="AA126" s="35" t="s">
        <v>40</v>
      </c>
      <c r="AB126" s="35"/>
      <c r="AC126" s="35"/>
      <c r="AD126" s="35"/>
      <c r="AE126" s="35"/>
      <c r="AF126" s="35"/>
      <c r="AG126" s="35"/>
      <c r="AH126" s="35"/>
      <c r="AI126" s="45">
        <f t="shared" si="37"/>
        <v>0</v>
      </c>
      <c r="AJ126" s="45"/>
      <c r="AK126" s="35"/>
      <c r="AL126" s="35"/>
      <c r="AM126" s="35"/>
      <c r="AN126" s="35"/>
      <c r="AO126" s="35"/>
      <c r="AP126" s="35"/>
      <c r="AQ126" s="35"/>
      <c r="AR126" s="35"/>
      <c r="AS126" s="45">
        <f t="shared" si="31"/>
        <v>0</v>
      </c>
      <c r="AT126" s="45"/>
      <c r="AU126" s="35">
        <v>0</v>
      </c>
      <c r="AV126" s="35"/>
      <c r="AW126" s="35">
        <v>0</v>
      </c>
      <c r="AX126" s="35"/>
      <c r="AY126" s="35">
        <f t="shared" si="26"/>
        <v>0</v>
      </c>
      <c r="AZ126" s="35"/>
      <c r="BA126" s="35" t="s">
        <v>155</v>
      </c>
      <c r="BB126" s="55"/>
      <c r="BC126" s="35" t="s">
        <v>40</v>
      </c>
      <c r="BD126" s="35"/>
      <c r="BE126" s="35"/>
      <c r="BF126" s="35"/>
      <c r="BG126" s="35"/>
      <c r="BH126" s="35"/>
      <c r="BI126" s="35"/>
      <c r="BJ126" s="35"/>
      <c r="BK126" s="35"/>
      <c r="BL126" s="35"/>
      <c r="BM126" s="35">
        <f t="shared" si="30"/>
        <v>0</v>
      </c>
      <c r="BN126" s="54" t="s">
        <v>347</v>
      </c>
    </row>
    <row r="127" spans="1:67" x14ac:dyDescent="0.2">
      <c r="A127" s="35" t="s">
        <v>156</v>
      </c>
      <c r="C127" s="35" t="s">
        <v>156</v>
      </c>
      <c r="D127" s="35"/>
      <c r="E127" s="35">
        <f t="shared" si="38"/>
        <v>2647027</v>
      </c>
      <c r="F127" s="35"/>
      <c r="G127" s="35">
        <v>426841</v>
      </c>
      <c r="H127" s="35"/>
      <c r="I127" s="35">
        <v>3073868</v>
      </c>
      <c r="J127" s="35"/>
      <c r="K127" s="35">
        <f t="shared" si="39"/>
        <v>209387</v>
      </c>
      <c r="L127" s="35"/>
      <c r="M127" s="35">
        <v>57318</v>
      </c>
      <c r="N127" s="35"/>
      <c r="O127" s="35">
        <v>266705</v>
      </c>
      <c r="P127" s="35"/>
      <c r="Q127" s="35">
        <v>426841</v>
      </c>
      <c r="R127" s="35"/>
      <c r="S127" s="35">
        <v>0</v>
      </c>
      <c r="T127" s="35"/>
      <c r="U127" s="35">
        <v>2380322</v>
      </c>
      <c r="V127" s="35"/>
      <c r="W127" s="35">
        <f t="shared" si="32"/>
        <v>2807163</v>
      </c>
      <c r="X127" s="35"/>
      <c r="Y127" s="35" t="s">
        <v>156</v>
      </c>
      <c r="Z127" s="55"/>
      <c r="AA127" s="35" t="s">
        <v>156</v>
      </c>
      <c r="AB127" s="35"/>
      <c r="AC127" s="35">
        <v>2692061</v>
      </c>
      <c r="AD127" s="35"/>
      <c r="AE127" s="35">
        <f>2210449-78343</f>
        <v>2132106</v>
      </c>
      <c r="AF127" s="35"/>
      <c r="AG127" s="35">
        <v>78343</v>
      </c>
      <c r="AH127" s="35"/>
      <c r="AI127" s="45">
        <f t="shared" si="37"/>
        <v>481612</v>
      </c>
      <c r="AJ127" s="45"/>
      <c r="AK127" s="35">
        <v>0</v>
      </c>
      <c r="AL127" s="35"/>
      <c r="AM127" s="35">
        <v>0</v>
      </c>
      <c r="AN127" s="35"/>
      <c r="AO127" s="35">
        <v>0</v>
      </c>
      <c r="AP127" s="35"/>
      <c r="AQ127" s="35">
        <v>1433</v>
      </c>
      <c r="AR127" s="35"/>
      <c r="AS127" s="45">
        <f t="shared" si="31"/>
        <v>483045</v>
      </c>
      <c r="AT127" s="45"/>
      <c r="AU127" s="35">
        <v>0</v>
      </c>
      <c r="AV127" s="35"/>
      <c r="AW127" s="35">
        <v>0</v>
      </c>
      <c r="AX127" s="35"/>
      <c r="AY127" s="35">
        <f t="shared" si="26"/>
        <v>2437640</v>
      </c>
      <c r="AZ127" s="35"/>
      <c r="BA127" s="35" t="s">
        <v>156</v>
      </c>
      <c r="BB127" s="55"/>
      <c r="BC127" s="35" t="s">
        <v>156</v>
      </c>
      <c r="BD127" s="35"/>
      <c r="BE127" s="35">
        <v>0</v>
      </c>
      <c r="BF127" s="35"/>
      <c r="BG127" s="35">
        <v>0</v>
      </c>
      <c r="BH127" s="35"/>
      <c r="BI127" s="35">
        <v>0</v>
      </c>
      <c r="BJ127" s="35"/>
      <c r="BK127" s="35">
        <f>57318+25483</f>
        <v>82801</v>
      </c>
      <c r="BL127" s="35"/>
      <c r="BM127" s="35">
        <f t="shared" si="30"/>
        <v>82801</v>
      </c>
      <c r="BN127" s="54" t="s">
        <v>347</v>
      </c>
    </row>
    <row r="128" spans="1:67" x14ac:dyDescent="0.2">
      <c r="A128" s="35" t="s">
        <v>157</v>
      </c>
      <c r="C128" s="35" t="s">
        <v>33</v>
      </c>
      <c r="D128" s="35"/>
      <c r="E128" s="35">
        <f t="shared" si="38"/>
        <v>134239</v>
      </c>
      <c r="F128" s="35"/>
      <c r="G128" s="35">
        <v>331333</v>
      </c>
      <c r="H128" s="35"/>
      <c r="I128" s="35">
        <v>465572</v>
      </c>
      <c r="J128" s="35"/>
      <c r="K128" s="35">
        <f t="shared" si="39"/>
        <v>56638</v>
      </c>
      <c r="L128" s="35"/>
      <c r="M128" s="35">
        <v>26065</v>
      </c>
      <c r="N128" s="35"/>
      <c r="O128" s="35">
        <v>82703</v>
      </c>
      <c r="P128" s="35"/>
      <c r="Q128" s="35">
        <v>329319</v>
      </c>
      <c r="R128" s="35"/>
      <c r="S128" s="35">
        <v>0</v>
      </c>
      <c r="T128" s="35"/>
      <c r="U128" s="35">
        <v>53550</v>
      </c>
      <c r="V128" s="35"/>
      <c r="W128" s="35">
        <f t="shared" si="32"/>
        <v>382869</v>
      </c>
      <c r="X128" s="35"/>
      <c r="Y128" s="35" t="s">
        <v>157</v>
      </c>
      <c r="Z128" s="55"/>
      <c r="AA128" s="35" t="s">
        <v>33</v>
      </c>
      <c r="AB128" s="35"/>
      <c r="AC128" s="35">
        <v>732758</v>
      </c>
      <c r="AD128" s="35"/>
      <c r="AE128" s="35">
        <f>731609-30029</f>
        <v>701580</v>
      </c>
      <c r="AF128" s="35"/>
      <c r="AG128" s="35">
        <v>30029</v>
      </c>
      <c r="AH128" s="35"/>
      <c r="AI128" s="45">
        <f t="shared" si="37"/>
        <v>1149</v>
      </c>
      <c r="AJ128" s="45"/>
      <c r="AK128" s="35">
        <v>5000</v>
      </c>
      <c r="AL128" s="35"/>
      <c r="AM128" s="35">
        <v>0</v>
      </c>
      <c r="AN128" s="35"/>
      <c r="AO128" s="35">
        <v>0</v>
      </c>
      <c r="AP128" s="35"/>
      <c r="AQ128" s="35">
        <v>0</v>
      </c>
      <c r="AR128" s="35"/>
      <c r="AS128" s="45">
        <f t="shared" si="31"/>
        <v>6149</v>
      </c>
      <c r="AT128" s="45"/>
      <c r="AU128" s="35">
        <v>0</v>
      </c>
      <c r="AV128" s="35"/>
      <c r="AW128" s="35">
        <v>0</v>
      </c>
      <c r="AX128" s="35"/>
      <c r="AY128" s="35">
        <f t="shared" ref="AY128:AY192" si="40">+E128-K128</f>
        <v>77601</v>
      </c>
      <c r="AZ128" s="35"/>
      <c r="BA128" s="35" t="s">
        <v>157</v>
      </c>
      <c r="BB128" s="55"/>
      <c r="BC128" s="35" t="s">
        <v>33</v>
      </c>
      <c r="BD128" s="35"/>
      <c r="BE128" s="35">
        <v>0</v>
      </c>
      <c r="BF128" s="35"/>
      <c r="BG128" s="35">
        <v>0</v>
      </c>
      <c r="BH128" s="35"/>
      <c r="BI128" s="35">
        <v>0</v>
      </c>
      <c r="BJ128" s="35"/>
      <c r="BK128" s="35">
        <f>3751+22314</f>
        <v>26065</v>
      </c>
      <c r="BL128" s="35"/>
      <c r="BM128" s="35">
        <f t="shared" si="30"/>
        <v>26065</v>
      </c>
      <c r="BN128" s="54" t="s">
        <v>347</v>
      </c>
    </row>
    <row r="129" spans="1:66" x14ac:dyDescent="0.2">
      <c r="A129" s="35" t="s">
        <v>158</v>
      </c>
      <c r="C129" s="35" t="s">
        <v>159</v>
      </c>
      <c r="D129" s="35"/>
      <c r="E129" s="35">
        <f t="shared" si="38"/>
        <v>697261</v>
      </c>
      <c r="F129" s="35"/>
      <c r="G129" s="35">
        <v>210516</v>
      </c>
      <c r="H129" s="35"/>
      <c r="I129" s="35">
        <v>907777</v>
      </c>
      <c r="J129" s="35"/>
      <c r="K129" s="35">
        <f t="shared" si="39"/>
        <v>108392</v>
      </c>
      <c r="L129" s="35"/>
      <c r="M129" s="35">
        <v>3623</v>
      </c>
      <c r="N129" s="35"/>
      <c r="O129" s="35">
        <v>112015</v>
      </c>
      <c r="P129" s="35"/>
      <c r="Q129" s="35">
        <v>210516</v>
      </c>
      <c r="R129" s="35"/>
      <c r="S129" s="35">
        <v>0</v>
      </c>
      <c r="T129" s="35"/>
      <c r="U129" s="35">
        <v>585246</v>
      </c>
      <c r="V129" s="35"/>
      <c r="W129" s="35">
        <f t="shared" si="32"/>
        <v>795762</v>
      </c>
      <c r="X129" s="35"/>
      <c r="Y129" s="35" t="s">
        <v>158</v>
      </c>
      <c r="Z129" s="55"/>
      <c r="AA129" s="35" t="s">
        <v>159</v>
      </c>
      <c r="AB129" s="35"/>
      <c r="AC129" s="35">
        <v>1369491</v>
      </c>
      <c r="AD129" s="35"/>
      <c r="AE129" s="35">
        <f>1333054-28232</f>
        <v>1304822</v>
      </c>
      <c r="AF129" s="35"/>
      <c r="AG129" s="35">
        <v>28232</v>
      </c>
      <c r="AH129" s="35"/>
      <c r="AI129" s="45">
        <f t="shared" si="37"/>
        <v>36437</v>
      </c>
      <c r="AJ129" s="45"/>
      <c r="AK129" s="35">
        <v>-9244</v>
      </c>
      <c r="AL129" s="35"/>
      <c r="AM129" s="35">
        <v>0</v>
      </c>
      <c r="AN129" s="35"/>
      <c r="AO129" s="35">
        <v>0</v>
      </c>
      <c r="AP129" s="35"/>
      <c r="AQ129" s="35">
        <v>0</v>
      </c>
      <c r="AR129" s="35"/>
      <c r="AS129" s="45">
        <f t="shared" si="31"/>
        <v>27193</v>
      </c>
      <c r="AT129" s="45"/>
      <c r="AU129" s="35">
        <v>0</v>
      </c>
      <c r="AV129" s="35"/>
      <c r="AW129" s="35">
        <v>0</v>
      </c>
      <c r="AX129" s="35"/>
      <c r="AY129" s="35">
        <f t="shared" si="40"/>
        <v>588869</v>
      </c>
      <c r="AZ129" s="35"/>
      <c r="BA129" s="35" t="s">
        <v>158</v>
      </c>
      <c r="BB129" s="55"/>
      <c r="BC129" s="35" t="s">
        <v>159</v>
      </c>
      <c r="BD129" s="35"/>
      <c r="BE129" s="35">
        <v>0</v>
      </c>
      <c r="BF129" s="35"/>
      <c r="BG129" s="35">
        <v>0</v>
      </c>
      <c r="BH129" s="35"/>
      <c r="BI129" s="35">
        <v>0</v>
      </c>
      <c r="BJ129" s="35"/>
      <c r="BK129" s="35">
        <f>3623+8278</f>
        <v>11901</v>
      </c>
      <c r="BL129" s="35"/>
      <c r="BM129" s="35">
        <f t="shared" si="30"/>
        <v>11901</v>
      </c>
      <c r="BN129" s="54" t="s">
        <v>347</v>
      </c>
    </row>
    <row r="130" spans="1:66" x14ac:dyDescent="0.2">
      <c r="A130" s="35" t="s">
        <v>160</v>
      </c>
      <c r="C130" s="35" t="s">
        <v>111</v>
      </c>
      <c r="D130" s="35"/>
      <c r="E130" s="35">
        <f t="shared" si="38"/>
        <v>275986</v>
      </c>
      <c r="F130" s="35"/>
      <c r="G130" s="35">
        <v>0</v>
      </c>
      <c r="H130" s="35"/>
      <c r="I130" s="35">
        <v>275986</v>
      </c>
      <c r="J130" s="35"/>
      <c r="K130" s="35">
        <f t="shared" si="39"/>
        <v>136968</v>
      </c>
      <c r="L130" s="35"/>
      <c r="M130" s="35">
        <v>177</v>
      </c>
      <c r="N130" s="35"/>
      <c r="O130" s="35">
        <v>137145</v>
      </c>
      <c r="P130" s="35"/>
      <c r="Q130" s="35">
        <v>0</v>
      </c>
      <c r="R130" s="35"/>
      <c r="S130" s="35">
        <v>0</v>
      </c>
      <c r="T130" s="35"/>
      <c r="U130" s="35">
        <v>138841</v>
      </c>
      <c r="V130" s="35"/>
      <c r="W130" s="35">
        <f t="shared" si="32"/>
        <v>138841</v>
      </c>
      <c r="X130" s="35"/>
      <c r="Y130" s="35" t="s">
        <v>160</v>
      </c>
      <c r="Z130" s="55"/>
      <c r="AA130" s="35" t="s">
        <v>111</v>
      </c>
      <c r="AB130" s="35"/>
      <c r="AC130" s="35">
        <v>1484311</v>
      </c>
      <c r="AD130" s="35"/>
      <c r="AE130" s="35">
        <v>1558320</v>
      </c>
      <c r="AF130" s="35"/>
      <c r="AG130" s="35">
        <v>0</v>
      </c>
      <c r="AH130" s="35"/>
      <c r="AI130" s="45">
        <f t="shared" si="37"/>
        <v>-74009</v>
      </c>
      <c r="AJ130" s="45"/>
      <c r="AK130" s="35">
        <v>440</v>
      </c>
      <c r="AL130" s="35"/>
      <c r="AM130" s="35">
        <v>0</v>
      </c>
      <c r="AN130" s="35"/>
      <c r="AO130" s="35">
        <v>0</v>
      </c>
      <c r="AP130" s="35"/>
      <c r="AQ130" s="35">
        <v>0</v>
      </c>
      <c r="AR130" s="35"/>
      <c r="AS130" s="45">
        <f t="shared" si="31"/>
        <v>-73569</v>
      </c>
      <c r="AT130" s="45"/>
      <c r="AU130" s="35">
        <v>0</v>
      </c>
      <c r="AV130" s="35"/>
      <c r="AW130" s="35">
        <v>0</v>
      </c>
      <c r="AX130" s="35"/>
      <c r="AY130" s="35">
        <f t="shared" si="40"/>
        <v>139018</v>
      </c>
      <c r="AZ130" s="35"/>
      <c r="BA130" s="35" t="s">
        <v>160</v>
      </c>
      <c r="BB130" s="55"/>
      <c r="BC130" s="35" t="s">
        <v>111</v>
      </c>
      <c r="BD130" s="35"/>
      <c r="BE130" s="35">
        <v>0</v>
      </c>
      <c r="BF130" s="35"/>
      <c r="BG130" s="35">
        <v>0</v>
      </c>
      <c r="BH130" s="35"/>
      <c r="BI130" s="35">
        <v>0</v>
      </c>
      <c r="BJ130" s="35"/>
      <c r="BK130" s="35">
        <v>177</v>
      </c>
      <c r="BL130" s="35"/>
      <c r="BM130" s="35">
        <f t="shared" si="30"/>
        <v>177</v>
      </c>
      <c r="BN130" s="54" t="s">
        <v>347</v>
      </c>
    </row>
    <row r="131" spans="1:66" x14ac:dyDescent="0.2">
      <c r="A131" s="35" t="s">
        <v>161</v>
      </c>
      <c r="C131" s="35" t="s">
        <v>15</v>
      </c>
      <c r="D131" s="35"/>
      <c r="E131" s="35">
        <f t="shared" si="38"/>
        <v>71971</v>
      </c>
      <c r="F131" s="35"/>
      <c r="G131" s="35">
        <v>324677</v>
      </c>
      <c r="H131" s="35"/>
      <c r="I131" s="35">
        <v>396648</v>
      </c>
      <c r="J131" s="35"/>
      <c r="K131" s="35">
        <f t="shared" si="39"/>
        <v>92639</v>
      </c>
      <c r="L131" s="35"/>
      <c r="M131" s="35">
        <v>109776</v>
      </c>
      <c r="N131" s="35"/>
      <c r="O131" s="35">
        <v>202415</v>
      </c>
      <c r="P131" s="35"/>
      <c r="Q131" s="35">
        <v>324677</v>
      </c>
      <c r="R131" s="35"/>
      <c r="S131" s="35">
        <v>0</v>
      </c>
      <c r="T131" s="35"/>
      <c r="U131" s="35">
        <v>-130444</v>
      </c>
      <c r="V131" s="35"/>
      <c r="W131" s="35">
        <f t="shared" si="32"/>
        <v>194233</v>
      </c>
      <c r="X131" s="35"/>
      <c r="Y131" s="35" t="s">
        <v>161</v>
      </c>
      <c r="Z131" s="55"/>
      <c r="AA131" s="35" t="s">
        <v>15</v>
      </c>
      <c r="AB131" s="35"/>
      <c r="AC131" s="35">
        <v>1005747</v>
      </c>
      <c r="AD131" s="35"/>
      <c r="AE131" s="35">
        <f>1050452-82702</f>
        <v>967750</v>
      </c>
      <c r="AF131" s="35"/>
      <c r="AG131" s="35">
        <v>82702</v>
      </c>
      <c r="AH131" s="35"/>
      <c r="AI131" s="45">
        <f t="shared" si="37"/>
        <v>-44705</v>
      </c>
      <c r="AJ131" s="45"/>
      <c r="AK131" s="35">
        <v>0</v>
      </c>
      <c r="AL131" s="35"/>
      <c r="AM131" s="35">
        <v>0</v>
      </c>
      <c r="AN131" s="35"/>
      <c r="AO131" s="35">
        <v>0</v>
      </c>
      <c r="AP131" s="35"/>
      <c r="AQ131" s="35">
        <v>0</v>
      </c>
      <c r="AR131" s="35"/>
      <c r="AS131" s="45">
        <f t="shared" si="31"/>
        <v>-44705</v>
      </c>
      <c r="AT131" s="45"/>
      <c r="AU131" s="35">
        <v>0</v>
      </c>
      <c r="AV131" s="35"/>
      <c r="AW131" s="35">
        <v>0</v>
      </c>
      <c r="AX131" s="35"/>
      <c r="AY131" s="35">
        <f t="shared" si="40"/>
        <v>-20668</v>
      </c>
      <c r="AZ131" s="35"/>
      <c r="BA131" s="35" t="s">
        <v>161</v>
      </c>
      <c r="BB131" s="55"/>
      <c r="BC131" s="35" t="s">
        <v>15</v>
      </c>
      <c r="BD131" s="35"/>
      <c r="BE131" s="35">
        <v>0</v>
      </c>
      <c r="BF131" s="35"/>
      <c r="BG131" s="35">
        <v>0</v>
      </c>
      <c r="BH131" s="35"/>
      <c r="BI131" s="35">
        <v>0</v>
      </c>
      <c r="BJ131" s="35"/>
      <c r="BK131" s="35">
        <f>109776+292</f>
        <v>110068</v>
      </c>
      <c r="BL131" s="35"/>
      <c r="BM131" s="35">
        <f t="shared" si="30"/>
        <v>110068</v>
      </c>
      <c r="BN131" s="54" t="s">
        <v>347</v>
      </c>
    </row>
    <row r="132" spans="1:66" hidden="1" x14ac:dyDescent="0.2">
      <c r="A132" s="35" t="s">
        <v>162</v>
      </c>
      <c r="C132" s="35" t="s">
        <v>163</v>
      </c>
      <c r="D132" s="35"/>
      <c r="E132" s="35">
        <f t="shared" si="38"/>
        <v>0</v>
      </c>
      <c r="F132" s="35"/>
      <c r="G132" s="35"/>
      <c r="H132" s="35"/>
      <c r="I132" s="35"/>
      <c r="J132" s="35"/>
      <c r="K132" s="35">
        <f t="shared" si="39"/>
        <v>0</v>
      </c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>
        <f t="shared" si="32"/>
        <v>0</v>
      </c>
      <c r="X132" s="35"/>
      <c r="Y132" s="35" t="s">
        <v>162</v>
      </c>
      <c r="Z132" s="55"/>
      <c r="AA132" s="35" t="s">
        <v>163</v>
      </c>
      <c r="AB132" s="35"/>
      <c r="AC132" s="35"/>
      <c r="AD132" s="35"/>
      <c r="AE132" s="35"/>
      <c r="AF132" s="35"/>
      <c r="AG132" s="35"/>
      <c r="AH132" s="35"/>
      <c r="AI132" s="45">
        <f t="shared" si="37"/>
        <v>0</v>
      </c>
      <c r="AJ132" s="45"/>
      <c r="AK132" s="35"/>
      <c r="AL132" s="35"/>
      <c r="AM132" s="35"/>
      <c r="AN132" s="35"/>
      <c r="AO132" s="35"/>
      <c r="AP132" s="35"/>
      <c r="AQ132" s="35"/>
      <c r="AR132" s="35"/>
      <c r="AS132" s="45">
        <f t="shared" si="31"/>
        <v>0</v>
      </c>
      <c r="AT132" s="45"/>
      <c r="AU132" s="35">
        <v>0</v>
      </c>
      <c r="AV132" s="35"/>
      <c r="AW132" s="35">
        <v>0</v>
      </c>
      <c r="AX132" s="35"/>
      <c r="AY132" s="35">
        <f t="shared" si="40"/>
        <v>0</v>
      </c>
      <c r="AZ132" s="35"/>
      <c r="BA132" s="35" t="s">
        <v>162</v>
      </c>
      <c r="BB132" s="55"/>
      <c r="BC132" s="35" t="s">
        <v>163</v>
      </c>
      <c r="BD132" s="35"/>
      <c r="BE132" s="35"/>
      <c r="BF132" s="35"/>
      <c r="BG132" s="35"/>
      <c r="BH132" s="35"/>
      <c r="BI132" s="35"/>
      <c r="BJ132" s="35"/>
      <c r="BK132" s="35"/>
      <c r="BL132" s="35"/>
      <c r="BM132" s="35">
        <f t="shared" si="30"/>
        <v>0</v>
      </c>
      <c r="BN132" s="54" t="s">
        <v>347</v>
      </c>
    </row>
    <row r="133" spans="1:66" hidden="1" x14ac:dyDescent="0.2">
      <c r="A133" s="35" t="s">
        <v>164</v>
      </c>
      <c r="C133" s="35" t="s">
        <v>27</v>
      </c>
      <c r="D133" s="35"/>
      <c r="E133" s="35">
        <f t="shared" si="38"/>
        <v>0</v>
      </c>
      <c r="F133" s="35"/>
      <c r="G133" s="35"/>
      <c r="H133" s="35"/>
      <c r="I133" s="35"/>
      <c r="J133" s="35"/>
      <c r="K133" s="35">
        <f t="shared" si="39"/>
        <v>0</v>
      </c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>
        <f t="shared" si="32"/>
        <v>0</v>
      </c>
      <c r="X133" s="35"/>
      <c r="Y133" s="35" t="s">
        <v>164</v>
      </c>
      <c r="Z133" s="55"/>
      <c r="AA133" s="35" t="s">
        <v>27</v>
      </c>
      <c r="AB133" s="35"/>
      <c r="AC133" s="35"/>
      <c r="AD133" s="35"/>
      <c r="AE133" s="35"/>
      <c r="AF133" s="35"/>
      <c r="AG133" s="35"/>
      <c r="AH133" s="35"/>
      <c r="AI133" s="45">
        <f t="shared" si="37"/>
        <v>0</v>
      </c>
      <c r="AJ133" s="45"/>
      <c r="AK133" s="35"/>
      <c r="AL133" s="35"/>
      <c r="AM133" s="35"/>
      <c r="AN133" s="35"/>
      <c r="AO133" s="35"/>
      <c r="AP133" s="35"/>
      <c r="AQ133" s="35"/>
      <c r="AR133" s="35"/>
      <c r="AS133" s="45">
        <f t="shared" si="31"/>
        <v>0</v>
      </c>
      <c r="AT133" s="45"/>
      <c r="AU133" s="35">
        <v>0</v>
      </c>
      <c r="AV133" s="35"/>
      <c r="AW133" s="35">
        <v>0</v>
      </c>
      <c r="AX133" s="35"/>
      <c r="AY133" s="35">
        <f t="shared" si="40"/>
        <v>0</v>
      </c>
      <c r="AZ133" s="35"/>
      <c r="BA133" s="35" t="s">
        <v>164</v>
      </c>
      <c r="BB133" s="55"/>
      <c r="BC133" s="35" t="s">
        <v>27</v>
      </c>
      <c r="BD133" s="35"/>
      <c r="BE133" s="35"/>
      <c r="BF133" s="35"/>
      <c r="BG133" s="35"/>
      <c r="BH133" s="35"/>
      <c r="BI133" s="35"/>
      <c r="BJ133" s="35"/>
      <c r="BK133" s="35"/>
      <c r="BL133" s="35"/>
      <c r="BM133" s="35">
        <f t="shared" si="30"/>
        <v>0</v>
      </c>
      <c r="BN133" s="54" t="s">
        <v>347</v>
      </c>
    </row>
    <row r="134" spans="1:66" x14ac:dyDescent="0.2">
      <c r="A134" s="35" t="s">
        <v>53</v>
      </c>
      <c r="C134" s="35" t="s">
        <v>53</v>
      </c>
      <c r="D134" s="35"/>
      <c r="E134" s="35">
        <f t="shared" si="38"/>
        <v>1515869</v>
      </c>
      <c r="F134" s="35"/>
      <c r="G134" s="35">
        <v>441655</v>
      </c>
      <c r="H134" s="35"/>
      <c r="I134" s="35">
        <v>1957524</v>
      </c>
      <c r="J134" s="35"/>
      <c r="K134" s="35">
        <f t="shared" si="39"/>
        <v>239209</v>
      </c>
      <c r="L134" s="35"/>
      <c r="M134" s="35">
        <v>23786</v>
      </c>
      <c r="N134" s="35"/>
      <c r="O134" s="35">
        <v>262995</v>
      </c>
      <c r="P134" s="35"/>
      <c r="Q134" s="35">
        <v>13921717</v>
      </c>
      <c r="R134" s="35"/>
      <c r="S134" s="35">
        <v>0</v>
      </c>
      <c r="T134" s="35"/>
      <c r="U134" s="35">
        <v>10830302</v>
      </c>
      <c r="V134" s="35"/>
      <c r="W134" s="35">
        <f t="shared" si="32"/>
        <v>24752019</v>
      </c>
      <c r="X134" s="35"/>
      <c r="Y134" s="35" t="s">
        <v>53</v>
      </c>
      <c r="Z134" s="55"/>
      <c r="AA134" s="35" t="s">
        <v>53</v>
      </c>
      <c r="AB134" s="35"/>
      <c r="AC134" s="35">
        <v>2948967</v>
      </c>
      <c r="AD134" s="35"/>
      <c r="AE134" s="35">
        <f>3258046-105145</f>
        <v>3152901</v>
      </c>
      <c r="AF134" s="35"/>
      <c r="AG134" s="35">
        <v>105145</v>
      </c>
      <c r="AH134" s="35"/>
      <c r="AI134" s="45">
        <f t="shared" si="37"/>
        <v>-309079</v>
      </c>
      <c r="AJ134" s="45"/>
      <c r="AK134" s="35">
        <v>12570</v>
      </c>
      <c r="AL134" s="35"/>
      <c r="AM134" s="35">
        <v>0</v>
      </c>
      <c r="AN134" s="35"/>
      <c r="AO134" s="35">
        <v>0</v>
      </c>
      <c r="AP134" s="35"/>
      <c r="AQ134" s="35">
        <v>0</v>
      </c>
      <c r="AR134" s="35"/>
      <c r="AS134" s="45">
        <f t="shared" si="31"/>
        <v>-296509</v>
      </c>
      <c r="AT134" s="45"/>
      <c r="AU134" s="35">
        <v>0</v>
      </c>
      <c r="AV134" s="35"/>
      <c r="AW134" s="35">
        <v>0</v>
      </c>
      <c r="AX134" s="35"/>
      <c r="AY134" s="35">
        <f t="shared" si="40"/>
        <v>1276660</v>
      </c>
      <c r="AZ134" s="35"/>
      <c r="BA134" s="35" t="s">
        <v>53</v>
      </c>
      <c r="BB134" s="55"/>
      <c r="BC134" s="35" t="s">
        <v>53</v>
      </c>
      <c r="BD134" s="35"/>
      <c r="BE134" s="35">
        <v>0</v>
      </c>
      <c r="BF134" s="35"/>
      <c r="BG134" s="35">
        <v>0</v>
      </c>
      <c r="BH134" s="35"/>
      <c r="BI134" s="35">
        <v>0</v>
      </c>
      <c r="BJ134" s="35"/>
      <c r="BK134" s="35">
        <f>23786+32437</f>
        <v>56223</v>
      </c>
      <c r="BL134" s="35"/>
      <c r="BM134" s="35">
        <f t="shared" si="30"/>
        <v>56223</v>
      </c>
      <c r="BN134" s="54" t="s">
        <v>347</v>
      </c>
    </row>
    <row r="135" spans="1:66" hidden="1" x14ac:dyDescent="0.2">
      <c r="A135" s="35" t="s">
        <v>165</v>
      </c>
      <c r="C135" s="35" t="s">
        <v>92</v>
      </c>
      <c r="D135" s="35"/>
      <c r="E135" s="35">
        <f t="shared" si="38"/>
        <v>0</v>
      </c>
      <c r="F135" s="35"/>
      <c r="G135" s="35"/>
      <c r="H135" s="35"/>
      <c r="I135" s="35"/>
      <c r="J135" s="35"/>
      <c r="K135" s="35">
        <f t="shared" si="39"/>
        <v>0</v>
      </c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>
        <f t="shared" si="32"/>
        <v>0</v>
      </c>
      <c r="X135" s="35"/>
      <c r="Y135" s="35" t="s">
        <v>165</v>
      </c>
      <c r="Z135" s="55"/>
      <c r="AA135" s="35" t="s">
        <v>92</v>
      </c>
      <c r="AB135" s="35"/>
      <c r="AC135" s="35"/>
      <c r="AD135" s="35"/>
      <c r="AE135" s="35"/>
      <c r="AF135" s="35"/>
      <c r="AG135" s="35"/>
      <c r="AH135" s="35"/>
      <c r="AI135" s="45">
        <f t="shared" si="37"/>
        <v>0</v>
      </c>
      <c r="AJ135" s="45"/>
      <c r="AK135" s="35"/>
      <c r="AL135" s="35"/>
      <c r="AM135" s="35"/>
      <c r="AN135" s="35"/>
      <c r="AO135" s="35"/>
      <c r="AP135" s="35"/>
      <c r="AQ135" s="35"/>
      <c r="AR135" s="35"/>
      <c r="AS135" s="45">
        <f t="shared" si="31"/>
        <v>0</v>
      </c>
      <c r="AT135" s="45"/>
      <c r="AU135" s="35">
        <v>0</v>
      </c>
      <c r="AV135" s="35"/>
      <c r="AW135" s="35">
        <v>0</v>
      </c>
      <c r="AX135" s="35"/>
      <c r="AY135" s="35">
        <f t="shared" si="40"/>
        <v>0</v>
      </c>
      <c r="AZ135" s="35"/>
      <c r="BA135" s="35" t="s">
        <v>165</v>
      </c>
      <c r="BB135" s="55"/>
      <c r="BC135" s="35" t="s">
        <v>92</v>
      </c>
      <c r="BD135" s="35"/>
      <c r="BE135" s="35"/>
      <c r="BF135" s="35"/>
      <c r="BG135" s="35"/>
      <c r="BH135" s="35"/>
      <c r="BI135" s="35"/>
      <c r="BJ135" s="35"/>
      <c r="BK135" s="35"/>
      <c r="BL135" s="35"/>
      <c r="BM135" s="35">
        <f t="shared" si="30"/>
        <v>0</v>
      </c>
      <c r="BN135" s="54" t="s">
        <v>347</v>
      </c>
    </row>
    <row r="136" spans="1:66" hidden="1" x14ac:dyDescent="0.2">
      <c r="A136" s="35" t="s">
        <v>166</v>
      </c>
      <c r="C136" s="35" t="s">
        <v>92</v>
      </c>
      <c r="D136" s="35"/>
      <c r="E136" s="35">
        <f t="shared" si="38"/>
        <v>0</v>
      </c>
      <c r="F136" s="35"/>
      <c r="G136" s="35"/>
      <c r="H136" s="35"/>
      <c r="I136" s="35"/>
      <c r="J136" s="35"/>
      <c r="K136" s="35">
        <f t="shared" si="39"/>
        <v>0</v>
      </c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>
        <f t="shared" si="32"/>
        <v>0</v>
      </c>
      <c r="X136" s="35"/>
      <c r="Y136" s="35" t="s">
        <v>166</v>
      </c>
      <c r="Z136" s="55"/>
      <c r="AA136" s="35" t="s">
        <v>92</v>
      </c>
      <c r="AB136" s="35"/>
      <c r="AC136" s="35"/>
      <c r="AD136" s="35"/>
      <c r="AE136" s="35"/>
      <c r="AF136" s="35"/>
      <c r="AG136" s="35"/>
      <c r="AH136" s="35"/>
      <c r="AI136" s="45">
        <f t="shared" si="37"/>
        <v>0</v>
      </c>
      <c r="AJ136" s="45"/>
      <c r="AK136" s="35"/>
      <c r="AL136" s="35"/>
      <c r="AM136" s="35"/>
      <c r="AN136" s="35"/>
      <c r="AO136" s="35"/>
      <c r="AP136" s="35"/>
      <c r="AQ136" s="35"/>
      <c r="AR136" s="35"/>
      <c r="AS136" s="45">
        <f t="shared" si="31"/>
        <v>0</v>
      </c>
      <c r="AT136" s="45"/>
      <c r="AU136" s="35">
        <v>0</v>
      </c>
      <c r="AV136" s="35"/>
      <c r="AW136" s="35">
        <v>0</v>
      </c>
      <c r="AX136" s="35"/>
      <c r="AY136" s="35">
        <f t="shared" si="40"/>
        <v>0</v>
      </c>
      <c r="AZ136" s="35"/>
      <c r="BA136" s="35" t="s">
        <v>166</v>
      </c>
      <c r="BB136" s="55"/>
      <c r="BC136" s="35" t="s">
        <v>92</v>
      </c>
      <c r="BD136" s="35"/>
      <c r="BE136" s="35"/>
      <c r="BF136" s="35"/>
      <c r="BG136" s="35"/>
      <c r="BH136" s="35"/>
      <c r="BI136" s="35"/>
      <c r="BJ136" s="35"/>
      <c r="BK136" s="35"/>
      <c r="BL136" s="35"/>
      <c r="BM136" s="35">
        <f t="shared" si="30"/>
        <v>0</v>
      </c>
      <c r="BN136" s="54" t="s">
        <v>347</v>
      </c>
    </row>
    <row r="137" spans="1:66" hidden="1" x14ac:dyDescent="0.2">
      <c r="A137" s="35" t="s">
        <v>167</v>
      </c>
      <c r="C137" s="35" t="s">
        <v>66</v>
      </c>
      <c r="D137" s="35"/>
      <c r="E137" s="35">
        <f t="shared" si="38"/>
        <v>0</v>
      </c>
      <c r="F137" s="35"/>
      <c r="G137" s="35"/>
      <c r="H137" s="35"/>
      <c r="I137" s="35"/>
      <c r="J137" s="35"/>
      <c r="K137" s="35">
        <f t="shared" si="39"/>
        <v>0</v>
      </c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>
        <f t="shared" si="32"/>
        <v>0</v>
      </c>
      <c r="X137" s="35"/>
      <c r="Y137" s="35" t="s">
        <v>167</v>
      </c>
      <c r="Z137" s="55"/>
      <c r="AA137" s="35" t="s">
        <v>66</v>
      </c>
      <c r="AB137" s="35"/>
      <c r="AC137" s="35"/>
      <c r="AD137" s="35"/>
      <c r="AE137" s="35"/>
      <c r="AF137" s="35"/>
      <c r="AG137" s="35"/>
      <c r="AH137" s="35"/>
      <c r="AI137" s="45">
        <f t="shared" si="37"/>
        <v>0</v>
      </c>
      <c r="AJ137" s="45"/>
      <c r="AK137" s="35"/>
      <c r="AL137" s="35"/>
      <c r="AM137" s="35"/>
      <c r="AN137" s="35"/>
      <c r="AO137" s="35"/>
      <c r="AP137" s="35"/>
      <c r="AQ137" s="35"/>
      <c r="AR137" s="35"/>
      <c r="AS137" s="45">
        <f t="shared" si="31"/>
        <v>0</v>
      </c>
      <c r="AT137" s="45"/>
      <c r="AU137" s="35">
        <v>0</v>
      </c>
      <c r="AV137" s="35"/>
      <c r="AW137" s="35">
        <v>0</v>
      </c>
      <c r="AX137" s="35"/>
      <c r="AY137" s="35">
        <f t="shared" si="40"/>
        <v>0</v>
      </c>
      <c r="AZ137" s="35"/>
      <c r="BA137" s="35" t="s">
        <v>167</v>
      </c>
      <c r="BB137" s="55"/>
      <c r="BC137" s="35" t="s">
        <v>66</v>
      </c>
      <c r="BD137" s="35"/>
      <c r="BE137" s="35"/>
      <c r="BF137" s="35"/>
      <c r="BG137" s="35"/>
      <c r="BH137" s="35"/>
      <c r="BI137" s="35"/>
      <c r="BJ137" s="35"/>
      <c r="BK137" s="35"/>
      <c r="BL137" s="35"/>
      <c r="BM137" s="35">
        <f t="shared" si="30"/>
        <v>0</v>
      </c>
      <c r="BN137" s="54" t="s">
        <v>347</v>
      </c>
    </row>
    <row r="138" spans="1:66" hidden="1" x14ac:dyDescent="0.2">
      <c r="A138" s="44" t="s">
        <v>168</v>
      </c>
      <c r="C138" s="44" t="s">
        <v>27</v>
      </c>
      <c r="D138" s="44"/>
      <c r="E138" s="35">
        <f t="shared" si="38"/>
        <v>0</v>
      </c>
      <c r="F138" s="35"/>
      <c r="G138" s="35"/>
      <c r="H138" s="35"/>
      <c r="I138" s="35"/>
      <c r="J138" s="35"/>
      <c r="K138" s="35">
        <f t="shared" si="39"/>
        <v>0</v>
      </c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>
        <f t="shared" si="32"/>
        <v>0</v>
      </c>
      <c r="X138" s="35"/>
      <c r="Y138" s="44" t="s">
        <v>168</v>
      </c>
      <c r="Z138" s="55"/>
      <c r="AA138" s="44" t="s">
        <v>27</v>
      </c>
      <c r="AB138" s="44"/>
      <c r="AC138" s="35"/>
      <c r="AD138" s="35"/>
      <c r="AE138" s="35"/>
      <c r="AF138" s="35"/>
      <c r="AG138" s="35"/>
      <c r="AH138" s="35"/>
      <c r="AI138" s="45">
        <f t="shared" si="37"/>
        <v>0</v>
      </c>
      <c r="AJ138" s="45"/>
      <c r="AK138" s="35"/>
      <c r="AL138" s="35"/>
      <c r="AM138" s="35"/>
      <c r="AN138" s="35"/>
      <c r="AO138" s="35"/>
      <c r="AP138" s="35"/>
      <c r="AQ138" s="35"/>
      <c r="AR138" s="35"/>
      <c r="AS138" s="45">
        <f t="shared" si="31"/>
        <v>0</v>
      </c>
      <c r="AT138" s="45"/>
      <c r="AU138" s="35">
        <v>0</v>
      </c>
      <c r="AV138" s="35"/>
      <c r="AW138" s="35">
        <v>0</v>
      </c>
      <c r="AX138" s="35"/>
      <c r="AY138" s="35">
        <f t="shared" si="40"/>
        <v>0</v>
      </c>
      <c r="AZ138" s="35"/>
      <c r="BA138" s="44" t="s">
        <v>168</v>
      </c>
      <c r="BB138" s="55"/>
      <c r="BC138" s="44" t="s">
        <v>27</v>
      </c>
      <c r="BD138" s="44"/>
      <c r="BE138" s="35"/>
      <c r="BF138" s="35"/>
      <c r="BG138" s="35"/>
      <c r="BH138" s="35"/>
      <c r="BI138" s="35"/>
      <c r="BJ138" s="35"/>
      <c r="BK138" s="35"/>
      <c r="BL138" s="35"/>
      <c r="BM138" s="35">
        <f t="shared" si="30"/>
        <v>0</v>
      </c>
      <c r="BN138" s="54" t="s">
        <v>347</v>
      </c>
    </row>
    <row r="139" spans="1:66" x14ac:dyDescent="0.2">
      <c r="A139" s="35" t="s">
        <v>169</v>
      </c>
      <c r="C139" s="35" t="s">
        <v>103</v>
      </c>
      <c r="D139" s="35"/>
      <c r="E139" s="35">
        <f t="shared" si="38"/>
        <v>473043</v>
      </c>
      <c r="F139" s="35"/>
      <c r="G139" s="35">
        <v>434003</v>
      </c>
      <c r="H139" s="35"/>
      <c r="I139" s="35">
        <v>907046</v>
      </c>
      <c r="J139" s="35"/>
      <c r="K139" s="35">
        <f t="shared" si="39"/>
        <v>466167</v>
      </c>
      <c r="L139" s="35"/>
      <c r="M139" s="35">
        <v>256067</v>
      </c>
      <c r="N139" s="35"/>
      <c r="O139" s="35">
        <v>722234</v>
      </c>
      <c r="P139" s="35"/>
      <c r="Q139" s="35">
        <v>-88334</v>
      </c>
      <c r="R139" s="35"/>
      <c r="S139" s="35">
        <v>0</v>
      </c>
      <c r="T139" s="35"/>
      <c r="U139" s="35">
        <v>273146</v>
      </c>
      <c r="V139" s="35"/>
      <c r="W139" s="35">
        <f t="shared" si="32"/>
        <v>184812</v>
      </c>
      <c r="X139" s="35"/>
      <c r="Y139" s="35" t="s">
        <v>169</v>
      </c>
      <c r="Z139" s="55"/>
      <c r="AA139" s="35" t="s">
        <v>103</v>
      </c>
      <c r="AB139" s="35"/>
      <c r="AC139" s="35">
        <v>2725175</v>
      </c>
      <c r="AD139" s="35"/>
      <c r="AE139" s="35">
        <f>2637803-2084</f>
        <v>2635719</v>
      </c>
      <c r="AF139" s="35"/>
      <c r="AG139" s="35">
        <v>2084</v>
      </c>
      <c r="AH139" s="35"/>
      <c r="AI139" s="45">
        <f t="shared" si="37"/>
        <v>87372</v>
      </c>
      <c r="AJ139" s="45"/>
      <c r="AK139" s="35">
        <v>-29154</v>
      </c>
      <c r="AL139" s="35"/>
      <c r="AM139" s="35">
        <v>0</v>
      </c>
      <c r="AN139" s="35"/>
      <c r="AO139" s="35">
        <v>0</v>
      </c>
      <c r="AP139" s="35"/>
      <c r="AQ139" s="35">
        <v>0</v>
      </c>
      <c r="AR139" s="35"/>
      <c r="AS139" s="45">
        <f t="shared" si="31"/>
        <v>58218</v>
      </c>
      <c r="AT139" s="45"/>
      <c r="AU139" s="35">
        <v>0</v>
      </c>
      <c r="AV139" s="35"/>
      <c r="AW139" s="35">
        <v>0</v>
      </c>
      <c r="AX139" s="35"/>
      <c r="AY139" s="35">
        <f t="shared" si="40"/>
        <v>6876</v>
      </c>
      <c r="AZ139" s="35"/>
      <c r="BA139" s="35" t="s">
        <v>169</v>
      </c>
      <c r="BB139" s="55"/>
      <c r="BC139" s="35" t="s">
        <v>103</v>
      </c>
      <c r="BD139" s="35"/>
      <c r="BE139" s="35">
        <f>250923+5144+249484</f>
        <v>505551</v>
      </c>
      <c r="BF139" s="35"/>
      <c r="BG139" s="35">
        <v>0</v>
      </c>
      <c r="BH139" s="35"/>
      <c r="BI139" s="35">
        <v>0</v>
      </c>
      <c r="BJ139" s="35"/>
      <c r="BK139" s="35">
        <v>0</v>
      </c>
      <c r="BL139" s="35"/>
      <c r="BM139" s="35">
        <f t="shared" si="30"/>
        <v>505551</v>
      </c>
      <c r="BN139" s="54" t="s">
        <v>347</v>
      </c>
    </row>
    <row r="140" spans="1:66" hidden="1" x14ac:dyDescent="0.2">
      <c r="A140" s="35" t="s">
        <v>170</v>
      </c>
      <c r="C140" s="35" t="s">
        <v>171</v>
      </c>
      <c r="D140" s="35"/>
      <c r="E140" s="35">
        <f t="shared" si="38"/>
        <v>0</v>
      </c>
      <c r="F140" s="35"/>
      <c r="G140" s="35"/>
      <c r="H140" s="35"/>
      <c r="I140" s="35"/>
      <c r="J140" s="35"/>
      <c r="K140" s="35">
        <f t="shared" si="39"/>
        <v>0</v>
      </c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>
        <f t="shared" si="32"/>
        <v>0</v>
      </c>
      <c r="X140" s="35"/>
      <c r="Y140" s="35" t="s">
        <v>170</v>
      </c>
      <c r="Z140" s="55"/>
      <c r="AA140" s="35" t="s">
        <v>171</v>
      </c>
      <c r="AB140" s="35"/>
      <c r="AC140" s="35"/>
      <c r="AD140" s="35"/>
      <c r="AE140" s="35"/>
      <c r="AF140" s="35"/>
      <c r="AG140" s="35"/>
      <c r="AH140" s="35"/>
      <c r="AI140" s="45">
        <f t="shared" si="37"/>
        <v>0</v>
      </c>
      <c r="AJ140" s="45"/>
      <c r="AK140" s="35"/>
      <c r="AL140" s="35"/>
      <c r="AM140" s="35"/>
      <c r="AN140" s="35"/>
      <c r="AO140" s="35"/>
      <c r="AP140" s="35"/>
      <c r="AQ140" s="35"/>
      <c r="AR140" s="35"/>
      <c r="AS140" s="45">
        <f t="shared" si="31"/>
        <v>0</v>
      </c>
      <c r="AT140" s="45"/>
      <c r="AU140" s="35">
        <v>0</v>
      </c>
      <c r="AV140" s="35"/>
      <c r="AW140" s="35">
        <v>0</v>
      </c>
      <c r="AX140" s="35"/>
      <c r="AY140" s="35">
        <f t="shared" si="40"/>
        <v>0</v>
      </c>
      <c r="AZ140" s="35"/>
      <c r="BA140" s="35" t="s">
        <v>170</v>
      </c>
      <c r="BB140" s="55"/>
      <c r="BC140" s="35" t="s">
        <v>171</v>
      </c>
      <c r="BD140" s="35"/>
      <c r="BE140" s="35"/>
      <c r="BF140" s="35"/>
      <c r="BG140" s="35"/>
      <c r="BH140" s="35"/>
      <c r="BI140" s="35"/>
      <c r="BJ140" s="35"/>
      <c r="BK140" s="35"/>
      <c r="BL140" s="35"/>
      <c r="BM140" s="35">
        <f t="shared" si="30"/>
        <v>0</v>
      </c>
      <c r="BN140" s="54" t="s">
        <v>347</v>
      </c>
    </row>
    <row r="141" spans="1:66" hidden="1" x14ac:dyDescent="0.2">
      <c r="A141" s="35" t="s">
        <v>172</v>
      </c>
      <c r="C141" s="35" t="s">
        <v>103</v>
      </c>
      <c r="D141" s="35"/>
      <c r="E141" s="35">
        <f t="shared" si="38"/>
        <v>0</v>
      </c>
      <c r="F141" s="35"/>
      <c r="G141" s="35"/>
      <c r="H141" s="35"/>
      <c r="I141" s="35"/>
      <c r="J141" s="35"/>
      <c r="K141" s="35">
        <f t="shared" si="39"/>
        <v>0</v>
      </c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>
        <f t="shared" si="32"/>
        <v>0</v>
      </c>
      <c r="X141" s="35"/>
      <c r="Y141" s="35" t="s">
        <v>172</v>
      </c>
      <c r="Z141" s="55"/>
      <c r="AA141" s="35" t="s">
        <v>103</v>
      </c>
      <c r="AB141" s="35"/>
      <c r="AC141" s="35"/>
      <c r="AD141" s="35"/>
      <c r="AE141" s="35"/>
      <c r="AF141" s="35"/>
      <c r="AG141" s="35"/>
      <c r="AH141" s="35"/>
      <c r="AI141" s="45">
        <f t="shared" si="37"/>
        <v>0</v>
      </c>
      <c r="AJ141" s="45"/>
      <c r="AK141" s="35"/>
      <c r="AL141" s="35"/>
      <c r="AM141" s="35"/>
      <c r="AN141" s="35"/>
      <c r="AO141" s="35"/>
      <c r="AP141" s="35"/>
      <c r="AQ141" s="35"/>
      <c r="AR141" s="35"/>
      <c r="AS141" s="45">
        <f t="shared" si="31"/>
        <v>0</v>
      </c>
      <c r="AT141" s="45"/>
      <c r="AU141" s="35">
        <v>0</v>
      </c>
      <c r="AV141" s="35"/>
      <c r="AW141" s="35">
        <v>0</v>
      </c>
      <c r="AX141" s="35"/>
      <c r="AY141" s="35">
        <f t="shared" si="40"/>
        <v>0</v>
      </c>
      <c r="AZ141" s="35"/>
      <c r="BA141" s="35" t="s">
        <v>172</v>
      </c>
      <c r="BB141" s="55"/>
      <c r="BC141" s="35" t="s">
        <v>103</v>
      </c>
      <c r="BD141" s="35"/>
      <c r="BE141" s="35"/>
      <c r="BF141" s="35"/>
      <c r="BG141" s="35"/>
      <c r="BH141" s="35"/>
      <c r="BI141" s="35"/>
      <c r="BJ141" s="35"/>
      <c r="BK141" s="35"/>
      <c r="BL141" s="35"/>
      <c r="BM141" s="35">
        <f t="shared" si="30"/>
        <v>0</v>
      </c>
      <c r="BN141" s="54" t="s">
        <v>347</v>
      </c>
    </row>
    <row r="142" spans="1:66" hidden="1" x14ac:dyDescent="0.2">
      <c r="A142" s="35" t="s">
        <v>66</v>
      </c>
      <c r="C142" s="35" t="s">
        <v>45</v>
      </c>
      <c r="D142" s="35"/>
      <c r="E142" s="35">
        <f t="shared" si="38"/>
        <v>0</v>
      </c>
      <c r="F142" s="35"/>
      <c r="G142" s="35"/>
      <c r="H142" s="35"/>
      <c r="I142" s="35"/>
      <c r="J142" s="35"/>
      <c r="K142" s="35">
        <f t="shared" si="39"/>
        <v>0</v>
      </c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>
        <f t="shared" ref="W142:W206" si="41">SUM(Q142:U142)</f>
        <v>0</v>
      </c>
      <c r="X142" s="35"/>
      <c r="Y142" s="35" t="s">
        <v>66</v>
      </c>
      <c r="Z142" s="55"/>
      <c r="AA142" s="35" t="s">
        <v>45</v>
      </c>
      <c r="AB142" s="35"/>
      <c r="AC142" s="35"/>
      <c r="AD142" s="35"/>
      <c r="AE142" s="35"/>
      <c r="AF142" s="35"/>
      <c r="AG142" s="35"/>
      <c r="AH142" s="35"/>
      <c r="AI142" s="45">
        <f t="shared" si="37"/>
        <v>0</v>
      </c>
      <c r="AJ142" s="45"/>
      <c r="AK142" s="35"/>
      <c r="AL142" s="35"/>
      <c r="AM142" s="35"/>
      <c r="AN142" s="35"/>
      <c r="AO142" s="35"/>
      <c r="AP142" s="35"/>
      <c r="AQ142" s="35"/>
      <c r="AR142" s="35"/>
      <c r="AS142" s="45">
        <f t="shared" si="31"/>
        <v>0</v>
      </c>
      <c r="AT142" s="45"/>
      <c r="AU142" s="35">
        <v>0</v>
      </c>
      <c r="AV142" s="35"/>
      <c r="AW142" s="35">
        <v>0</v>
      </c>
      <c r="AX142" s="35"/>
      <c r="AY142" s="35">
        <f t="shared" si="40"/>
        <v>0</v>
      </c>
      <c r="AZ142" s="35"/>
      <c r="BA142" s="35" t="s">
        <v>66</v>
      </c>
      <c r="BB142" s="55"/>
      <c r="BC142" s="35" t="s">
        <v>45</v>
      </c>
      <c r="BD142" s="35"/>
      <c r="BE142" s="35"/>
      <c r="BF142" s="35"/>
      <c r="BG142" s="35"/>
      <c r="BH142" s="35"/>
      <c r="BI142" s="35"/>
      <c r="BJ142" s="35"/>
      <c r="BK142" s="35"/>
      <c r="BL142" s="35"/>
      <c r="BM142" s="35">
        <f t="shared" si="30"/>
        <v>0</v>
      </c>
      <c r="BN142" s="54" t="s">
        <v>347</v>
      </c>
    </row>
    <row r="143" spans="1:66" hidden="1" x14ac:dyDescent="0.2">
      <c r="A143" s="35" t="s">
        <v>173</v>
      </c>
      <c r="C143" s="35" t="s">
        <v>66</v>
      </c>
      <c r="D143" s="35"/>
      <c r="E143" s="35">
        <f t="shared" si="38"/>
        <v>0</v>
      </c>
      <c r="F143" s="35"/>
      <c r="G143" s="35"/>
      <c r="H143" s="35"/>
      <c r="I143" s="35"/>
      <c r="J143" s="35"/>
      <c r="K143" s="35">
        <f t="shared" si="39"/>
        <v>0</v>
      </c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>
        <f t="shared" si="41"/>
        <v>0</v>
      </c>
      <c r="X143" s="35"/>
      <c r="Y143" s="35" t="s">
        <v>173</v>
      </c>
      <c r="Z143" s="55"/>
      <c r="AA143" s="35" t="s">
        <v>66</v>
      </c>
      <c r="AB143" s="35"/>
      <c r="AC143" s="35"/>
      <c r="AD143" s="35"/>
      <c r="AE143" s="35"/>
      <c r="AF143" s="35"/>
      <c r="AG143" s="35"/>
      <c r="AH143" s="35"/>
      <c r="AI143" s="45">
        <f t="shared" si="37"/>
        <v>0</v>
      </c>
      <c r="AJ143" s="45"/>
      <c r="AK143" s="35"/>
      <c r="AL143" s="35"/>
      <c r="AM143" s="35"/>
      <c r="AN143" s="35"/>
      <c r="AO143" s="35"/>
      <c r="AP143" s="35"/>
      <c r="AQ143" s="35"/>
      <c r="AR143" s="35"/>
      <c r="AS143" s="45">
        <f t="shared" si="31"/>
        <v>0</v>
      </c>
      <c r="AT143" s="45"/>
      <c r="AU143" s="35">
        <v>0</v>
      </c>
      <c r="AV143" s="35"/>
      <c r="AW143" s="35">
        <v>0</v>
      </c>
      <c r="AX143" s="35"/>
      <c r="AY143" s="35">
        <f t="shared" si="40"/>
        <v>0</v>
      </c>
      <c r="AZ143" s="35"/>
      <c r="BA143" s="35" t="s">
        <v>173</v>
      </c>
      <c r="BB143" s="55"/>
      <c r="BC143" s="35" t="s">
        <v>66</v>
      </c>
      <c r="BD143" s="35"/>
      <c r="BE143" s="35"/>
      <c r="BF143" s="35"/>
      <c r="BG143" s="35"/>
      <c r="BH143" s="35"/>
      <c r="BI143" s="35"/>
      <c r="BJ143" s="35"/>
      <c r="BK143" s="35"/>
      <c r="BL143" s="35"/>
      <c r="BM143" s="35">
        <f t="shared" si="30"/>
        <v>0</v>
      </c>
      <c r="BN143" s="54" t="s">
        <v>347</v>
      </c>
    </row>
    <row r="144" spans="1:66" hidden="1" x14ac:dyDescent="0.2">
      <c r="A144" s="35" t="s">
        <v>174</v>
      </c>
      <c r="C144" s="35" t="s">
        <v>45</v>
      </c>
      <c r="D144" s="35"/>
      <c r="E144" s="35">
        <f t="shared" si="38"/>
        <v>0</v>
      </c>
      <c r="F144" s="35"/>
      <c r="G144" s="35"/>
      <c r="H144" s="35"/>
      <c r="I144" s="35"/>
      <c r="J144" s="35"/>
      <c r="K144" s="35">
        <f t="shared" si="39"/>
        <v>0</v>
      </c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>
        <f t="shared" si="41"/>
        <v>0</v>
      </c>
      <c r="X144" s="35"/>
      <c r="Y144" s="35" t="s">
        <v>174</v>
      </c>
      <c r="Z144" s="55"/>
      <c r="AA144" s="35" t="s">
        <v>45</v>
      </c>
      <c r="AB144" s="35"/>
      <c r="AC144" s="35"/>
      <c r="AD144" s="35"/>
      <c r="AE144" s="35"/>
      <c r="AF144" s="35"/>
      <c r="AG144" s="35"/>
      <c r="AH144" s="35"/>
      <c r="AI144" s="45">
        <f t="shared" si="37"/>
        <v>0</v>
      </c>
      <c r="AJ144" s="45"/>
      <c r="AK144" s="35"/>
      <c r="AL144" s="35"/>
      <c r="AM144" s="35"/>
      <c r="AN144" s="35"/>
      <c r="AO144" s="35"/>
      <c r="AP144" s="35"/>
      <c r="AQ144" s="35"/>
      <c r="AR144" s="35"/>
      <c r="AS144" s="45">
        <f t="shared" si="31"/>
        <v>0</v>
      </c>
      <c r="AT144" s="45"/>
      <c r="AU144" s="35">
        <v>0</v>
      </c>
      <c r="AV144" s="35"/>
      <c r="AW144" s="35">
        <v>0</v>
      </c>
      <c r="AX144" s="35"/>
      <c r="AY144" s="35">
        <f t="shared" si="40"/>
        <v>0</v>
      </c>
      <c r="AZ144" s="35"/>
      <c r="BA144" s="35" t="s">
        <v>174</v>
      </c>
      <c r="BB144" s="55"/>
      <c r="BC144" s="35" t="s">
        <v>45</v>
      </c>
      <c r="BD144" s="35"/>
      <c r="BE144" s="35"/>
      <c r="BF144" s="35"/>
      <c r="BG144" s="35"/>
      <c r="BH144" s="35"/>
      <c r="BI144" s="35"/>
      <c r="BJ144" s="35"/>
      <c r="BK144" s="35"/>
      <c r="BL144" s="35"/>
      <c r="BM144" s="35">
        <f t="shared" si="30"/>
        <v>0</v>
      </c>
      <c r="BN144" s="54" t="s">
        <v>347</v>
      </c>
    </row>
    <row r="145" spans="1:66" hidden="1" x14ac:dyDescent="0.2">
      <c r="A145" s="35" t="s">
        <v>175</v>
      </c>
      <c r="C145" s="35" t="s">
        <v>176</v>
      </c>
      <c r="D145" s="35"/>
      <c r="E145" s="35">
        <f t="shared" si="38"/>
        <v>0</v>
      </c>
      <c r="F145" s="35"/>
      <c r="G145" s="35"/>
      <c r="H145" s="35"/>
      <c r="I145" s="35"/>
      <c r="J145" s="35"/>
      <c r="K145" s="35">
        <f t="shared" si="39"/>
        <v>0</v>
      </c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>
        <f t="shared" si="41"/>
        <v>0</v>
      </c>
      <c r="X145" s="35"/>
      <c r="Y145" s="35" t="s">
        <v>175</v>
      </c>
      <c r="Z145" s="55"/>
      <c r="AA145" s="35" t="s">
        <v>176</v>
      </c>
      <c r="AB145" s="35"/>
      <c r="AC145" s="35"/>
      <c r="AD145" s="35"/>
      <c r="AE145" s="35"/>
      <c r="AF145" s="35"/>
      <c r="AG145" s="35"/>
      <c r="AH145" s="35"/>
      <c r="AI145" s="45">
        <f t="shared" si="37"/>
        <v>0</v>
      </c>
      <c r="AJ145" s="45"/>
      <c r="AK145" s="35"/>
      <c r="AL145" s="35"/>
      <c r="AM145" s="35"/>
      <c r="AN145" s="35"/>
      <c r="AO145" s="35"/>
      <c r="AP145" s="35"/>
      <c r="AQ145" s="35"/>
      <c r="AR145" s="35"/>
      <c r="AS145" s="45">
        <f t="shared" si="31"/>
        <v>0</v>
      </c>
      <c r="AT145" s="45"/>
      <c r="AU145" s="35">
        <v>0</v>
      </c>
      <c r="AV145" s="35"/>
      <c r="AW145" s="35">
        <v>0</v>
      </c>
      <c r="AX145" s="35"/>
      <c r="AY145" s="35">
        <f t="shared" si="40"/>
        <v>0</v>
      </c>
      <c r="AZ145" s="35"/>
      <c r="BA145" s="35" t="s">
        <v>175</v>
      </c>
      <c r="BB145" s="55"/>
      <c r="BC145" s="35" t="s">
        <v>176</v>
      </c>
      <c r="BD145" s="35"/>
      <c r="BE145" s="35"/>
      <c r="BF145" s="35"/>
      <c r="BG145" s="35"/>
      <c r="BH145" s="35"/>
      <c r="BI145" s="35"/>
      <c r="BJ145" s="35"/>
      <c r="BK145" s="35"/>
      <c r="BL145" s="35"/>
      <c r="BM145" s="35">
        <v>0</v>
      </c>
      <c r="BN145" s="54" t="s">
        <v>347</v>
      </c>
    </row>
    <row r="146" spans="1:66" hidden="1" x14ac:dyDescent="0.2">
      <c r="A146" s="35" t="s">
        <v>177</v>
      </c>
      <c r="C146" s="35" t="s">
        <v>13</v>
      </c>
      <c r="D146" s="35"/>
      <c r="E146" s="35">
        <f t="shared" si="38"/>
        <v>0</v>
      </c>
      <c r="F146" s="35"/>
      <c r="G146" s="35"/>
      <c r="H146" s="35"/>
      <c r="I146" s="35"/>
      <c r="J146" s="35"/>
      <c r="K146" s="35">
        <f t="shared" si="39"/>
        <v>0</v>
      </c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>
        <f t="shared" si="41"/>
        <v>0</v>
      </c>
      <c r="X146" s="35"/>
      <c r="Y146" s="35" t="s">
        <v>177</v>
      </c>
      <c r="Z146" s="55"/>
      <c r="AA146" s="35" t="s">
        <v>13</v>
      </c>
      <c r="AB146" s="35"/>
      <c r="AC146" s="35"/>
      <c r="AD146" s="35"/>
      <c r="AE146" s="35"/>
      <c r="AF146" s="35"/>
      <c r="AG146" s="35"/>
      <c r="AH146" s="35"/>
      <c r="AI146" s="45">
        <f t="shared" si="37"/>
        <v>0</v>
      </c>
      <c r="AJ146" s="45"/>
      <c r="AK146" s="35"/>
      <c r="AL146" s="35"/>
      <c r="AM146" s="35"/>
      <c r="AN146" s="35"/>
      <c r="AO146" s="35"/>
      <c r="AP146" s="35"/>
      <c r="AQ146" s="35"/>
      <c r="AR146" s="35"/>
      <c r="AS146" s="45">
        <f t="shared" si="31"/>
        <v>0</v>
      </c>
      <c r="AT146" s="45"/>
      <c r="AU146" s="35">
        <v>0</v>
      </c>
      <c r="AV146" s="35"/>
      <c r="AW146" s="35">
        <v>0</v>
      </c>
      <c r="AX146" s="35"/>
      <c r="AY146" s="35">
        <f t="shared" si="40"/>
        <v>0</v>
      </c>
      <c r="AZ146" s="35"/>
      <c r="BA146" s="35" t="s">
        <v>177</v>
      </c>
      <c r="BB146" s="55"/>
      <c r="BC146" s="35" t="s">
        <v>13</v>
      </c>
      <c r="BD146" s="35"/>
      <c r="BE146" s="35"/>
      <c r="BF146" s="35"/>
      <c r="BG146" s="35"/>
      <c r="BH146" s="35"/>
      <c r="BI146" s="35"/>
      <c r="BJ146" s="35"/>
      <c r="BK146" s="35"/>
      <c r="BL146" s="35"/>
      <c r="BM146" s="35">
        <f t="shared" ref="BM146:BM192" si="42">SUM(BE146:BK146)</f>
        <v>0</v>
      </c>
      <c r="BN146" s="54" t="s">
        <v>347</v>
      </c>
    </row>
    <row r="147" spans="1:66" x14ac:dyDescent="0.2">
      <c r="A147" s="35" t="s">
        <v>178</v>
      </c>
      <c r="C147" s="35" t="s">
        <v>179</v>
      </c>
      <c r="D147" s="35"/>
      <c r="E147" s="35">
        <f t="shared" si="38"/>
        <v>695727</v>
      </c>
      <c r="F147" s="35"/>
      <c r="G147" s="35">
        <v>530154</v>
      </c>
      <c r="H147" s="35"/>
      <c r="I147" s="35">
        <v>1225881</v>
      </c>
      <c r="J147" s="35"/>
      <c r="K147" s="35">
        <f t="shared" si="39"/>
        <v>30215</v>
      </c>
      <c r="L147" s="35"/>
      <c r="M147" s="35">
        <v>5620</v>
      </c>
      <c r="N147" s="35"/>
      <c r="O147" s="35">
        <v>35835</v>
      </c>
      <c r="P147" s="35"/>
      <c r="Q147" s="35">
        <v>530154</v>
      </c>
      <c r="R147" s="35"/>
      <c r="S147" s="35">
        <v>0</v>
      </c>
      <c r="T147" s="35"/>
      <c r="U147" s="35">
        <v>659892</v>
      </c>
      <c r="V147" s="35"/>
      <c r="W147" s="35">
        <f t="shared" si="41"/>
        <v>1190046</v>
      </c>
      <c r="X147" s="35"/>
      <c r="Y147" s="35" t="s">
        <v>178</v>
      </c>
      <c r="Z147" s="55"/>
      <c r="AA147" s="35" t="s">
        <v>179</v>
      </c>
      <c r="AB147" s="35"/>
      <c r="AC147" s="35">
        <v>858054</v>
      </c>
      <c r="AD147" s="35"/>
      <c r="AE147" s="35">
        <f>734755-62249</f>
        <v>672506</v>
      </c>
      <c r="AF147" s="35"/>
      <c r="AG147" s="35">
        <v>62249</v>
      </c>
      <c r="AH147" s="35"/>
      <c r="AI147" s="45">
        <f t="shared" si="37"/>
        <v>123299</v>
      </c>
      <c r="AJ147" s="45"/>
      <c r="AK147" s="35">
        <v>6635</v>
      </c>
      <c r="AL147" s="35"/>
      <c r="AM147" s="35">
        <v>0</v>
      </c>
      <c r="AN147" s="35"/>
      <c r="AO147" s="35">
        <v>0</v>
      </c>
      <c r="AP147" s="35"/>
      <c r="AQ147" s="35">
        <v>0</v>
      </c>
      <c r="AR147" s="35"/>
      <c r="AS147" s="45">
        <f t="shared" si="31"/>
        <v>129934</v>
      </c>
      <c r="AT147" s="45"/>
      <c r="AU147" s="35">
        <v>0</v>
      </c>
      <c r="AV147" s="35"/>
      <c r="AW147" s="35">
        <v>0</v>
      </c>
      <c r="AX147" s="35"/>
      <c r="AY147" s="35">
        <f t="shared" si="40"/>
        <v>665512</v>
      </c>
      <c r="AZ147" s="35"/>
      <c r="BA147" s="35" t="s">
        <v>178</v>
      </c>
      <c r="BB147" s="55"/>
      <c r="BC147" s="35" t="s">
        <v>179</v>
      </c>
      <c r="BD147" s="35"/>
      <c r="BE147" s="35">
        <v>0</v>
      </c>
      <c r="BF147" s="35"/>
      <c r="BG147" s="35">
        <v>0</v>
      </c>
      <c r="BH147" s="35"/>
      <c r="BI147" s="35">
        <v>0</v>
      </c>
      <c r="BJ147" s="35"/>
      <c r="BK147" s="35">
        <f>5620+7453</f>
        <v>13073</v>
      </c>
      <c r="BL147" s="35"/>
      <c r="BM147" s="35">
        <f t="shared" si="42"/>
        <v>13073</v>
      </c>
      <c r="BN147" s="54" t="s">
        <v>347</v>
      </c>
    </row>
    <row r="148" spans="1:66" hidden="1" x14ac:dyDescent="0.2">
      <c r="A148" s="35" t="s">
        <v>180</v>
      </c>
      <c r="C148" s="35" t="s">
        <v>20</v>
      </c>
      <c r="D148" s="35"/>
      <c r="E148" s="35">
        <f t="shared" si="38"/>
        <v>0</v>
      </c>
      <c r="F148" s="35"/>
      <c r="G148" s="35"/>
      <c r="H148" s="35"/>
      <c r="I148" s="35"/>
      <c r="J148" s="35"/>
      <c r="K148" s="35">
        <f t="shared" si="39"/>
        <v>0</v>
      </c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>
        <f t="shared" si="41"/>
        <v>0</v>
      </c>
      <c r="X148" s="35"/>
      <c r="Y148" s="35" t="s">
        <v>180</v>
      </c>
      <c r="Z148" s="55"/>
      <c r="AA148" s="35" t="s">
        <v>20</v>
      </c>
      <c r="AB148" s="35"/>
      <c r="AC148" s="35"/>
      <c r="AD148" s="35"/>
      <c r="AE148" s="35"/>
      <c r="AF148" s="35"/>
      <c r="AG148" s="35"/>
      <c r="AH148" s="35"/>
      <c r="AI148" s="45">
        <f t="shared" si="37"/>
        <v>0</v>
      </c>
      <c r="AJ148" s="45"/>
      <c r="AK148" s="35"/>
      <c r="AL148" s="35"/>
      <c r="AM148" s="35"/>
      <c r="AN148" s="35"/>
      <c r="AO148" s="35"/>
      <c r="AP148" s="35"/>
      <c r="AQ148" s="35"/>
      <c r="AR148" s="35"/>
      <c r="AS148" s="45">
        <f t="shared" si="31"/>
        <v>0</v>
      </c>
      <c r="AT148" s="45"/>
      <c r="AU148" s="35">
        <v>0</v>
      </c>
      <c r="AV148" s="35"/>
      <c r="AW148" s="35">
        <v>0</v>
      </c>
      <c r="AX148" s="35"/>
      <c r="AY148" s="35">
        <f t="shared" si="40"/>
        <v>0</v>
      </c>
      <c r="AZ148" s="35"/>
      <c r="BA148" s="35" t="s">
        <v>180</v>
      </c>
      <c r="BB148" s="55"/>
      <c r="BC148" s="35" t="s">
        <v>20</v>
      </c>
      <c r="BD148" s="35"/>
      <c r="BE148" s="35"/>
      <c r="BF148" s="35"/>
      <c r="BG148" s="35"/>
      <c r="BH148" s="35"/>
      <c r="BI148" s="35"/>
      <c r="BJ148" s="35"/>
      <c r="BK148" s="35"/>
      <c r="BL148" s="35"/>
      <c r="BM148" s="35">
        <f t="shared" si="42"/>
        <v>0</v>
      </c>
      <c r="BN148" s="54" t="s">
        <v>347</v>
      </c>
    </row>
    <row r="149" spans="1:66" ht="12" hidden="1" x14ac:dyDescent="0.2">
      <c r="A149" s="44" t="s">
        <v>508</v>
      </c>
      <c r="B149" s="47"/>
      <c r="C149" s="44" t="s">
        <v>43</v>
      </c>
      <c r="D149" s="35"/>
      <c r="E149" s="35">
        <f t="shared" si="38"/>
        <v>0</v>
      </c>
      <c r="F149" s="35"/>
      <c r="G149" s="35"/>
      <c r="H149" s="35"/>
      <c r="I149" s="35"/>
      <c r="J149" s="35"/>
      <c r="K149" s="35">
        <f t="shared" si="39"/>
        <v>0</v>
      </c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>
        <f t="shared" si="41"/>
        <v>0</v>
      </c>
      <c r="X149" s="35"/>
      <c r="Y149" s="44" t="s">
        <v>508</v>
      </c>
      <c r="AA149" s="44" t="s">
        <v>43</v>
      </c>
      <c r="AB149" s="35"/>
      <c r="AC149" s="35"/>
      <c r="AD149" s="35"/>
      <c r="AE149" s="35"/>
      <c r="AF149" s="35"/>
      <c r="AG149" s="35"/>
      <c r="AH149" s="35"/>
      <c r="AI149" s="45">
        <f t="shared" si="37"/>
        <v>0</v>
      </c>
      <c r="AJ149" s="45"/>
      <c r="AK149" s="35"/>
      <c r="AL149" s="35"/>
      <c r="AM149" s="35"/>
      <c r="AN149" s="35"/>
      <c r="AO149" s="35"/>
      <c r="AP149" s="35"/>
      <c r="AQ149" s="35"/>
      <c r="AR149" s="35"/>
      <c r="AS149" s="45">
        <f t="shared" si="31"/>
        <v>0</v>
      </c>
      <c r="AT149" s="45"/>
      <c r="AU149" s="35"/>
      <c r="AV149" s="35"/>
      <c r="AW149" s="35"/>
      <c r="AX149" s="35"/>
      <c r="AY149" s="35">
        <f t="shared" si="40"/>
        <v>0</v>
      </c>
      <c r="AZ149" s="35"/>
      <c r="BA149" s="44" t="s">
        <v>508</v>
      </c>
      <c r="BC149" s="44" t="s">
        <v>43</v>
      </c>
      <c r="BD149" s="35"/>
      <c r="BE149" s="35"/>
      <c r="BF149" s="35"/>
      <c r="BG149" s="35"/>
      <c r="BH149" s="35"/>
      <c r="BI149" s="35"/>
      <c r="BJ149" s="35"/>
      <c r="BK149" s="35"/>
      <c r="BL149" s="35"/>
      <c r="BM149" s="35">
        <f t="shared" si="42"/>
        <v>0</v>
      </c>
      <c r="BN149" s="54"/>
    </row>
    <row r="150" spans="1:66" hidden="1" x14ac:dyDescent="0.2">
      <c r="A150" s="35" t="s">
        <v>182</v>
      </c>
      <c r="C150" s="35" t="s">
        <v>183</v>
      </c>
      <c r="D150" s="35"/>
      <c r="E150" s="35">
        <f t="shared" si="38"/>
        <v>0</v>
      </c>
      <c r="F150" s="35"/>
      <c r="G150" s="35"/>
      <c r="H150" s="35"/>
      <c r="I150" s="35"/>
      <c r="J150" s="35"/>
      <c r="K150" s="35">
        <f t="shared" si="39"/>
        <v>0</v>
      </c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>
        <f t="shared" si="41"/>
        <v>0</v>
      </c>
      <c r="X150" s="35"/>
      <c r="Y150" s="35" t="s">
        <v>182</v>
      </c>
      <c r="Z150" s="55"/>
      <c r="AA150" s="35" t="s">
        <v>183</v>
      </c>
      <c r="AB150" s="35"/>
      <c r="AC150" s="35"/>
      <c r="AD150" s="35"/>
      <c r="AE150" s="35"/>
      <c r="AF150" s="35"/>
      <c r="AG150" s="35"/>
      <c r="AH150" s="35"/>
      <c r="AI150" s="45">
        <f t="shared" si="37"/>
        <v>0</v>
      </c>
      <c r="AJ150" s="45"/>
      <c r="AK150" s="35"/>
      <c r="AL150" s="35"/>
      <c r="AM150" s="35"/>
      <c r="AN150" s="35"/>
      <c r="AO150" s="35"/>
      <c r="AP150" s="35"/>
      <c r="AQ150" s="35"/>
      <c r="AR150" s="35"/>
      <c r="AS150" s="45">
        <f t="shared" si="31"/>
        <v>0</v>
      </c>
      <c r="AT150" s="45"/>
      <c r="AU150" s="35">
        <v>0</v>
      </c>
      <c r="AV150" s="35"/>
      <c r="AW150" s="35">
        <v>0</v>
      </c>
      <c r="AX150" s="35"/>
      <c r="AY150" s="35">
        <f t="shared" si="40"/>
        <v>0</v>
      </c>
      <c r="AZ150" s="35"/>
      <c r="BA150" s="35" t="s">
        <v>182</v>
      </c>
      <c r="BB150" s="55"/>
      <c r="BC150" s="35" t="s">
        <v>183</v>
      </c>
      <c r="BD150" s="35"/>
      <c r="BE150" s="35"/>
      <c r="BF150" s="35"/>
      <c r="BG150" s="35"/>
      <c r="BH150" s="35"/>
      <c r="BI150" s="35"/>
      <c r="BJ150" s="35"/>
      <c r="BK150" s="35"/>
      <c r="BL150" s="35"/>
      <c r="BM150" s="35">
        <f t="shared" si="42"/>
        <v>0</v>
      </c>
      <c r="BN150" s="54" t="s">
        <v>347</v>
      </c>
    </row>
    <row r="151" spans="1:66" x14ac:dyDescent="0.2">
      <c r="A151" s="35" t="s">
        <v>184</v>
      </c>
      <c r="C151" s="35" t="s">
        <v>89</v>
      </c>
      <c r="D151" s="35"/>
      <c r="E151" s="35">
        <f t="shared" si="38"/>
        <v>738498</v>
      </c>
      <c r="F151" s="35"/>
      <c r="G151" s="35">
        <v>531705</v>
      </c>
      <c r="H151" s="35"/>
      <c r="I151" s="35">
        <v>1270203</v>
      </c>
      <c r="J151" s="35"/>
      <c r="K151" s="35">
        <f t="shared" si="39"/>
        <v>90291</v>
      </c>
      <c r="L151" s="35"/>
      <c r="M151" s="35">
        <v>22537</v>
      </c>
      <c r="N151" s="35"/>
      <c r="O151" s="35">
        <v>112828</v>
      </c>
      <c r="P151" s="35"/>
      <c r="Q151" s="35">
        <v>531705</v>
      </c>
      <c r="R151" s="35"/>
      <c r="S151" s="35">
        <v>0</v>
      </c>
      <c r="T151" s="35"/>
      <c r="U151" s="35">
        <v>625670</v>
      </c>
      <c r="V151" s="35"/>
      <c r="W151" s="35">
        <f t="shared" si="41"/>
        <v>1157375</v>
      </c>
      <c r="X151" s="35"/>
      <c r="Y151" s="35" t="s">
        <v>184</v>
      </c>
      <c r="Z151" s="55"/>
      <c r="AA151" s="35" t="s">
        <v>89</v>
      </c>
      <c r="AB151" s="35"/>
      <c r="AC151" s="35">
        <v>1377571</v>
      </c>
      <c r="AD151" s="35"/>
      <c r="AE151" s="35">
        <f>1454062-33732</f>
        <v>1420330</v>
      </c>
      <c r="AF151" s="35"/>
      <c r="AG151" s="35">
        <v>33732</v>
      </c>
      <c r="AH151" s="35"/>
      <c r="AI151" s="45">
        <f t="shared" si="37"/>
        <v>-76491</v>
      </c>
      <c r="AJ151" s="45"/>
      <c r="AK151" s="35">
        <v>3629</v>
      </c>
      <c r="AL151" s="35"/>
      <c r="AM151" s="35">
        <v>0</v>
      </c>
      <c r="AN151" s="35"/>
      <c r="AO151" s="35">
        <v>0</v>
      </c>
      <c r="AP151" s="35"/>
      <c r="AQ151" s="35">
        <v>0</v>
      </c>
      <c r="AR151" s="35"/>
      <c r="AS151" s="45">
        <f t="shared" si="31"/>
        <v>-72862</v>
      </c>
      <c r="AT151" s="45"/>
      <c r="AU151" s="35">
        <v>0</v>
      </c>
      <c r="AV151" s="35"/>
      <c r="AW151" s="35">
        <v>0</v>
      </c>
      <c r="AX151" s="35"/>
      <c r="AY151" s="35">
        <f t="shared" si="40"/>
        <v>648207</v>
      </c>
      <c r="AZ151" s="35"/>
      <c r="BA151" s="35" t="s">
        <v>184</v>
      </c>
      <c r="BB151" s="55"/>
      <c r="BC151" s="35" t="s">
        <v>89</v>
      </c>
      <c r="BD151" s="35"/>
      <c r="BE151" s="35">
        <v>0</v>
      </c>
      <c r="BF151" s="35"/>
      <c r="BG151" s="35">
        <v>0</v>
      </c>
      <c r="BH151" s="35"/>
      <c r="BI151" s="35">
        <v>0</v>
      </c>
      <c r="BJ151" s="35"/>
      <c r="BK151" s="35">
        <f>22537+8812</f>
        <v>31349</v>
      </c>
      <c r="BL151" s="35"/>
      <c r="BM151" s="35">
        <f t="shared" si="42"/>
        <v>31349</v>
      </c>
      <c r="BN151" s="54" t="s">
        <v>347</v>
      </c>
    </row>
    <row r="152" spans="1:66" hidden="1" x14ac:dyDescent="0.2">
      <c r="A152" s="35" t="s">
        <v>181</v>
      </c>
      <c r="C152" s="35" t="s">
        <v>125</v>
      </c>
      <c r="D152" s="35"/>
      <c r="E152" s="35">
        <f t="shared" si="38"/>
        <v>0</v>
      </c>
      <c r="F152" s="35"/>
      <c r="G152" s="35"/>
      <c r="H152" s="35"/>
      <c r="I152" s="35"/>
      <c r="J152" s="35"/>
      <c r="K152" s="35">
        <f t="shared" si="39"/>
        <v>0</v>
      </c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>
        <f t="shared" si="41"/>
        <v>0</v>
      </c>
      <c r="X152" s="35"/>
      <c r="Y152" s="35" t="s">
        <v>181</v>
      </c>
      <c r="Z152" s="55"/>
      <c r="AA152" s="35" t="s">
        <v>125</v>
      </c>
      <c r="AB152" s="35"/>
      <c r="AC152" s="35"/>
      <c r="AD152" s="35"/>
      <c r="AE152" s="35"/>
      <c r="AF152" s="35"/>
      <c r="AG152" s="35"/>
      <c r="AH152" s="35"/>
      <c r="AI152" s="45">
        <f t="shared" si="37"/>
        <v>0</v>
      </c>
      <c r="AJ152" s="45"/>
      <c r="AK152" s="35"/>
      <c r="AL152" s="35"/>
      <c r="AM152" s="35"/>
      <c r="AN152" s="35"/>
      <c r="AO152" s="35"/>
      <c r="AP152" s="35"/>
      <c r="AQ152" s="35"/>
      <c r="AR152" s="35"/>
      <c r="AS152" s="45">
        <f t="shared" si="31"/>
        <v>0</v>
      </c>
      <c r="AT152" s="45"/>
      <c r="AU152" s="35">
        <v>0</v>
      </c>
      <c r="AV152" s="35"/>
      <c r="AW152" s="35">
        <v>0</v>
      </c>
      <c r="AX152" s="35"/>
      <c r="AY152" s="35">
        <f t="shared" si="40"/>
        <v>0</v>
      </c>
      <c r="AZ152" s="35"/>
      <c r="BA152" s="35" t="s">
        <v>181</v>
      </c>
      <c r="BB152" s="55"/>
      <c r="BC152" s="35" t="s">
        <v>125</v>
      </c>
      <c r="BD152" s="35"/>
      <c r="BE152" s="35"/>
      <c r="BF152" s="35"/>
      <c r="BG152" s="35"/>
      <c r="BH152" s="35"/>
      <c r="BI152" s="35"/>
      <c r="BJ152" s="35"/>
      <c r="BK152" s="35"/>
      <c r="BL152" s="35"/>
      <c r="BM152" s="35">
        <f t="shared" si="42"/>
        <v>0</v>
      </c>
      <c r="BN152" s="54" t="s">
        <v>347</v>
      </c>
    </row>
    <row r="153" spans="1:66" hidden="1" x14ac:dyDescent="0.2">
      <c r="A153" s="35" t="s">
        <v>185</v>
      </c>
      <c r="C153" s="35" t="s">
        <v>80</v>
      </c>
      <c r="D153" s="35"/>
      <c r="E153" s="35">
        <f t="shared" si="38"/>
        <v>0</v>
      </c>
      <c r="F153" s="35"/>
      <c r="G153" s="35"/>
      <c r="H153" s="35"/>
      <c r="I153" s="35"/>
      <c r="J153" s="35"/>
      <c r="K153" s="35">
        <f t="shared" si="39"/>
        <v>0</v>
      </c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>
        <f t="shared" si="41"/>
        <v>0</v>
      </c>
      <c r="X153" s="35"/>
      <c r="Y153" s="35" t="s">
        <v>185</v>
      </c>
      <c r="Z153" s="55"/>
      <c r="AA153" s="35" t="s">
        <v>80</v>
      </c>
      <c r="AB153" s="35"/>
      <c r="AC153" s="35"/>
      <c r="AD153" s="35"/>
      <c r="AE153" s="35"/>
      <c r="AF153" s="35"/>
      <c r="AG153" s="35"/>
      <c r="AH153" s="35"/>
      <c r="AI153" s="45">
        <f t="shared" si="37"/>
        <v>0</v>
      </c>
      <c r="AJ153" s="45"/>
      <c r="AK153" s="35"/>
      <c r="AL153" s="35"/>
      <c r="AM153" s="35"/>
      <c r="AN153" s="35"/>
      <c r="AO153" s="35"/>
      <c r="AP153" s="35"/>
      <c r="AQ153" s="35"/>
      <c r="AR153" s="35"/>
      <c r="AS153" s="45">
        <f t="shared" si="31"/>
        <v>0</v>
      </c>
      <c r="AT153" s="45"/>
      <c r="AU153" s="35">
        <v>0</v>
      </c>
      <c r="AV153" s="35"/>
      <c r="AW153" s="35">
        <v>0</v>
      </c>
      <c r="AX153" s="35"/>
      <c r="AY153" s="35">
        <f t="shared" si="40"/>
        <v>0</v>
      </c>
      <c r="AZ153" s="35"/>
      <c r="BA153" s="35" t="s">
        <v>185</v>
      </c>
      <c r="BB153" s="55"/>
      <c r="BC153" s="35" t="s">
        <v>80</v>
      </c>
      <c r="BD153" s="35"/>
      <c r="BE153" s="35"/>
      <c r="BF153" s="35"/>
      <c r="BG153" s="35"/>
      <c r="BH153" s="35"/>
      <c r="BI153" s="35"/>
      <c r="BJ153" s="35"/>
      <c r="BK153" s="35"/>
      <c r="BL153" s="35"/>
      <c r="BM153" s="35">
        <f t="shared" si="42"/>
        <v>0</v>
      </c>
      <c r="BN153" s="54" t="s">
        <v>347</v>
      </c>
    </row>
    <row r="154" spans="1:66" x14ac:dyDescent="0.2">
      <c r="A154" s="35" t="s">
        <v>186</v>
      </c>
      <c r="C154" s="35" t="s">
        <v>15</v>
      </c>
      <c r="D154" s="35"/>
      <c r="E154" s="35">
        <f t="shared" si="38"/>
        <v>287539</v>
      </c>
      <c r="F154" s="35"/>
      <c r="G154" s="35">
        <v>0</v>
      </c>
      <c r="H154" s="35"/>
      <c r="I154" s="35">
        <v>287539</v>
      </c>
      <c r="J154" s="35"/>
      <c r="K154" s="35">
        <f t="shared" si="39"/>
        <v>88363</v>
      </c>
      <c r="L154" s="35"/>
      <c r="M154" s="35">
        <v>0</v>
      </c>
      <c r="N154" s="35"/>
      <c r="O154" s="35">
        <v>88363</v>
      </c>
      <c r="P154" s="35"/>
      <c r="Q154" s="35">
        <v>0</v>
      </c>
      <c r="R154" s="35"/>
      <c r="S154" s="35">
        <v>0</v>
      </c>
      <c r="T154" s="35"/>
      <c r="U154" s="35">
        <v>199176</v>
      </c>
      <c r="V154" s="35"/>
      <c r="W154" s="35">
        <f t="shared" ref="W154:W168" si="43">SUM(Q154:U154)</f>
        <v>199176</v>
      </c>
      <c r="X154" s="35"/>
      <c r="Y154" s="35" t="s">
        <v>186</v>
      </c>
      <c r="Z154" s="55"/>
      <c r="AA154" s="35" t="s">
        <v>15</v>
      </c>
      <c r="AB154" s="35"/>
      <c r="AC154" s="35">
        <v>845184</v>
      </c>
      <c r="AD154" s="35"/>
      <c r="AE154" s="35">
        <v>858491</v>
      </c>
      <c r="AF154" s="35"/>
      <c r="AG154" s="35">
        <v>0</v>
      </c>
      <c r="AH154" s="35"/>
      <c r="AI154" s="45">
        <f t="shared" si="37"/>
        <v>-13307</v>
      </c>
      <c r="AJ154" s="45"/>
      <c r="AK154" s="35">
        <v>38498</v>
      </c>
      <c r="AL154" s="35"/>
      <c r="AM154" s="35">
        <v>0</v>
      </c>
      <c r="AN154" s="35"/>
      <c r="AO154" s="35">
        <v>0</v>
      </c>
      <c r="AP154" s="35"/>
      <c r="AQ154" s="35">
        <v>0</v>
      </c>
      <c r="AR154" s="35"/>
      <c r="AS154" s="45">
        <f t="shared" si="31"/>
        <v>25191</v>
      </c>
      <c r="AT154" s="45"/>
      <c r="AU154" s="35">
        <v>0</v>
      </c>
      <c r="AV154" s="35"/>
      <c r="AW154" s="35">
        <v>0</v>
      </c>
      <c r="AX154" s="35"/>
      <c r="AY154" s="35">
        <f t="shared" si="40"/>
        <v>199176</v>
      </c>
      <c r="AZ154" s="35"/>
      <c r="BA154" s="35" t="s">
        <v>186</v>
      </c>
      <c r="BB154" s="55"/>
      <c r="BC154" s="35" t="s">
        <v>15</v>
      </c>
      <c r="BD154" s="35"/>
      <c r="BE154" s="35">
        <v>0</v>
      </c>
      <c r="BF154" s="35"/>
      <c r="BG154" s="35">
        <v>0</v>
      </c>
      <c r="BH154" s="35"/>
      <c r="BI154" s="35">
        <v>0</v>
      </c>
      <c r="BJ154" s="35"/>
      <c r="BK154" s="35">
        <v>0</v>
      </c>
      <c r="BL154" s="35"/>
      <c r="BM154" s="35">
        <f t="shared" ref="BM154:BM168" si="44">SUM(BE154:BK154)</f>
        <v>0</v>
      </c>
      <c r="BN154" s="54" t="s">
        <v>347</v>
      </c>
    </row>
    <row r="155" spans="1:66" hidden="1" x14ac:dyDescent="0.2">
      <c r="A155" s="35" t="s">
        <v>187</v>
      </c>
      <c r="C155" s="35" t="s">
        <v>27</v>
      </c>
      <c r="D155" s="35"/>
      <c r="E155" s="35">
        <f t="shared" si="38"/>
        <v>0</v>
      </c>
      <c r="F155" s="35"/>
      <c r="G155" s="35"/>
      <c r="H155" s="35"/>
      <c r="I155" s="35"/>
      <c r="J155" s="35"/>
      <c r="K155" s="35">
        <f t="shared" si="39"/>
        <v>0</v>
      </c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>
        <f t="shared" si="43"/>
        <v>0</v>
      </c>
      <c r="X155" s="35"/>
      <c r="Y155" s="35" t="s">
        <v>187</v>
      </c>
      <c r="Z155" s="55"/>
      <c r="AA155" s="35" t="s">
        <v>27</v>
      </c>
      <c r="AB155" s="35"/>
      <c r="AC155" s="35"/>
      <c r="AD155" s="35"/>
      <c r="AE155" s="35"/>
      <c r="AF155" s="35"/>
      <c r="AG155" s="35"/>
      <c r="AH155" s="35"/>
      <c r="AI155" s="45">
        <f t="shared" si="37"/>
        <v>0</v>
      </c>
      <c r="AJ155" s="45"/>
      <c r="AK155" s="35"/>
      <c r="AL155" s="35"/>
      <c r="AM155" s="35"/>
      <c r="AN155" s="35"/>
      <c r="AO155" s="35"/>
      <c r="AP155" s="35"/>
      <c r="AQ155" s="35"/>
      <c r="AR155" s="35"/>
      <c r="AS155" s="45">
        <f t="shared" si="31"/>
        <v>0</v>
      </c>
      <c r="AT155" s="45"/>
      <c r="AU155" s="35">
        <v>0</v>
      </c>
      <c r="AV155" s="35"/>
      <c r="AW155" s="35">
        <v>0</v>
      </c>
      <c r="AX155" s="35"/>
      <c r="AY155" s="35">
        <f t="shared" si="40"/>
        <v>0</v>
      </c>
      <c r="AZ155" s="35"/>
      <c r="BA155" s="35" t="s">
        <v>187</v>
      </c>
      <c r="BB155" s="55"/>
      <c r="BC155" s="35" t="s">
        <v>27</v>
      </c>
      <c r="BD155" s="35"/>
      <c r="BE155" s="35"/>
      <c r="BF155" s="35"/>
      <c r="BG155" s="35"/>
      <c r="BH155" s="35"/>
      <c r="BI155" s="35"/>
      <c r="BJ155" s="35"/>
      <c r="BK155" s="35"/>
      <c r="BL155" s="35"/>
      <c r="BM155" s="35">
        <f t="shared" si="44"/>
        <v>0</v>
      </c>
      <c r="BN155" s="54" t="s">
        <v>347</v>
      </c>
    </row>
    <row r="156" spans="1:66" hidden="1" x14ac:dyDescent="0.2">
      <c r="A156" s="35" t="s">
        <v>189</v>
      </c>
      <c r="C156" s="35" t="s">
        <v>17</v>
      </c>
      <c r="D156" s="35"/>
      <c r="E156" s="35">
        <f t="shared" si="38"/>
        <v>0</v>
      </c>
      <c r="F156" s="35"/>
      <c r="G156" s="35"/>
      <c r="H156" s="35"/>
      <c r="I156" s="35"/>
      <c r="J156" s="35"/>
      <c r="K156" s="35">
        <f t="shared" si="39"/>
        <v>0</v>
      </c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>
        <f t="shared" si="43"/>
        <v>0</v>
      </c>
      <c r="X156" s="35"/>
      <c r="Y156" s="35" t="s">
        <v>189</v>
      </c>
      <c r="Z156" s="55"/>
      <c r="AA156" s="35" t="s">
        <v>17</v>
      </c>
      <c r="AB156" s="35"/>
      <c r="AC156" s="35"/>
      <c r="AD156" s="35"/>
      <c r="AE156" s="35"/>
      <c r="AF156" s="35"/>
      <c r="AG156" s="35"/>
      <c r="AH156" s="35"/>
      <c r="AI156" s="45">
        <f t="shared" si="37"/>
        <v>0</v>
      </c>
      <c r="AJ156" s="45"/>
      <c r="AK156" s="35"/>
      <c r="AL156" s="35"/>
      <c r="AM156" s="35"/>
      <c r="AN156" s="35"/>
      <c r="AO156" s="35"/>
      <c r="AP156" s="35"/>
      <c r="AQ156" s="35"/>
      <c r="AR156" s="35"/>
      <c r="AS156" s="45">
        <f t="shared" si="31"/>
        <v>0</v>
      </c>
      <c r="AT156" s="45"/>
      <c r="AU156" s="35">
        <v>0</v>
      </c>
      <c r="AV156" s="35"/>
      <c r="AW156" s="35">
        <v>0</v>
      </c>
      <c r="AX156" s="35"/>
      <c r="AY156" s="35">
        <f t="shared" si="40"/>
        <v>0</v>
      </c>
      <c r="AZ156" s="35"/>
      <c r="BA156" s="35" t="s">
        <v>189</v>
      </c>
      <c r="BB156" s="55"/>
      <c r="BC156" s="35" t="s">
        <v>17</v>
      </c>
      <c r="BD156" s="35"/>
      <c r="BE156" s="35"/>
      <c r="BF156" s="35"/>
      <c r="BG156" s="35"/>
      <c r="BH156" s="35"/>
      <c r="BI156" s="35"/>
      <c r="BJ156" s="35"/>
      <c r="BK156" s="35"/>
      <c r="BL156" s="35"/>
      <c r="BM156" s="35">
        <f t="shared" si="44"/>
        <v>0</v>
      </c>
      <c r="BN156" s="54" t="s">
        <v>347</v>
      </c>
    </row>
    <row r="157" spans="1:66" hidden="1" x14ac:dyDescent="0.2">
      <c r="A157" s="35" t="s">
        <v>188</v>
      </c>
      <c r="C157" s="35" t="s">
        <v>27</v>
      </c>
      <c r="D157" s="35"/>
      <c r="E157" s="35">
        <f t="shared" si="38"/>
        <v>0</v>
      </c>
      <c r="F157" s="35"/>
      <c r="G157" s="35"/>
      <c r="H157" s="35"/>
      <c r="I157" s="35"/>
      <c r="J157" s="35"/>
      <c r="K157" s="35">
        <f t="shared" si="39"/>
        <v>0</v>
      </c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>
        <f t="shared" si="43"/>
        <v>0</v>
      </c>
      <c r="X157" s="35"/>
      <c r="Y157" s="35" t="s">
        <v>188</v>
      </c>
      <c r="Z157" s="55"/>
      <c r="AA157" s="35" t="s">
        <v>27</v>
      </c>
      <c r="AB157" s="35"/>
      <c r="AC157" s="35"/>
      <c r="AD157" s="35"/>
      <c r="AE157" s="35"/>
      <c r="AF157" s="35"/>
      <c r="AG157" s="35"/>
      <c r="AH157" s="35"/>
      <c r="AI157" s="45">
        <f t="shared" si="37"/>
        <v>0</v>
      </c>
      <c r="AJ157" s="45"/>
      <c r="AK157" s="35"/>
      <c r="AL157" s="35"/>
      <c r="AM157" s="35"/>
      <c r="AN157" s="35"/>
      <c r="AO157" s="35"/>
      <c r="AP157" s="35"/>
      <c r="AQ157" s="35"/>
      <c r="AR157" s="35"/>
      <c r="AS157" s="45">
        <f t="shared" si="31"/>
        <v>0</v>
      </c>
      <c r="AT157" s="45"/>
      <c r="AU157" s="35">
        <v>0</v>
      </c>
      <c r="AV157" s="35"/>
      <c r="AW157" s="35">
        <v>0</v>
      </c>
      <c r="AX157" s="35"/>
      <c r="AY157" s="35">
        <f t="shared" si="40"/>
        <v>0</v>
      </c>
      <c r="AZ157" s="35"/>
      <c r="BA157" s="35" t="s">
        <v>188</v>
      </c>
      <c r="BB157" s="55"/>
      <c r="BC157" s="35" t="s">
        <v>27</v>
      </c>
      <c r="BD157" s="35"/>
      <c r="BE157" s="35"/>
      <c r="BF157" s="35"/>
      <c r="BG157" s="35"/>
      <c r="BH157" s="35"/>
      <c r="BI157" s="35"/>
      <c r="BJ157" s="35"/>
      <c r="BK157" s="35"/>
      <c r="BL157" s="35"/>
      <c r="BM157" s="35">
        <f t="shared" si="44"/>
        <v>0</v>
      </c>
      <c r="BN157" s="54" t="s">
        <v>347</v>
      </c>
    </row>
    <row r="158" spans="1:66" hidden="1" x14ac:dyDescent="0.2">
      <c r="A158" s="35" t="s">
        <v>190</v>
      </c>
      <c r="C158" s="35" t="s">
        <v>47</v>
      </c>
      <c r="D158" s="35"/>
      <c r="E158" s="35">
        <f t="shared" si="38"/>
        <v>0</v>
      </c>
      <c r="F158" s="35"/>
      <c r="G158" s="35"/>
      <c r="H158" s="35"/>
      <c r="I158" s="35"/>
      <c r="J158" s="35"/>
      <c r="K158" s="35">
        <f t="shared" si="39"/>
        <v>0</v>
      </c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>
        <f t="shared" si="43"/>
        <v>0</v>
      </c>
      <c r="X158" s="35"/>
      <c r="Y158" s="35" t="s">
        <v>190</v>
      </c>
      <c r="Z158" s="55"/>
      <c r="AA158" s="35" t="s">
        <v>47</v>
      </c>
      <c r="AB158" s="35"/>
      <c r="AC158" s="35"/>
      <c r="AD158" s="35"/>
      <c r="AE158" s="35"/>
      <c r="AF158" s="35"/>
      <c r="AG158" s="35"/>
      <c r="AH158" s="35"/>
      <c r="AI158" s="45">
        <f t="shared" si="37"/>
        <v>0</v>
      </c>
      <c r="AJ158" s="45"/>
      <c r="AK158" s="35"/>
      <c r="AL158" s="35"/>
      <c r="AM158" s="35"/>
      <c r="AN158" s="35"/>
      <c r="AO158" s="35"/>
      <c r="AP158" s="35"/>
      <c r="AQ158" s="35"/>
      <c r="AR158" s="35"/>
      <c r="AS158" s="45">
        <f t="shared" si="31"/>
        <v>0</v>
      </c>
      <c r="AT158" s="45"/>
      <c r="AU158" s="35">
        <v>0</v>
      </c>
      <c r="AV158" s="35"/>
      <c r="AW158" s="35">
        <v>0</v>
      </c>
      <c r="AX158" s="35"/>
      <c r="AY158" s="35">
        <f t="shared" si="40"/>
        <v>0</v>
      </c>
      <c r="AZ158" s="35"/>
      <c r="BA158" s="35" t="s">
        <v>190</v>
      </c>
      <c r="BB158" s="55"/>
      <c r="BC158" s="35" t="s">
        <v>47</v>
      </c>
      <c r="BD158" s="35"/>
      <c r="BE158" s="35"/>
      <c r="BF158" s="35"/>
      <c r="BG158" s="35"/>
      <c r="BH158" s="35"/>
      <c r="BI158" s="35"/>
      <c r="BJ158" s="35"/>
      <c r="BK158" s="35"/>
      <c r="BL158" s="35"/>
      <c r="BM158" s="35">
        <f t="shared" si="44"/>
        <v>0</v>
      </c>
      <c r="BN158" s="54" t="s">
        <v>347</v>
      </c>
    </row>
    <row r="159" spans="1:66" hidden="1" x14ac:dyDescent="0.2">
      <c r="A159" s="35" t="s">
        <v>191</v>
      </c>
      <c r="C159" s="35" t="s">
        <v>13</v>
      </c>
      <c r="D159" s="35"/>
      <c r="E159" s="35">
        <f t="shared" si="38"/>
        <v>0</v>
      </c>
      <c r="F159" s="35"/>
      <c r="G159" s="35"/>
      <c r="H159" s="35"/>
      <c r="I159" s="35"/>
      <c r="J159" s="35"/>
      <c r="K159" s="35">
        <f t="shared" si="39"/>
        <v>0</v>
      </c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>
        <f t="shared" si="43"/>
        <v>0</v>
      </c>
      <c r="X159" s="35"/>
      <c r="Y159" s="35" t="s">
        <v>191</v>
      </c>
      <c r="Z159" s="55"/>
      <c r="AA159" s="35" t="s">
        <v>13</v>
      </c>
      <c r="AB159" s="35"/>
      <c r="AC159" s="35"/>
      <c r="AD159" s="35"/>
      <c r="AE159" s="35"/>
      <c r="AF159" s="35"/>
      <c r="AG159" s="35"/>
      <c r="AH159" s="35"/>
      <c r="AI159" s="45">
        <f t="shared" si="37"/>
        <v>0</v>
      </c>
      <c r="AJ159" s="45"/>
      <c r="AK159" s="35"/>
      <c r="AL159" s="35"/>
      <c r="AM159" s="35"/>
      <c r="AN159" s="35"/>
      <c r="AO159" s="35"/>
      <c r="AP159" s="35"/>
      <c r="AQ159" s="35"/>
      <c r="AR159" s="35"/>
      <c r="AS159" s="45">
        <f t="shared" si="31"/>
        <v>0</v>
      </c>
      <c r="AT159" s="45"/>
      <c r="AU159" s="35">
        <v>0</v>
      </c>
      <c r="AV159" s="35"/>
      <c r="AW159" s="35">
        <v>0</v>
      </c>
      <c r="AX159" s="35"/>
      <c r="AY159" s="35">
        <f t="shared" si="40"/>
        <v>0</v>
      </c>
      <c r="AZ159" s="35"/>
      <c r="BA159" s="35" t="s">
        <v>191</v>
      </c>
      <c r="BB159" s="55"/>
      <c r="BC159" s="35" t="s">
        <v>13</v>
      </c>
      <c r="BD159" s="35"/>
      <c r="BE159" s="35"/>
      <c r="BF159" s="35"/>
      <c r="BG159" s="35"/>
      <c r="BH159" s="35"/>
      <c r="BI159" s="35"/>
      <c r="BJ159" s="35"/>
      <c r="BK159" s="35"/>
      <c r="BL159" s="35"/>
      <c r="BM159" s="35">
        <f t="shared" si="44"/>
        <v>0</v>
      </c>
      <c r="BN159" s="54" t="s">
        <v>347</v>
      </c>
    </row>
    <row r="160" spans="1:66" x14ac:dyDescent="0.2">
      <c r="A160" s="35" t="s">
        <v>192</v>
      </c>
      <c r="C160" s="35" t="s">
        <v>38</v>
      </c>
      <c r="D160" s="35"/>
      <c r="E160" s="35">
        <f t="shared" si="38"/>
        <v>1089003</v>
      </c>
      <c r="F160" s="35"/>
      <c r="G160" s="35">
        <v>552111</v>
      </c>
      <c r="H160" s="35"/>
      <c r="I160" s="35">
        <v>1641114</v>
      </c>
      <c r="J160" s="35"/>
      <c r="K160" s="35">
        <f t="shared" si="39"/>
        <v>82551</v>
      </c>
      <c r="L160" s="35"/>
      <c r="M160" s="35">
        <v>53717</v>
      </c>
      <c r="N160" s="35"/>
      <c r="O160" s="35">
        <v>136268</v>
      </c>
      <c r="P160" s="35"/>
      <c r="Q160" s="35">
        <v>552111</v>
      </c>
      <c r="R160" s="35"/>
      <c r="S160" s="35">
        <v>0</v>
      </c>
      <c r="T160" s="35"/>
      <c r="U160" s="35">
        <v>952735</v>
      </c>
      <c r="V160" s="35"/>
      <c r="W160" s="35">
        <f t="shared" si="43"/>
        <v>1504846</v>
      </c>
      <c r="X160" s="35"/>
      <c r="Y160" s="35" t="s">
        <v>192</v>
      </c>
      <c r="Z160" s="55"/>
      <c r="AA160" s="35" t="s">
        <v>38</v>
      </c>
      <c r="AB160" s="35"/>
      <c r="AC160" s="35">
        <v>51969</v>
      </c>
      <c r="AD160" s="35"/>
      <c r="AE160" s="35">
        <f>1020237-66885</f>
        <v>953352</v>
      </c>
      <c r="AF160" s="35"/>
      <c r="AG160" s="35">
        <v>66885</v>
      </c>
      <c r="AH160" s="35"/>
      <c r="AI160" s="45">
        <f t="shared" si="37"/>
        <v>-968268</v>
      </c>
      <c r="AJ160" s="45"/>
      <c r="AK160" s="35">
        <v>1027141</v>
      </c>
      <c r="AL160" s="35"/>
      <c r="AM160" s="35">
        <v>0</v>
      </c>
      <c r="AN160" s="35"/>
      <c r="AO160" s="35">
        <v>0</v>
      </c>
      <c r="AP160" s="35"/>
      <c r="AQ160" s="35">
        <v>0</v>
      </c>
      <c r="AR160" s="35"/>
      <c r="AS160" s="45">
        <f t="shared" si="31"/>
        <v>58873</v>
      </c>
      <c r="AT160" s="45"/>
      <c r="AU160" s="35">
        <v>0</v>
      </c>
      <c r="AV160" s="35"/>
      <c r="AW160" s="35">
        <v>0</v>
      </c>
      <c r="AX160" s="35"/>
      <c r="AY160" s="35">
        <f t="shared" si="40"/>
        <v>1006452</v>
      </c>
      <c r="AZ160" s="35"/>
      <c r="BA160" s="35" t="s">
        <v>192</v>
      </c>
      <c r="BB160" s="55"/>
      <c r="BC160" s="35" t="s">
        <v>38</v>
      </c>
      <c r="BD160" s="35"/>
      <c r="BE160" s="35">
        <v>0</v>
      </c>
      <c r="BF160" s="35"/>
      <c r="BG160" s="35">
        <v>0</v>
      </c>
      <c r="BH160" s="35"/>
      <c r="BI160" s="35">
        <v>0</v>
      </c>
      <c r="BJ160" s="35"/>
      <c r="BK160" s="35">
        <f>53717+27307</f>
        <v>81024</v>
      </c>
      <c r="BL160" s="35"/>
      <c r="BM160" s="35">
        <f t="shared" si="44"/>
        <v>81024</v>
      </c>
      <c r="BN160" s="54" t="s">
        <v>347</v>
      </c>
    </row>
    <row r="161" spans="1:67" x14ac:dyDescent="0.2">
      <c r="A161" s="35" t="s">
        <v>193</v>
      </c>
      <c r="C161" s="35" t="s">
        <v>45</v>
      </c>
      <c r="D161" s="35"/>
      <c r="E161" s="35">
        <f t="shared" si="38"/>
        <v>517666</v>
      </c>
      <c r="F161" s="35"/>
      <c r="G161" s="35">
        <v>0</v>
      </c>
      <c r="H161" s="35"/>
      <c r="I161" s="35">
        <v>517666</v>
      </c>
      <c r="J161" s="35"/>
      <c r="K161" s="35">
        <f t="shared" si="39"/>
        <v>609741</v>
      </c>
      <c r="L161" s="35"/>
      <c r="M161" s="35">
        <v>0</v>
      </c>
      <c r="N161" s="35"/>
      <c r="O161" s="35">
        <v>609741</v>
      </c>
      <c r="P161" s="35"/>
      <c r="Q161" s="35">
        <v>0</v>
      </c>
      <c r="R161" s="35"/>
      <c r="S161" s="35">
        <v>0</v>
      </c>
      <c r="T161" s="35"/>
      <c r="U161" s="35">
        <v>-92075</v>
      </c>
      <c r="V161" s="35"/>
      <c r="W161" s="35">
        <f t="shared" si="43"/>
        <v>-92075</v>
      </c>
      <c r="X161" s="35"/>
      <c r="Y161" s="35" t="s">
        <v>193</v>
      </c>
      <c r="Z161" s="55"/>
      <c r="AA161" s="35" t="s">
        <v>45</v>
      </c>
      <c r="AB161" s="35"/>
      <c r="AC161" s="35">
        <v>1227169</v>
      </c>
      <c r="AD161" s="35"/>
      <c r="AE161" s="35">
        <v>1835672</v>
      </c>
      <c r="AF161" s="35"/>
      <c r="AG161" s="35">
        <v>0</v>
      </c>
      <c r="AH161" s="35"/>
      <c r="AI161" s="45">
        <f t="shared" si="37"/>
        <v>-608503</v>
      </c>
      <c r="AJ161" s="45"/>
      <c r="AK161" s="35">
        <v>0</v>
      </c>
      <c r="AL161" s="35"/>
      <c r="AM161" s="35">
        <v>0</v>
      </c>
      <c r="AN161" s="35"/>
      <c r="AO161" s="35">
        <v>0</v>
      </c>
      <c r="AP161" s="35"/>
      <c r="AQ161" s="35">
        <v>0</v>
      </c>
      <c r="AR161" s="35"/>
      <c r="AS161" s="45">
        <f t="shared" si="31"/>
        <v>-608503</v>
      </c>
      <c r="AT161" s="45"/>
      <c r="AU161" s="35">
        <v>0</v>
      </c>
      <c r="AV161" s="35"/>
      <c r="AW161" s="35">
        <v>0</v>
      </c>
      <c r="AX161" s="35"/>
      <c r="AY161" s="35">
        <f t="shared" si="40"/>
        <v>-92075</v>
      </c>
      <c r="AZ161" s="35"/>
      <c r="BA161" s="35" t="s">
        <v>193</v>
      </c>
      <c r="BB161" s="55"/>
      <c r="BC161" s="35" t="s">
        <v>45</v>
      </c>
      <c r="BD161" s="35"/>
      <c r="BE161" s="35">
        <v>0</v>
      </c>
      <c r="BF161" s="35"/>
      <c r="BG161" s="35">
        <v>0</v>
      </c>
      <c r="BH161" s="35"/>
      <c r="BI161" s="35">
        <v>0</v>
      </c>
      <c r="BJ161" s="35"/>
      <c r="BK161" s="35">
        <v>0</v>
      </c>
      <c r="BL161" s="35"/>
      <c r="BM161" s="35">
        <f t="shared" si="44"/>
        <v>0</v>
      </c>
      <c r="BN161" s="54" t="s">
        <v>347</v>
      </c>
    </row>
    <row r="162" spans="1:67" hidden="1" x14ac:dyDescent="0.2">
      <c r="A162" s="35" t="s">
        <v>194</v>
      </c>
      <c r="C162" s="35" t="s">
        <v>66</v>
      </c>
      <c r="D162" s="35"/>
      <c r="E162" s="35">
        <f t="shared" si="38"/>
        <v>0</v>
      </c>
      <c r="F162" s="35"/>
      <c r="G162" s="35"/>
      <c r="H162" s="35"/>
      <c r="I162" s="35"/>
      <c r="J162" s="35"/>
      <c r="K162" s="35">
        <f t="shared" si="39"/>
        <v>0</v>
      </c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>
        <f t="shared" si="43"/>
        <v>0</v>
      </c>
      <c r="X162" s="35"/>
      <c r="Y162" s="35" t="s">
        <v>194</v>
      </c>
      <c r="Z162" s="55"/>
      <c r="AA162" s="35" t="s">
        <v>66</v>
      </c>
      <c r="AB162" s="35"/>
      <c r="AC162" s="35"/>
      <c r="AD162" s="35"/>
      <c r="AE162" s="35"/>
      <c r="AF162" s="35"/>
      <c r="AG162" s="35"/>
      <c r="AH162" s="35"/>
      <c r="AI162" s="45">
        <f t="shared" si="37"/>
        <v>0</v>
      </c>
      <c r="AJ162" s="45"/>
      <c r="AK162" s="35"/>
      <c r="AL162" s="35"/>
      <c r="AM162" s="35"/>
      <c r="AN162" s="35"/>
      <c r="AO162" s="35"/>
      <c r="AP162" s="35"/>
      <c r="AQ162" s="35"/>
      <c r="AR162" s="35"/>
      <c r="AS162" s="45">
        <f t="shared" si="31"/>
        <v>0</v>
      </c>
      <c r="AT162" s="45"/>
      <c r="AU162" s="35">
        <v>0</v>
      </c>
      <c r="AV162" s="35"/>
      <c r="AW162" s="35">
        <v>0</v>
      </c>
      <c r="AX162" s="35"/>
      <c r="AY162" s="35">
        <f t="shared" si="40"/>
        <v>0</v>
      </c>
      <c r="AZ162" s="35"/>
      <c r="BA162" s="35" t="s">
        <v>194</v>
      </c>
      <c r="BB162" s="55"/>
      <c r="BC162" s="35" t="s">
        <v>66</v>
      </c>
      <c r="BD162" s="35"/>
      <c r="BE162" s="35"/>
      <c r="BF162" s="35"/>
      <c r="BG162" s="35"/>
      <c r="BH162" s="35"/>
      <c r="BI162" s="35"/>
      <c r="BJ162" s="35"/>
      <c r="BK162" s="35"/>
      <c r="BL162" s="35"/>
      <c r="BM162" s="35">
        <f t="shared" si="44"/>
        <v>0</v>
      </c>
      <c r="BN162" s="54" t="s">
        <v>347</v>
      </c>
    </row>
    <row r="163" spans="1:67" x14ac:dyDescent="0.2">
      <c r="A163" s="35" t="s">
        <v>195</v>
      </c>
      <c r="C163" s="35" t="s">
        <v>17</v>
      </c>
      <c r="D163" s="35"/>
      <c r="E163" s="35">
        <f t="shared" si="38"/>
        <v>1341582</v>
      </c>
      <c r="F163" s="35"/>
      <c r="G163" s="35">
        <v>219903</v>
      </c>
      <c r="H163" s="35"/>
      <c r="I163" s="35">
        <v>1561485</v>
      </c>
      <c r="J163" s="35"/>
      <c r="K163" s="35">
        <f t="shared" si="39"/>
        <v>378976</v>
      </c>
      <c r="L163" s="35"/>
      <c r="M163" s="35">
        <v>13741</v>
      </c>
      <c r="N163" s="35"/>
      <c r="O163" s="35">
        <v>392717</v>
      </c>
      <c r="P163" s="35"/>
      <c r="Q163" s="35">
        <v>219903</v>
      </c>
      <c r="R163" s="35"/>
      <c r="S163" s="35">
        <v>0</v>
      </c>
      <c r="T163" s="35"/>
      <c r="U163" s="35">
        <v>948865</v>
      </c>
      <c r="V163" s="35"/>
      <c r="W163" s="35">
        <f t="shared" si="43"/>
        <v>1168768</v>
      </c>
      <c r="X163" s="35"/>
      <c r="Y163" s="35" t="s">
        <v>195</v>
      </c>
      <c r="Z163" s="55"/>
      <c r="AA163" s="35" t="s">
        <v>17</v>
      </c>
      <c r="AB163" s="35"/>
      <c r="AC163" s="35">
        <v>554156</v>
      </c>
      <c r="AD163" s="35"/>
      <c r="AE163" s="35">
        <f>609244-47353</f>
        <v>561891</v>
      </c>
      <c r="AF163" s="35"/>
      <c r="AG163" s="35">
        <v>47353</v>
      </c>
      <c r="AH163" s="35"/>
      <c r="AI163" s="45">
        <f t="shared" si="37"/>
        <v>-55088</v>
      </c>
      <c r="AJ163" s="45"/>
      <c r="AK163" s="35">
        <v>342168</v>
      </c>
      <c r="AL163" s="35"/>
      <c r="AM163" s="35">
        <v>0</v>
      </c>
      <c r="AN163" s="35"/>
      <c r="AO163" s="35">
        <v>187928</v>
      </c>
      <c r="AP163" s="35"/>
      <c r="AQ163" s="35">
        <v>0</v>
      </c>
      <c r="AR163" s="35"/>
      <c r="AS163" s="45">
        <f t="shared" si="31"/>
        <v>99152</v>
      </c>
      <c r="AT163" s="45"/>
      <c r="AU163" s="35">
        <v>0</v>
      </c>
      <c r="AV163" s="35"/>
      <c r="AW163" s="35">
        <v>0</v>
      </c>
      <c r="AX163" s="35"/>
      <c r="AY163" s="35">
        <f t="shared" si="40"/>
        <v>962606</v>
      </c>
      <c r="AZ163" s="35"/>
      <c r="BA163" s="35" t="s">
        <v>195</v>
      </c>
      <c r="BB163" s="55"/>
      <c r="BC163" s="35" t="s">
        <v>17</v>
      </c>
      <c r="BD163" s="35"/>
      <c r="BE163" s="35">
        <v>0</v>
      </c>
      <c r="BF163" s="35"/>
      <c r="BG163" s="35">
        <v>0</v>
      </c>
      <c r="BH163" s="35"/>
      <c r="BI163" s="35">
        <v>0</v>
      </c>
      <c r="BJ163" s="35"/>
      <c r="BK163" s="35">
        <f>13741+12803</f>
        <v>26544</v>
      </c>
      <c r="BL163" s="35"/>
      <c r="BM163" s="35">
        <f t="shared" si="44"/>
        <v>26544</v>
      </c>
      <c r="BN163" s="54" t="s">
        <v>347</v>
      </c>
    </row>
    <row r="164" spans="1:67" hidden="1" x14ac:dyDescent="0.2">
      <c r="A164" s="35" t="s">
        <v>196</v>
      </c>
      <c r="C164" s="35" t="s">
        <v>27</v>
      </c>
      <c r="D164" s="35"/>
      <c r="E164" s="35">
        <f t="shared" si="38"/>
        <v>0</v>
      </c>
      <c r="F164" s="35"/>
      <c r="G164" s="35"/>
      <c r="H164" s="35"/>
      <c r="I164" s="35"/>
      <c r="J164" s="35"/>
      <c r="K164" s="35">
        <f t="shared" si="39"/>
        <v>0</v>
      </c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>
        <f t="shared" si="43"/>
        <v>0</v>
      </c>
      <c r="X164" s="35"/>
      <c r="Y164" s="35" t="s">
        <v>196</v>
      </c>
      <c r="Z164" s="55"/>
      <c r="AA164" s="35" t="s">
        <v>27</v>
      </c>
      <c r="AB164" s="35"/>
      <c r="AC164" s="35"/>
      <c r="AD164" s="35"/>
      <c r="AE164" s="35"/>
      <c r="AF164" s="35"/>
      <c r="AG164" s="35"/>
      <c r="AH164" s="35"/>
      <c r="AI164" s="45">
        <f t="shared" si="37"/>
        <v>0</v>
      </c>
      <c r="AJ164" s="45"/>
      <c r="AK164" s="35"/>
      <c r="AL164" s="35"/>
      <c r="AM164" s="35"/>
      <c r="AN164" s="35"/>
      <c r="AO164" s="35"/>
      <c r="AP164" s="35"/>
      <c r="AQ164" s="35"/>
      <c r="AR164" s="35"/>
      <c r="AS164" s="45">
        <f t="shared" si="31"/>
        <v>0</v>
      </c>
      <c r="AT164" s="45"/>
      <c r="AU164" s="35">
        <v>0</v>
      </c>
      <c r="AV164" s="35"/>
      <c r="AW164" s="35">
        <v>0</v>
      </c>
      <c r="AX164" s="35"/>
      <c r="AY164" s="35">
        <f t="shared" si="40"/>
        <v>0</v>
      </c>
      <c r="AZ164" s="35"/>
      <c r="BA164" s="35" t="s">
        <v>196</v>
      </c>
      <c r="BB164" s="55"/>
      <c r="BC164" s="35" t="s">
        <v>27</v>
      </c>
      <c r="BD164" s="35"/>
      <c r="BE164" s="35"/>
      <c r="BF164" s="35"/>
      <c r="BG164" s="35"/>
      <c r="BH164" s="35"/>
      <c r="BI164" s="35"/>
      <c r="BJ164" s="35"/>
      <c r="BK164" s="35"/>
      <c r="BL164" s="35"/>
      <c r="BM164" s="35">
        <f t="shared" si="44"/>
        <v>0</v>
      </c>
      <c r="BN164" s="54" t="s">
        <v>347</v>
      </c>
    </row>
    <row r="165" spans="1:67" hidden="1" x14ac:dyDescent="0.2">
      <c r="A165" s="35" t="s">
        <v>402</v>
      </c>
      <c r="C165" s="35" t="s">
        <v>153</v>
      </c>
      <c r="D165" s="35"/>
      <c r="E165" s="35">
        <f t="shared" si="38"/>
        <v>0</v>
      </c>
      <c r="F165" s="35"/>
      <c r="G165" s="35"/>
      <c r="H165" s="35"/>
      <c r="I165" s="35"/>
      <c r="J165" s="35"/>
      <c r="K165" s="35">
        <f t="shared" si="39"/>
        <v>0</v>
      </c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>
        <f t="shared" si="43"/>
        <v>0</v>
      </c>
      <c r="X165" s="35"/>
      <c r="Y165" s="35" t="s">
        <v>402</v>
      </c>
      <c r="Z165" s="55"/>
      <c r="AA165" s="35" t="s">
        <v>153</v>
      </c>
      <c r="AB165" s="35"/>
      <c r="AC165" s="35"/>
      <c r="AD165" s="35"/>
      <c r="AE165" s="35"/>
      <c r="AF165" s="35"/>
      <c r="AG165" s="35"/>
      <c r="AH165" s="35"/>
      <c r="AI165" s="45">
        <f t="shared" si="37"/>
        <v>0</v>
      </c>
      <c r="AJ165" s="45"/>
      <c r="AK165" s="35"/>
      <c r="AL165" s="35"/>
      <c r="AM165" s="35"/>
      <c r="AN165" s="35"/>
      <c r="AO165" s="35"/>
      <c r="AP165" s="35"/>
      <c r="AQ165" s="35"/>
      <c r="AR165" s="35"/>
      <c r="AS165" s="45">
        <f t="shared" si="31"/>
        <v>0</v>
      </c>
      <c r="AT165" s="45"/>
      <c r="AU165" s="35">
        <v>0</v>
      </c>
      <c r="AV165" s="35"/>
      <c r="AW165" s="35">
        <v>0</v>
      </c>
      <c r="AX165" s="35"/>
      <c r="AY165" s="35">
        <f t="shared" si="40"/>
        <v>0</v>
      </c>
      <c r="AZ165" s="35"/>
      <c r="BA165" s="35" t="s">
        <v>402</v>
      </c>
      <c r="BB165" s="55"/>
      <c r="BC165" s="35" t="s">
        <v>153</v>
      </c>
      <c r="BD165" s="35"/>
      <c r="BE165" s="35"/>
      <c r="BF165" s="35"/>
      <c r="BG165" s="35"/>
      <c r="BH165" s="35"/>
      <c r="BI165" s="35"/>
      <c r="BJ165" s="35"/>
      <c r="BK165" s="35"/>
      <c r="BL165" s="35"/>
      <c r="BM165" s="35">
        <f t="shared" si="44"/>
        <v>0</v>
      </c>
      <c r="BN165" s="54" t="s">
        <v>347</v>
      </c>
    </row>
    <row r="166" spans="1:67" hidden="1" x14ac:dyDescent="0.2">
      <c r="A166" s="35" t="s">
        <v>197</v>
      </c>
      <c r="C166" s="35" t="s">
        <v>163</v>
      </c>
      <c r="D166" s="35"/>
      <c r="E166" s="35">
        <f t="shared" si="38"/>
        <v>0</v>
      </c>
      <c r="F166" s="35"/>
      <c r="G166" s="35"/>
      <c r="H166" s="35"/>
      <c r="I166" s="35"/>
      <c r="J166" s="35"/>
      <c r="K166" s="35">
        <f t="shared" si="39"/>
        <v>0</v>
      </c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>
        <f t="shared" si="43"/>
        <v>0</v>
      </c>
      <c r="X166" s="35"/>
      <c r="Y166" s="35" t="s">
        <v>197</v>
      </c>
      <c r="Z166" s="55"/>
      <c r="AA166" s="35" t="s">
        <v>163</v>
      </c>
      <c r="AB166" s="35"/>
      <c r="AC166" s="35"/>
      <c r="AD166" s="35"/>
      <c r="AE166" s="35"/>
      <c r="AF166" s="35"/>
      <c r="AG166" s="35"/>
      <c r="AH166" s="35"/>
      <c r="AI166" s="45">
        <f t="shared" si="37"/>
        <v>0</v>
      </c>
      <c r="AJ166" s="45"/>
      <c r="AK166" s="35"/>
      <c r="AL166" s="35"/>
      <c r="AM166" s="35"/>
      <c r="AN166" s="35"/>
      <c r="AO166" s="35"/>
      <c r="AP166" s="35"/>
      <c r="AQ166" s="35"/>
      <c r="AR166" s="35"/>
      <c r="AS166" s="45">
        <f t="shared" si="31"/>
        <v>0</v>
      </c>
      <c r="AT166" s="45"/>
      <c r="AU166" s="35">
        <v>0</v>
      </c>
      <c r="AV166" s="35"/>
      <c r="AW166" s="35">
        <v>0</v>
      </c>
      <c r="AX166" s="35"/>
      <c r="AY166" s="35">
        <f t="shared" si="40"/>
        <v>0</v>
      </c>
      <c r="AZ166" s="35"/>
      <c r="BA166" s="35" t="s">
        <v>197</v>
      </c>
      <c r="BB166" s="55"/>
      <c r="BC166" s="35" t="s">
        <v>163</v>
      </c>
      <c r="BD166" s="35"/>
      <c r="BE166" s="35"/>
      <c r="BF166" s="35"/>
      <c r="BG166" s="35"/>
      <c r="BH166" s="35"/>
      <c r="BI166" s="35"/>
      <c r="BJ166" s="35"/>
      <c r="BK166" s="35"/>
      <c r="BL166" s="35"/>
      <c r="BM166" s="35">
        <f t="shared" si="44"/>
        <v>0</v>
      </c>
      <c r="BN166" s="54" t="s">
        <v>347</v>
      </c>
    </row>
    <row r="167" spans="1:67" hidden="1" x14ac:dyDescent="0.2">
      <c r="A167" s="35" t="s">
        <v>198</v>
      </c>
      <c r="C167" s="35" t="s">
        <v>199</v>
      </c>
      <c r="D167" s="35"/>
      <c r="E167" s="35">
        <f t="shared" si="38"/>
        <v>0</v>
      </c>
      <c r="F167" s="35"/>
      <c r="G167" s="35"/>
      <c r="H167" s="35"/>
      <c r="I167" s="35"/>
      <c r="J167" s="35"/>
      <c r="K167" s="35">
        <f t="shared" si="39"/>
        <v>0</v>
      </c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>
        <f t="shared" si="43"/>
        <v>0</v>
      </c>
      <c r="X167" s="35"/>
      <c r="Y167" s="35" t="s">
        <v>198</v>
      </c>
      <c r="Z167" s="55"/>
      <c r="AA167" s="35" t="s">
        <v>199</v>
      </c>
      <c r="AB167" s="35"/>
      <c r="AC167" s="35"/>
      <c r="AD167" s="35"/>
      <c r="AE167" s="35"/>
      <c r="AF167" s="35"/>
      <c r="AG167" s="35"/>
      <c r="AH167" s="35"/>
      <c r="AI167" s="45">
        <f t="shared" si="37"/>
        <v>0</v>
      </c>
      <c r="AJ167" s="45"/>
      <c r="AK167" s="35"/>
      <c r="AL167" s="35"/>
      <c r="AM167" s="35"/>
      <c r="AN167" s="35"/>
      <c r="AO167" s="35"/>
      <c r="AP167" s="35"/>
      <c r="AQ167" s="35"/>
      <c r="AR167" s="35"/>
      <c r="AS167" s="45">
        <f t="shared" si="31"/>
        <v>0</v>
      </c>
      <c r="AT167" s="45"/>
      <c r="AU167" s="35">
        <v>0</v>
      </c>
      <c r="AV167" s="35"/>
      <c r="AW167" s="35">
        <v>0</v>
      </c>
      <c r="AX167" s="35"/>
      <c r="AY167" s="35">
        <f t="shared" si="40"/>
        <v>0</v>
      </c>
      <c r="AZ167" s="35"/>
      <c r="BA167" s="35" t="s">
        <v>198</v>
      </c>
      <c r="BB167" s="55"/>
      <c r="BC167" s="35" t="s">
        <v>199</v>
      </c>
      <c r="BD167" s="35"/>
      <c r="BE167" s="35"/>
      <c r="BF167" s="35"/>
      <c r="BG167" s="35"/>
      <c r="BH167" s="35"/>
      <c r="BI167" s="35"/>
      <c r="BJ167" s="35"/>
      <c r="BK167" s="35"/>
      <c r="BL167" s="35"/>
      <c r="BM167" s="35">
        <f t="shared" si="44"/>
        <v>0</v>
      </c>
      <c r="BN167" s="54" t="s">
        <v>347</v>
      </c>
      <c r="BO167" s="55" t="s">
        <v>371</v>
      </c>
    </row>
    <row r="168" spans="1:67" x14ac:dyDescent="0.2">
      <c r="A168" s="35" t="s">
        <v>200</v>
      </c>
      <c r="C168" s="35" t="s">
        <v>103</v>
      </c>
      <c r="D168" s="35"/>
      <c r="E168" s="35">
        <f t="shared" si="38"/>
        <v>2912336</v>
      </c>
      <c r="F168" s="35"/>
      <c r="G168" s="35">
        <v>36096</v>
      </c>
      <c r="H168" s="35"/>
      <c r="I168" s="35">
        <v>2948432</v>
      </c>
      <c r="J168" s="35"/>
      <c r="K168" s="35">
        <f t="shared" si="39"/>
        <v>378328</v>
      </c>
      <c r="L168" s="35"/>
      <c r="M168" s="35">
        <v>1793564</v>
      </c>
      <c r="N168" s="35"/>
      <c r="O168" s="35">
        <v>2171892</v>
      </c>
      <c r="P168" s="35"/>
      <c r="Q168" s="35">
        <v>36096</v>
      </c>
      <c r="R168" s="35"/>
      <c r="S168" s="35">
        <v>0</v>
      </c>
      <c r="T168" s="35"/>
      <c r="U168" s="35">
        <v>740444</v>
      </c>
      <c r="V168" s="35"/>
      <c r="W168" s="35">
        <f t="shared" si="43"/>
        <v>776540</v>
      </c>
      <c r="X168" s="35"/>
      <c r="Y168" s="35" t="s">
        <v>200</v>
      </c>
      <c r="Z168" s="55"/>
      <c r="AA168" s="35" t="s">
        <v>103</v>
      </c>
      <c r="AB168" s="35"/>
      <c r="AC168" s="35">
        <v>1640491</v>
      </c>
      <c r="AD168" s="35"/>
      <c r="AE168" s="35">
        <f>1389543-33244</f>
        <v>1356299</v>
      </c>
      <c r="AF168" s="35"/>
      <c r="AG168" s="35">
        <v>33244</v>
      </c>
      <c r="AH168" s="35"/>
      <c r="AI168" s="45">
        <f t="shared" si="37"/>
        <v>250948</v>
      </c>
      <c r="AJ168" s="45"/>
      <c r="AK168" s="35">
        <v>-3226</v>
      </c>
      <c r="AL168" s="35"/>
      <c r="AM168" s="35">
        <v>0</v>
      </c>
      <c r="AN168" s="35"/>
      <c r="AO168" s="35">
        <v>0</v>
      </c>
      <c r="AP168" s="35"/>
      <c r="AQ168" s="35">
        <v>0</v>
      </c>
      <c r="AR168" s="35"/>
      <c r="AS168" s="45">
        <f t="shared" si="31"/>
        <v>247722</v>
      </c>
      <c r="AT168" s="45"/>
      <c r="AU168" s="35">
        <v>0</v>
      </c>
      <c r="AV168" s="35"/>
      <c r="AW168" s="35">
        <v>0</v>
      </c>
      <c r="AX168" s="35"/>
      <c r="AY168" s="35">
        <f t="shared" si="40"/>
        <v>2534008</v>
      </c>
      <c r="AZ168" s="35"/>
      <c r="BA168" s="35" t="s">
        <v>200</v>
      </c>
      <c r="BB168" s="55"/>
      <c r="BC168" s="35" t="s">
        <v>103</v>
      </c>
      <c r="BD168" s="35"/>
      <c r="BE168" s="35">
        <f>703074+260723</f>
        <v>963797</v>
      </c>
      <c r="BF168" s="35"/>
      <c r="BG168" s="35">
        <v>0</v>
      </c>
      <c r="BH168" s="35"/>
      <c r="BI168" s="35">
        <v>0</v>
      </c>
      <c r="BJ168" s="35"/>
      <c r="BK168" s="35">
        <f>9735+1080755+7846</f>
        <v>1098336</v>
      </c>
      <c r="BL168" s="35"/>
      <c r="BM168" s="35">
        <f t="shared" si="44"/>
        <v>2062133</v>
      </c>
      <c r="BN168" s="54" t="s">
        <v>347</v>
      </c>
    </row>
    <row r="169" spans="1:67" hidden="1" x14ac:dyDescent="0.2">
      <c r="A169" s="35" t="s">
        <v>201</v>
      </c>
      <c r="C169" s="35" t="s">
        <v>92</v>
      </c>
      <c r="D169" s="35"/>
      <c r="E169" s="35">
        <f t="shared" si="38"/>
        <v>0</v>
      </c>
      <c r="F169" s="35"/>
      <c r="G169" s="35"/>
      <c r="H169" s="35"/>
      <c r="I169" s="35"/>
      <c r="J169" s="35"/>
      <c r="K169" s="35">
        <f t="shared" si="39"/>
        <v>0</v>
      </c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>
        <f t="shared" si="41"/>
        <v>0</v>
      </c>
      <c r="X169" s="35"/>
      <c r="Y169" s="35" t="s">
        <v>201</v>
      </c>
      <c r="Z169" s="55"/>
      <c r="AA169" s="35" t="s">
        <v>92</v>
      </c>
      <c r="AB169" s="35"/>
      <c r="AC169" s="35"/>
      <c r="AD169" s="35"/>
      <c r="AE169" s="35"/>
      <c r="AF169" s="35"/>
      <c r="AG169" s="35"/>
      <c r="AH169" s="35"/>
      <c r="AI169" s="45">
        <f t="shared" si="37"/>
        <v>0</v>
      </c>
      <c r="AJ169" s="45"/>
      <c r="AK169" s="35"/>
      <c r="AL169" s="35"/>
      <c r="AM169" s="35"/>
      <c r="AN169" s="35"/>
      <c r="AO169" s="35"/>
      <c r="AP169" s="35"/>
      <c r="AQ169" s="35"/>
      <c r="AR169" s="35"/>
      <c r="AS169" s="45">
        <f t="shared" si="31"/>
        <v>0</v>
      </c>
      <c r="AT169" s="45"/>
      <c r="AU169" s="35">
        <v>0</v>
      </c>
      <c r="AV169" s="35"/>
      <c r="AW169" s="35">
        <v>0</v>
      </c>
      <c r="AX169" s="35"/>
      <c r="AY169" s="35">
        <f t="shared" si="40"/>
        <v>0</v>
      </c>
      <c r="AZ169" s="35"/>
      <c r="BA169" s="35" t="s">
        <v>201</v>
      </c>
      <c r="BB169" s="55"/>
      <c r="BC169" s="35" t="s">
        <v>92</v>
      </c>
      <c r="BD169" s="35"/>
      <c r="BE169" s="35"/>
      <c r="BF169" s="35"/>
      <c r="BG169" s="35"/>
      <c r="BH169" s="35"/>
      <c r="BI169" s="35"/>
      <c r="BJ169" s="35"/>
      <c r="BK169" s="35"/>
      <c r="BL169" s="35"/>
      <c r="BM169" s="35">
        <f t="shared" si="42"/>
        <v>0</v>
      </c>
      <c r="BN169" s="54" t="s">
        <v>347</v>
      </c>
    </row>
    <row r="170" spans="1:67" hidden="1" x14ac:dyDescent="0.2">
      <c r="A170" s="35" t="s">
        <v>202</v>
      </c>
      <c r="C170" s="35" t="s">
        <v>27</v>
      </c>
      <c r="D170" s="35"/>
      <c r="E170" s="35">
        <f t="shared" si="38"/>
        <v>0</v>
      </c>
      <c r="F170" s="35"/>
      <c r="G170" s="35"/>
      <c r="H170" s="35"/>
      <c r="I170" s="35"/>
      <c r="J170" s="35"/>
      <c r="K170" s="35">
        <f t="shared" si="39"/>
        <v>0</v>
      </c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>
        <f t="shared" si="41"/>
        <v>0</v>
      </c>
      <c r="X170" s="35"/>
      <c r="Y170" s="35" t="s">
        <v>202</v>
      </c>
      <c r="Z170" s="55"/>
      <c r="AA170" s="35" t="s">
        <v>27</v>
      </c>
      <c r="AB170" s="35"/>
      <c r="AC170" s="35"/>
      <c r="AD170" s="35"/>
      <c r="AE170" s="35"/>
      <c r="AF170" s="35"/>
      <c r="AG170" s="35"/>
      <c r="AH170" s="35"/>
      <c r="AI170" s="45">
        <f t="shared" si="37"/>
        <v>0</v>
      </c>
      <c r="AJ170" s="45"/>
      <c r="AK170" s="35"/>
      <c r="AL170" s="35"/>
      <c r="AM170" s="35"/>
      <c r="AN170" s="35"/>
      <c r="AO170" s="35"/>
      <c r="AP170" s="35"/>
      <c r="AQ170" s="35"/>
      <c r="AR170" s="35"/>
      <c r="AS170" s="45">
        <f t="shared" si="31"/>
        <v>0</v>
      </c>
      <c r="AT170" s="45"/>
      <c r="AU170" s="35">
        <v>0</v>
      </c>
      <c r="AV170" s="35"/>
      <c r="AW170" s="35">
        <v>0</v>
      </c>
      <c r="AX170" s="35"/>
      <c r="AY170" s="35">
        <f t="shared" si="40"/>
        <v>0</v>
      </c>
      <c r="AZ170" s="35"/>
      <c r="BA170" s="35" t="s">
        <v>202</v>
      </c>
      <c r="BB170" s="55"/>
      <c r="BC170" s="35" t="s">
        <v>27</v>
      </c>
      <c r="BD170" s="35"/>
      <c r="BE170" s="35"/>
      <c r="BF170" s="35"/>
      <c r="BG170" s="35"/>
      <c r="BH170" s="35"/>
      <c r="BI170" s="35"/>
      <c r="BJ170" s="35"/>
      <c r="BK170" s="35"/>
      <c r="BL170" s="35"/>
      <c r="BM170" s="35">
        <f t="shared" si="42"/>
        <v>0</v>
      </c>
      <c r="BN170" s="54" t="s">
        <v>347</v>
      </c>
    </row>
    <row r="171" spans="1:67" hidden="1" x14ac:dyDescent="0.2">
      <c r="A171" s="35" t="s">
        <v>203</v>
      </c>
      <c r="C171" s="35" t="s">
        <v>27</v>
      </c>
      <c r="D171" s="35"/>
      <c r="E171" s="35">
        <f t="shared" si="38"/>
        <v>0</v>
      </c>
      <c r="F171" s="35"/>
      <c r="G171" s="35"/>
      <c r="H171" s="35"/>
      <c r="I171" s="35"/>
      <c r="J171" s="35"/>
      <c r="K171" s="35">
        <f t="shared" si="39"/>
        <v>0</v>
      </c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>
        <f t="shared" si="41"/>
        <v>0</v>
      </c>
      <c r="X171" s="35"/>
      <c r="Y171" s="35" t="s">
        <v>203</v>
      </c>
      <c r="Z171" s="55"/>
      <c r="AA171" s="35" t="s">
        <v>27</v>
      </c>
      <c r="AB171" s="35"/>
      <c r="AC171" s="35"/>
      <c r="AD171" s="35"/>
      <c r="AE171" s="35"/>
      <c r="AF171" s="35"/>
      <c r="AG171" s="35"/>
      <c r="AH171" s="35"/>
      <c r="AI171" s="45">
        <f t="shared" si="37"/>
        <v>0</v>
      </c>
      <c r="AJ171" s="45"/>
      <c r="AK171" s="35"/>
      <c r="AL171" s="35"/>
      <c r="AM171" s="35"/>
      <c r="AN171" s="35"/>
      <c r="AO171" s="35"/>
      <c r="AP171" s="35"/>
      <c r="AQ171" s="35"/>
      <c r="AR171" s="35"/>
      <c r="AS171" s="45">
        <f t="shared" ref="AS171:AS234" si="45">+AI171+AK171+AM171-AO171+AQ171</f>
        <v>0</v>
      </c>
      <c r="AT171" s="45"/>
      <c r="AU171" s="35">
        <v>0</v>
      </c>
      <c r="AV171" s="35"/>
      <c r="AW171" s="35">
        <v>0</v>
      </c>
      <c r="AX171" s="35"/>
      <c r="AY171" s="35">
        <f t="shared" si="40"/>
        <v>0</v>
      </c>
      <c r="AZ171" s="35"/>
      <c r="BA171" s="35" t="s">
        <v>203</v>
      </c>
      <c r="BB171" s="55"/>
      <c r="BC171" s="35" t="s">
        <v>27</v>
      </c>
      <c r="BD171" s="35"/>
      <c r="BE171" s="35"/>
      <c r="BF171" s="35"/>
      <c r="BG171" s="35"/>
      <c r="BH171" s="35"/>
      <c r="BI171" s="35"/>
      <c r="BJ171" s="35"/>
      <c r="BK171" s="35"/>
      <c r="BL171" s="35"/>
      <c r="BM171" s="35">
        <f t="shared" si="42"/>
        <v>0</v>
      </c>
      <c r="BN171" s="54" t="s">
        <v>347</v>
      </c>
    </row>
    <row r="172" spans="1:67" hidden="1" x14ac:dyDescent="0.2">
      <c r="A172" s="35" t="s">
        <v>204</v>
      </c>
      <c r="C172" s="35" t="s">
        <v>125</v>
      </c>
      <c r="D172" s="35"/>
      <c r="E172" s="35">
        <f t="shared" si="38"/>
        <v>0</v>
      </c>
      <c r="F172" s="35"/>
      <c r="G172" s="35"/>
      <c r="H172" s="35"/>
      <c r="I172" s="35"/>
      <c r="J172" s="35"/>
      <c r="K172" s="35">
        <f t="shared" si="39"/>
        <v>0</v>
      </c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>
        <f t="shared" si="41"/>
        <v>0</v>
      </c>
      <c r="X172" s="35"/>
      <c r="Y172" s="35" t="s">
        <v>204</v>
      </c>
      <c r="Z172" s="55"/>
      <c r="AA172" s="35" t="s">
        <v>125</v>
      </c>
      <c r="AB172" s="35"/>
      <c r="AC172" s="35"/>
      <c r="AD172" s="35"/>
      <c r="AE172" s="35"/>
      <c r="AF172" s="35"/>
      <c r="AG172" s="35"/>
      <c r="AH172" s="35"/>
      <c r="AI172" s="45">
        <f t="shared" si="37"/>
        <v>0</v>
      </c>
      <c r="AJ172" s="45"/>
      <c r="AK172" s="35"/>
      <c r="AL172" s="35"/>
      <c r="AM172" s="35"/>
      <c r="AN172" s="35"/>
      <c r="AO172" s="35"/>
      <c r="AP172" s="35"/>
      <c r="AQ172" s="35"/>
      <c r="AR172" s="35"/>
      <c r="AS172" s="45">
        <f t="shared" si="45"/>
        <v>0</v>
      </c>
      <c r="AT172" s="45"/>
      <c r="AU172" s="35">
        <v>0</v>
      </c>
      <c r="AV172" s="35"/>
      <c r="AW172" s="35">
        <v>0</v>
      </c>
      <c r="AX172" s="35"/>
      <c r="AY172" s="35">
        <f t="shared" si="40"/>
        <v>0</v>
      </c>
      <c r="AZ172" s="35"/>
      <c r="BA172" s="35" t="s">
        <v>204</v>
      </c>
      <c r="BB172" s="55"/>
      <c r="BC172" s="35" t="s">
        <v>125</v>
      </c>
      <c r="BD172" s="35"/>
      <c r="BE172" s="35"/>
      <c r="BF172" s="35"/>
      <c r="BG172" s="35"/>
      <c r="BH172" s="35"/>
      <c r="BI172" s="35"/>
      <c r="BJ172" s="35"/>
      <c r="BK172" s="35"/>
      <c r="BL172" s="35"/>
      <c r="BM172" s="35">
        <f t="shared" si="42"/>
        <v>0</v>
      </c>
      <c r="BN172" s="54" t="s">
        <v>347</v>
      </c>
    </row>
    <row r="173" spans="1:67" hidden="1" x14ac:dyDescent="0.2">
      <c r="A173" s="35" t="s">
        <v>205</v>
      </c>
      <c r="C173" s="35" t="s">
        <v>27</v>
      </c>
      <c r="D173" s="35"/>
      <c r="E173" s="35">
        <f t="shared" si="38"/>
        <v>0</v>
      </c>
      <c r="F173" s="35"/>
      <c r="G173" s="35"/>
      <c r="H173" s="35"/>
      <c r="I173" s="35"/>
      <c r="J173" s="35"/>
      <c r="K173" s="35">
        <f t="shared" si="39"/>
        <v>0</v>
      </c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>
        <f t="shared" si="41"/>
        <v>0</v>
      </c>
      <c r="X173" s="35"/>
      <c r="Y173" s="35" t="s">
        <v>205</v>
      </c>
      <c r="Z173" s="55"/>
      <c r="AA173" s="35" t="s">
        <v>27</v>
      </c>
      <c r="AB173" s="35"/>
      <c r="AC173" s="35"/>
      <c r="AD173" s="35"/>
      <c r="AE173" s="35"/>
      <c r="AF173" s="35"/>
      <c r="AG173" s="35"/>
      <c r="AH173" s="35"/>
      <c r="AI173" s="45">
        <f t="shared" si="37"/>
        <v>0</v>
      </c>
      <c r="AJ173" s="45"/>
      <c r="AK173" s="35"/>
      <c r="AL173" s="35"/>
      <c r="AM173" s="35"/>
      <c r="AN173" s="35"/>
      <c r="AO173" s="35"/>
      <c r="AP173" s="35"/>
      <c r="AQ173" s="35"/>
      <c r="AR173" s="35"/>
      <c r="AS173" s="45">
        <f t="shared" si="45"/>
        <v>0</v>
      </c>
      <c r="AT173" s="45"/>
      <c r="AU173" s="35">
        <v>0</v>
      </c>
      <c r="AV173" s="35"/>
      <c r="AW173" s="35">
        <v>0</v>
      </c>
      <c r="AX173" s="35"/>
      <c r="AY173" s="35">
        <f t="shared" si="40"/>
        <v>0</v>
      </c>
      <c r="AZ173" s="35"/>
      <c r="BA173" s="35" t="s">
        <v>205</v>
      </c>
      <c r="BB173" s="55"/>
      <c r="BC173" s="35" t="s">
        <v>27</v>
      </c>
      <c r="BD173" s="35"/>
      <c r="BE173" s="35"/>
      <c r="BF173" s="35"/>
      <c r="BG173" s="35"/>
      <c r="BH173" s="35"/>
      <c r="BI173" s="35"/>
      <c r="BJ173" s="35"/>
      <c r="BK173" s="35"/>
      <c r="BL173" s="35"/>
      <c r="BM173" s="35">
        <f t="shared" si="42"/>
        <v>0</v>
      </c>
      <c r="BN173" s="54" t="s">
        <v>347</v>
      </c>
    </row>
    <row r="174" spans="1:67" hidden="1" x14ac:dyDescent="0.2">
      <c r="A174" s="35" t="s">
        <v>206</v>
      </c>
      <c r="C174" s="35" t="s">
        <v>47</v>
      </c>
      <c r="D174" s="35"/>
      <c r="E174" s="35">
        <f t="shared" si="38"/>
        <v>0</v>
      </c>
      <c r="F174" s="35"/>
      <c r="G174" s="35"/>
      <c r="H174" s="35"/>
      <c r="I174" s="35"/>
      <c r="J174" s="35"/>
      <c r="K174" s="35">
        <f t="shared" si="39"/>
        <v>0</v>
      </c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>
        <f t="shared" si="41"/>
        <v>0</v>
      </c>
      <c r="X174" s="35"/>
      <c r="Y174" s="35" t="s">
        <v>206</v>
      </c>
      <c r="Z174" s="55"/>
      <c r="AA174" s="35" t="s">
        <v>47</v>
      </c>
      <c r="AB174" s="35"/>
      <c r="AC174" s="35"/>
      <c r="AD174" s="35"/>
      <c r="AE174" s="35"/>
      <c r="AF174" s="35"/>
      <c r="AG174" s="35"/>
      <c r="AH174" s="35"/>
      <c r="AI174" s="45">
        <f t="shared" si="37"/>
        <v>0</v>
      </c>
      <c r="AJ174" s="45"/>
      <c r="AK174" s="35"/>
      <c r="AL174" s="35"/>
      <c r="AM174" s="35"/>
      <c r="AN174" s="35"/>
      <c r="AO174" s="35"/>
      <c r="AP174" s="35"/>
      <c r="AQ174" s="35"/>
      <c r="AR174" s="35"/>
      <c r="AS174" s="45">
        <f t="shared" si="45"/>
        <v>0</v>
      </c>
      <c r="AT174" s="45"/>
      <c r="AU174" s="35">
        <v>0</v>
      </c>
      <c r="AV174" s="35"/>
      <c r="AW174" s="35">
        <v>0</v>
      </c>
      <c r="AX174" s="35"/>
      <c r="AY174" s="35">
        <f t="shared" si="40"/>
        <v>0</v>
      </c>
      <c r="AZ174" s="35"/>
      <c r="BA174" s="35" t="s">
        <v>206</v>
      </c>
      <c r="BB174" s="55"/>
      <c r="BC174" s="35" t="s">
        <v>47</v>
      </c>
      <c r="BD174" s="35"/>
      <c r="BE174" s="35"/>
      <c r="BF174" s="35"/>
      <c r="BG174" s="35"/>
      <c r="BH174" s="35"/>
      <c r="BI174" s="35"/>
      <c r="BJ174" s="35"/>
      <c r="BK174" s="35"/>
      <c r="BL174" s="35"/>
      <c r="BM174" s="35">
        <f t="shared" si="42"/>
        <v>0</v>
      </c>
      <c r="BN174" s="54" t="s">
        <v>347</v>
      </c>
    </row>
    <row r="175" spans="1:67" hidden="1" x14ac:dyDescent="0.2">
      <c r="A175" s="35" t="s">
        <v>207</v>
      </c>
      <c r="C175" s="35" t="s">
        <v>102</v>
      </c>
      <c r="D175" s="35"/>
      <c r="E175" s="35">
        <f t="shared" si="38"/>
        <v>0</v>
      </c>
      <c r="F175" s="35"/>
      <c r="G175" s="35"/>
      <c r="H175" s="35"/>
      <c r="I175" s="35"/>
      <c r="J175" s="35"/>
      <c r="K175" s="35">
        <f t="shared" si="39"/>
        <v>0</v>
      </c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>
        <f t="shared" si="41"/>
        <v>0</v>
      </c>
      <c r="X175" s="35"/>
      <c r="Y175" s="35" t="s">
        <v>207</v>
      </c>
      <c r="Z175" s="55"/>
      <c r="AA175" s="35" t="s">
        <v>102</v>
      </c>
      <c r="AB175" s="35"/>
      <c r="AC175" s="35"/>
      <c r="AD175" s="35"/>
      <c r="AE175" s="35"/>
      <c r="AF175" s="35"/>
      <c r="AG175" s="35"/>
      <c r="AH175" s="35"/>
      <c r="AI175" s="45">
        <f t="shared" si="37"/>
        <v>0</v>
      </c>
      <c r="AJ175" s="45"/>
      <c r="AK175" s="35"/>
      <c r="AL175" s="35"/>
      <c r="AM175" s="35"/>
      <c r="AN175" s="35"/>
      <c r="AO175" s="35"/>
      <c r="AP175" s="35"/>
      <c r="AQ175" s="35"/>
      <c r="AR175" s="35"/>
      <c r="AS175" s="45">
        <f t="shared" si="45"/>
        <v>0</v>
      </c>
      <c r="AT175" s="45"/>
      <c r="AU175" s="35">
        <v>0</v>
      </c>
      <c r="AV175" s="35"/>
      <c r="AW175" s="35">
        <v>0</v>
      </c>
      <c r="AX175" s="35"/>
      <c r="AY175" s="35">
        <f t="shared" si="40"/>
        <v>0</v>
      </c>
      <c r="AZ175" s="35"/>
      <c r="BA175" s="35" t="s">
        <v>207</v>
      </c>
      <c r="BB175" s="55"/>
      <c r="BC175" s="35" t="s">
        <v>102</v>
      </c>
      <c r="BD175" s="35"/>
      <c r="BE175" s="35"/>
      <c r="BF175" s="35"/>
      <c r="BG175" s="35"/>
      <c r="BH175" s="35"/>
      <c r="BI175" s="35"/>
      <c r="BJ175" s="35"/>
      <c r="BK175" s="35"/>
      <c r="BL175" s="35"/>
      <c r="BM175" s="35">
        <f t="shared" si="42"/>
        <v>0</v>
      </c>
      <c r="BN175" s="54" t="s">
        <v>347</v>
      </c>
    </row>
    <row r="176" spans="1:67" x14ac:dyDescent="0.2">
      <c r="A176" s="35" t="s">
        <v>208</v>
      </c>
      <c r="C176" s="35" t="s">
        <v>209</v>
      </c>
      <c r="D176" s="35"/>
      <c r="E176" s="35">
        <f t="shared" si="38"/>
        <v>1307539</v>
      </c>
      <c r="F176" s="35"/>
      <c r="G176" s="35">
        <v>313466</v>
      </c>
      <c r="H176" s="35"/>
      <c r="I176" s="35">
        <v>1621005</v>
      </c>
      <c r="J176" s="35"/>
      <c r="K176" s="35">
        <f t="shared" si="39"/>
        <v>112023</v>
      </c>
      <c r="L176" s="35"/>
      <c r="M176" s="35">
        <v>66915</v>
      </c>
      <c r="N176" s="35"/>
      <c r="O176" s="35">
        <v>178938</v>
      </c>
      <c r="P176" s="35"/>
      <c r="Q176" s="35">
        <v>313466</v>
      </c>
      <c r="R176" s="35"/>
      <c r="S176" s="35">
        <v>0</v>
      </c>
      <c r="T176" s="35"/>
      <c r="U176" s="35">
        <v>1128601</v>
      </c>
      <c r="V176" s="35"/>
      <c r="W176" s="35">
        <f t="shared" si="41"/>
        <v>1442067</v>
      </c>
      <c r="X176" s="35"/>
      <c r="Y176" s="35" t="s">
        <v>208</v>
      </c>
      <c r="Z176" s="55"/>
      <c r="AA176" s="35" t="s">
        <v>209</v>
      </c>
      <c r="AB176" s="35"/>
      <c r="AC176" s="35">
        <v>1753343</v>
      </c>
      <c r="AD176" s="35"/>
      <c r="AE176" s="35">
        <f>1598008-37378</f>
        <v>1560630</v>
      </c>
      <c r="AF176" s="35"/>
      <c r="AG176" s="35">
        <v>37378</v>
      </c>
      <c r="AH176" s="35"/>
      <c r="AI176" s="45">
        <f t="shared" si="37"/>
        <v>155335</v>
      </c>
      <c r="AJ176" s="45"/>
      <c r="AK176" s="35">
        <v>13974</v>
      </c>
      <c r="AL176" s="35"/>
      <c r="AM176" s="35">
        <v>0</v>
      </c>
      <c r="AN176" s="35"/>
      <c r="AO176" s="35">
        <v>0</v>
      </c>
      <c r="AP176" s="35"/>
      <c r="AQ176" s="35">
        <v>0</v>
      </c>
      <c r="AR176" s="35"/>
      <c r="AS176" s="45">
        <f t="shared" si="45"/>
        <v>169309</v>
      </c>
      <c r="AT176" s="45"/>
      <c r="AU176" s="35">
        <v>0</v>
      </c>
      <c r="AV176" s="35"/>
      <c r="AW176" s="35">
        <v>0</v>
      </c>
      <c r="AX176" s="35"/>
      <c r="AY176" s="35">
        <f t="shared" si="40"/>
        <v>1195516</v>
      </c>
      <c r="AZ176" s="35"/>
      <c r="BA176" s="35" t="s">
        <v>208</v>
      </c>
      <c r="BB176" s="55"/>
      <c r="BC176" s="35" t="s">
        <v>209</v>
      </c>
      <c r="BD176" s="35"/>
      <c r="BE176" s="35">
        <v>0</v>
      </c>
      <c r="BF176" s="35"/>
      <c r="BG176" s="35">
        <v>0</v>
      </c>
      <c r="BH176" s="35"/>
      <c r="BI176" s="35">
        <v>0</v>
      </c>
      <c r="BJ176" s="35"/>
      <c r="BK176" s="35">
        <f>66915+31393</f>
        <v>98308</v>
      </c>
      <c r="BL176" s="35"/>
      <c r="BM176" s="35">
        <f t="shared" si="42"/>
        <v>98308</v>
      </c>
      <c r="BN176" s="54" t="s">
        <v>347</v>
      </c>
    </row>
    <row r="177" spans="1:68" hidden="1" x14ac:dyDescent="0.2">
      <c r="A177" s="44" t="s">
        <v>210</v>
      </c>
      <c r="C177" s="44" t="s">
        <v>211</v>
      </c>
      <c r="D177" s="44"/>
      <c r="E177" s="35">
        <f t="shared" si="38"/>
        <v>0</v>
      </c>
      <c r="F177" s="35"/>
      <c r="G177" s="35"/>
      <c r="H177" s="35"/>
      <c r="I177" s="35"/>
      <c r="J177" s="35"/>
      <c r="K177" s="35">
        <f t="shared" si="39"/>
        <v>0</v>
      </c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>
        <f t="shared" si="41"/>
        <v>0</v>
      </c>
      <c r="X177" s="35"/>
      <c r="Y177" s="44" t="s">
        <v>210</v>
      </c>
      <c r="Z177" s="55"/>
      <c r="AA177" s="44" t="s">
        <v>211</v>
      </c>
      <c r="AB177" s="44"/>
      <c r="AC177" s="35"/>
      <c r="AD177" s="35"/>
      <c r="AE177" s="35"/>
      <c r="AF177" s="35"/>
      <c r="AG177" s="35"/>
      <c r="AH177" s="35"/>
      <c r="AI177" s="45">
        <f t="shared" si="37"/>
        <v>0</v>
      </c>
      <c r="AJ177" s="45"/>
      <c r="AK177" s="35"/>
      <c r="AL177" s="35"/>
      <c r="AM177" s="35"/>
      <c r="AN177" s="35"/>
      <c r="AO177" s="35"/>
      <c r="AP177" s="35"/>
      <c r="AQ177" s="35"/>
      <c r="AR177" s="35"/>
      <c r="AS177" s="45">
        <f t="shared" si="45"/>
        <v>0</v>
      </c>
      <c r="AT177" s="45"/>
      <c r="AU177" s="35">
        <v>0</v>
      </c>
      <c r="AV177" s="35"/>
      <c r="AW177" s="35">
        <v>0</v>
      </c>
      <c r="AX177" s="35"/>
      <c r="AY177" s="35">
        <f t="shared" si="40"/>
        <v>0</v>
      </c>
      <c r="AZ177" s="35"/>
      <c r="BA177" s="44" t="s">
        <v>210</v>
      </c>
      <c r="BB177" s="55"/>
      <c r="BC177" s="44" t="s">
        <v>211</v>
      </c>
      <c r="BD177" s="44"/>
      <c r="BE177" s="35"/>
      <c r="BF177" s="35"/>
      <c r="BG177" s="35"/>
      <c r="BH177" s="35"/>
      <c r="BI177" s="35"/>
      <c r="BJ177" s="35"/>
      <c r="BK177" s="35"/>
      <c r="BL177" s="35"/>
      <c r="BM177" s="35">
        <f t="shared" si="42"/>
        <v>0</v>
      </c>
      <c r="BN177" s="54" t="s">
        <v>347</v>
      </c>
    </row>
    <row r="178" spans="1:68" x14ac:dyDescent="0.2">
      <c r="A178" s="44" t="s">
        <v>212</v>
      </c>
      <c r="C178" s="44" t="s">
        <v>213</v>
      </c>
      <c r="D178" s="44"/>
      <c r="E178" s="35">
        <f t="shared" si="38"/>
        <v>441786</v>
      </c>
      <c r="F178" s="35"/>
      <c r="G178" s="35">
        <v>778412</v>
      </c>
      <c r="H178" s="35"/>
      <c r="I178" s="35">
        <v>1220198</v>
      </c>
      <c r="J178" s="35"/>
      <c r="K178" s="35">
        <f t="shared" si="39"/>
        <v>182754</v>
      </c>
      <c r="L178" s="35"/>
      <c r="M178" s="35">
        <v>302</v>
      </c>
      <c r="N178" s="35"/>
      <c r="O178" s="35">
        <v>183056</v>
      </c>
      <c r="P178" s="35"/>
      <c r="Q178" s="35">
        <v>683746</v>
      </c>
      <c r="R178" s="35"/>
      <c r="S178" s="35">
        <v>0</v>
      </c>
      <c r="T178" s="35"/>
      <c r="U178" s="35">
        <v>353396</v>
      </c>
      <c r="V178" s="35"/>
      <c r="W178" s="35">
        <f t="shared" si="41"/>
        <v>1037142</v>
      </c>
      <c r="X178" s="35"/>
      <c r="Y178" s="44" t="s">
        <v>212</v>
      </c>
      <c r="Z178" s="55"/>
      <c r="AA178" s="44" t="s">
        <v>213</v>
      </c>
      <c r="AB178" s="44"/>
      <c r="AC178" s="35">
        <v>1369124</v>
      </c>
      <c r="AD178" s="35"/>
      <c r="AE178" s="35">
        <f>1326311-86796</f>
        <v>1239515</v>
      </c>
      <c r="AF178" s="35"/>
      <c r="AG178" s="35">
        <v>86796</v>
      </c>
      <c r="AH178" s="35"/>
      <c r="AI178" s="45">
        <f t="shared" si="37"/>
        <v>42813</v>
      </c>
      <c r="AJ178" s="45"/>
      <c r="AK178" s="35">
        <v>-7810</v>
      </c>
      <c r="AL178" s="35"/>
      <c r="AM178" s="35">
        <v>0</v>
      </c>
      <c r="AN178" s="35"/>
      <c r="AO178" s="35">
        <v>0</v>
      </c>
      <c r="AP178" s="35"/>
      <c r="AQ178" s="35">
        <v>0</v>
      </c>
      <c r="AR178" s="35"/>
      <c r="AS178" s="45">
        <f t="shared" si="45"/>
        <v>35003</v>
      </c>
      <c r="AT178" s="45"/>
      <c r="AU178" s="35">
        <v>0</v>
      </c>
      <c r="AV178" s="35"/>
      <c r="AW178" s="35">
        <v>0</v>
      </c>
      <c r="AX178" s="35"/>
      <c r="AY178" s="35">
        <f t="shared" si="40"/>
        <v>259032</v>
      </c>
      <c r="AZ178" s="35"/>
      <c r="BA178" s="44" t="s">
        <v>212</v>
      </c>
      <c r="BB178" s="55"/>
      <c r="BC178" s="44" t="s">
        <v>213</v>
      </c>
      <c r="BD178" s="44"/>
      <c r="BE178" s="35">
        <v>0</v>
      </c>
      <c r="BF178" s="35"/>
      <c r="BG178" s="35">
        <v>0</v>
      </c>
      <c r="BH178" s="35"/>
      <c r="BI178" s="35">
        <v>0</v>
      </c>
      <c r="BJ178" s="35"/>
      <c r="BK178" s="35">
        <f>302+741</f>
        <v>1043</v>
      </c>
      <c r="BL178" s="35"/>
      <c r="BM178" s="35">
        <f t="shared" si="42"/>
        <v>1043</v>
      </c>
      <c r="BN178" s="54" t="s">
        <v>347</v>
      </c>
    </row>
    <row r="179" spans="1:68" hidden="1" x14ac:dyDescent="0.2">
      <c r="A179" s="44" t="s">
        <v>214</v>
      </c>
      <c r="C179" s="44" t="s">
        <v>86</v>
      </c>
      <c r="D179" s="44"/>
      <c r="E179" s="35">
        <f t="shared" si="38"/>
        <v>0</v>
      </c>
      <c r="F179" s="35"/>
      <c r="G179" s="35"/>
      <c r="H179" s="35"/>
      <c r="I179" s="35"/>
      <c r="J179" s="35"/>
      <c r="K179" s="35">
        <f t="shared" si="39"/>
        <v>0</v>
      </c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>
        <f t="shared" si="41"/>
        <v>0</v>
      </c>
      <c r="X179" s="35"/>
      <c r="Y179" s="44" t="s">
        <v>214</v>
      </c>
      <c r="Z179" s="55"/>
      <c r="AA179" s="44" t="s">
        <v>86</v>
      </c>
      <c r="AB179" s="44"/>
      <c r="AC179" s="35"/>
      <c r="AD179" s="35"/>
      <c r="AE179" s="35"/>
      <c r="AF179" s="35"/>
      <c r="AG179" s="35"/>
      <c r="AH179" s="35"/>
      <c r="AI179" s="45">
        <f t="shared" si="37"/>
        <v>0</v>
      </c>
      <c r="AJ179" s="45"/>
      <c r="AK179" s="35"/>
      <c r="AL179" s="35"/>
      <c r="AM179" s="35"/>
      <c r="AN179" s="35"/>
      <c r="AO179" s="35"/>
      <c r="AP179" s="35"/>
      <c r="AQ179" s="35"/>
      <c r="AR179" s="35"/>
      <c r="AS179" s="45">
        <f t="shared" si="45"/>
        <v>0</v>
      </c>
      <c r="AT179" s="45"/>
      <c r="AU179" s="35">
        <v>0</v>
      </c>
      <c r="AV179" s="35"/>
      <c r="AW179" s="35">
        <v>0</v>
      </c>
      <c r="AX179" s="35"/>
      <c r="AY179" s="35">
        <f t="shared" si="40"/>
        <v>0</v>
      </c>
      <c r="AZ179" s="35"/>
      <c r="BA179" s="44" t="s">
        <v>214</v>
      </c>
      <c r="BB179" s="55"/>
      <c r="BC179" s="44" t="s">
        <v>86</v>
      </c>
      <c r="BD179" s="44"/>
      <c r="BE179" s="35"/>
      <c r="BF179" s="35"/>
      <c r="BG179" s="35"/>
      <c r="BH179" s="35"/>
      <c r="BI179" s="35"/>
      <c r="BJ179" s="35"/>
      <c r="BK179" s="35"/>
      <c r="BL179" s="35"/>
      <c r="BM179" s="35">
        <f t="shared" si="42"/>
        <v>0</v>
      </c>
      <c r="BN179" s="54" t="s">
        <v>347</v>
      </c>
    </row>
    <row r="180" spans="1:68" hidden="1" x14ac:dyDescent="0.2">
      <c r="A180" s="35" t="s">
        <v>215</v>
      </c>
      <c r="C180" s="35" t="s">
        <v>22</v>
      </c>
      <c r="D180" s="35"/>
      <c r="E180" s="35">
        <f t="shared" si="38"/>
        <v>0</v>
      </c>
      <c r="F180" s="35"/>
      <c r="G180" s="35"/>
      <c r="H180" s="35"/>
      <c r="I180" s="35"/>
      <c r="J180" s="35"/>
      <c r="K180" s="35">
        <f t="shared" si="39"/>
        <v>0</v>
      </c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>
        <f t="shared" si="41"/>
        <v>0</v>
      </c>
      <c r="X180" s="35"/>
      <c r="Y180" s="35" t="s">
        <v>215</v>
      </c>
      <c r="Z180" s="55"/>
      <c r="AA180" s="35" t="s">
        <v>22</v>
      </c>
      <c r="AB180" s="35"/>
      <c r="AC180" s="35"/>
      <c r="AD180" s="35"/>
      <c r="AE180" s="35"/>
      <c r="AF180" s="35"/>
      <c r="AG180" s="35"/>
      <c r="AH180" s="35"/>
      <c r="AI180" s="45">
        <f t="shared" si="37"/>
        <v>0</v>
      </c>
      <c r="AJ180" s="45"/>
      <c r="AK180" s="35"/>
      <c r="AL180" s="35"/>
      <c r="AM180" s="35"/>
      <c r="AN180" s="35"/>
      <c r="AO180" s="35"/>
      <c r="AP180" s="35"/>
      <c r="AQ180" s="35"/>
      <c r="AR180" s="35"/>
      <c r="AS180" s="45">
        <f t="shared" si="45"/>
        <v>0</v>
      </c>
      <c r="AT180" s="45"/>
      <c r="AU180" s="35">
        <v>0</v>
      </c>
      <c r="AV180" s="35"/>
      <c r="AW180" s="35">
        <v>0</v>
      </c>
      <c r="AX180" s="35"/>
      <c r="AY180" s="35">
        <f t="shared" si="40"/>
        <v>0</v>
      </c>
      <c r="AZ180" s="35"/>
      <c r="BA180" s="35" t="s">
        <v>215</v>
      </c>
      <c r="BB180" s="55"/>
      <c r="BC180" s="35" t="s">
        <v>22</v>
      </c>
      <c r="BD180" s="35"/>
      <c r="BE180" s="35"/>
      <c r="BF180" s="35"/>
      <c r="BG180" s="35"/>
      <c r="BH180" s="35"/>
      <c r="BI180" s="35"/>
      <c r="BJ180" s="35"/>
      <c r="BK180" s="35"/>
      <c r="BL180" s="35"/>
      <c r="BM180" s="35">
        <f t="shared" si="42"/>
        <v>0</v>
      </c>
      <c r="BN180" s="54" t="s">
        <v>347</v>
      </c>
    </row>
    <row r="181" spans="1:68" hidden="1" x14ac:dyDescent="0.2">
      <c r="A181" s="35" t="s">
        <v>216</v>
      </c>
      <c r="C181" s="35" t="s">
        <v>45</v>
      </c>
      <c r="D181" s="35"/>
      <c r="E181" s="35">
        <f t="shared" si="38"/>
        <v>0</v>
      </c>
      <c r="F181" s="35"/>
      <c r="G181" s="35"/>
      <c r="H181" s="35"/>
      <c r="I181" s="35"/>
      <c r="J181" s="35"/>
      <c r="K181" s="35">
        <f t="shared" si="39"/>
        <v>0</v>
      </c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>
        <f t="shared" si="41"/>
        <v>0</v>
      </c>
      <c r="X181" s="35"/>
      <c r="Y181" s="35" t="s">
        <v>216</v>
      </c>
      <c r="Z181" s="55"/>
      <c r="AA181" s="35" t="s">
        <v>45</v>
      </c>
      <c r="AB181" s="35"/>
      <c r="AC181" s="35"/>
      <c r="AD181" s="35"/>
      <c r="AE181" s="35"/>
      <c r="AF181" s="35"/>
      <c r="AG181" s="35"/>
      <c r="AH181" s="35"/>
      <c r="AI181" s="45">
        <f t="shared" si="37"/>
        <v>0</v>
      </c>
      <c r="AJ181" s="45"/>
      <c r="AK181" s="35"/>
      <c r="AL181" s="35"/>
      <c r="AM181" s="35"/>
      <c r="AN181" s="35"/>
      <c r="AO181" s="35"/>
      <c r="AP181" s="35"/>
      <c r="AQ181" s="35"/>
      <c r="AR181" s="35"/>
      <c r="AS181" s="45">
        <f t="shared" si="45"/>
        <v>0</v>
      </c>
      <c r="AT181" s="45"/>
      <c r="AU181" s="35">
        <v>0</v>
      </c>
      <c r="AV181" s="35"/>
      <c r="AW181" s="35">
        <v>0</v>
      </c>
      <c r="AX181" s="35"/>
      <c r="AY181" s="35">
        <f t="shared" si="40"/>
        <v>0</v>
      </c>
      <c r="AZ181" s="35"/>
      <c r="BA181" s="35" t="s">
        <v>216</v>
      </c>
      <c r="BB181" s="55"/>
      <c r="BC181" s="35" t="s">
        <v>45</v>
      </c>
      <c r="BD181" s="35"/>
      <c r="BE181" s="35"/>
      <c r="BF181" s="35"/>
      <c r="BG181" s="35"/>
      <c r="BH181" s="35"/>
      <c r="BI181" s="35"/>
      <c r="BJ181" s="35"/>
      <c r="BK181" s="35"/>
      <c r="BL181" s="35"/>
      <c r="BM181" s="35">
        <f t="shared" si="42"/>
        <v>0</v>
      </c>
      <c r="BN181" s="54" t="s">
        <v>347</v>
      </c>
    </row>
    <row r="182" spans="1:68" x14ac:dyDescent="0.2">
      <c r="A182" s="35" t="s">
        <v>217</v>
      </c>
      <c r="C182" s="35" t="s">
        <v>43</v>
      </c>
      <c r="D182" s="35"/>
      <c r="E182" s="35">
        <f t="shared" si="38"/>
        <v>378744</v>
      </c>
      <c r="F182" s="35"/>
      <c r="G182" s="35">
        <v>0</v>
      </c>
      <c r="H182" s="35"/>
      <c r="I182" s="35">
        <v>378744</v>
      </c>
      <c r="J182" s="35"/>
      <c r="K182" s="35">
        <f t="shared" si="39"/>
        <v>321799</v>
      </c>
      <c r="L182" s="35"/>
      <c r="M182" s="35">
        <v>0</v>
      </c>
      <c r="N182" s="35"/>
      <c r="O182" s="35">
        <v>321799</v>
      </c>
      <c r="P182" s="35"/>
      <c r="Q182" s="35">
        <v>0</v>
      </c>
      <c r="R182" s="35"/>
      <c r="S182" s="35">
        <v>0</v>
      </c>
      <c r="T182" s="35"/>
      <c r="U182" s="35">
        <v>56945</v>
      </c>
      <c r="V182" s="35"/>
      <c r="W182" s="35">
        <f t="shared" si="41"/>
        <v>56945</v>
      </c>
      <c r="X182" s="35"/>
      <c r="Y182" s="35" t="s">
        <v>217</v>
      </c>
      <c r="Z182" s="55"/>
      <c r="AA182" s="35" t="s">
        <v>43</v>
      </c>
      <c r="AB182" s="35"/>
      <c r="AC182" s="35">
        <v>1824653</v>
      </c>
      <c r="AD182" s="35"/>
      <c r="AE182" s="35">
        <v>1952789</v>
      </c>
      <c r="AF182" s="35"/>
      <c r="AG182" s="35">
        <v>0</v>
      </c>
      <c r="AH182" s="35"/>
      <c r="AI182" s="45">
        <f t="shared" si="37"/>
        <v>-128136</v>
      </c>
      <c r="AJ182" s="45"/>
      <c r="AK182" s="35">
        <v>0</v>
      </c>
      <c r="AL182" s="35"/>
      <c r="AM182" s="35">
        <v>0</v>
      </c>
      <c r="AN182" s="35"/>
      <c r="AO182" s="35">
        <v>0</v>
      </c>
      <c r="AP182" s="35"/>
      <c r="AQ182" s="35">
        <v>0</v>
      </c>
      <c r="AR182" s="35"/>
      <c r="AS182" s="45">
        <f t="shared" si="45"/>
        <v>-128136</v>
      </c>
      <c r="AT182" s="45"/>
      <c r="AU182" s="35">
        <v>0</v>
      </c>
      <c r="AV182" s="35"/>
      <c r="AW182" s="35">
        <v>0</v>
      </c>
      <c r="AX182" s="35"/>
      <c r="AY182" s="35">
        <f t="shared" si="40"/>
        <v>56945</v>
      </c>
      <c r="AZ182" s="35"/>
      <c r="BA182" s="35" t="s">
        <v>217</v>
      </c>
      <c r="BB182" s="55"/>
      <c r="BC182" s="35" t="s">
        <v>43</v>
      </c>
      <c r="BD182" s="35"/>
      <c r="BE182" s="35">
        <v>0</v>
      </c>
      <c r="BF182" s="35"/>
      <c r="BG182" s="35">
        <v>0</v>
      </c>
      <c r="BH182" s="35"/>
      <c r="BI182" s="35">
        <v>0</v>
      </c>
      <c r="BJ182" s="35"/>
      <c r="BK182" s="35">
        <v>0</v>
      </c>
      <c r="BL182" s="35"/>
      <c r="BM182" s="35">
        <f t="shared" si="42"/>
        <v>0</v>
      </c>
      <c r="BN182" s="54" t="s">
        <v>347</v>
      </c>
    </row>
    <row r="183" spans="1:68" hidden="1" x14ac:dyDescent="0.2">
      <c r="A183" s="35" t="s">
        <v>218</v>
      </c>
      <c r="C183" s="35" t="s">
        <v>27</v>
      </c>
      <c r="D183" s="35"/>
      <c r="E183" s="35">
        <f t="shared" si="38"/>
        <v>0</v>
      </c>
      <c r="F183" s="35"/>
      <c r="G183" s="35"/>
      <c r="H183" s="35"/>
      <c r="I183" s="35"/>
      <c r="J183" s="35"/>
      <c r="K183" s="35">
        <f t="shared" si="39"/>
        <v>0</v>
      </c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>
        <f t="shared" si="41"/>
        <v>0</v>
      </c>
      <c r="X183" s="35"/>
      <c r="Y183" s="35" t="s">
        <v>218</v>
      </c>
      <c r="Z183" s="55"/>
      <c r="AA183" s="35" t="s">
        <v>27</v>
      </c>
      <c r="AB183" s="35"/>
      <c r="AC183" s="35"/>
      <c r="AD183" s="35"/>
      <c r="AE183" s="35"/>
      <c r="AF183" s="35"/>
      <c r="AG183" s="35"/>
      <c r="AH183" s="35"/>
      <c r="AI183" s="45">
        <f t="shared" si="37"/>
        <v>0</v>
      </c>
      <c r="AJ183" s="45"/>
      <c r="AK183" s="35"/>
      <c r="AL183" s="35"/>
      <c r="AM183" s="35"/>
      <c r="AN183" s="35"/>
      <c r="AO183" s="35"/>
      <c r="AP183" s="35"/>
      <c r="AQ183" s="35"/>
      <c r="AR183" s="35"/>
      <c r="AS183" s="45">
        <f t="shared" si="45"/>
        <v>0</v>
      </c>
      <c r="AT183" s="45"/>
      <c r="AU183" s="35">
        <v>0</v>
      </c>
      <c r="AV183" s="35"/>
      <c r="AW183" s="35">
        <v>0</v>
      </c>
      <c r="AX183" s="35"/>
      <c r="AY183" s="35">
        <f t="shared" si="40"/>
        <v>0</v>
      </c>
      <c r="AZ183" s="35"/>
      <c r="BA183" s="35" t="s">
        <v>218</v>
      </c>
      <c r="BB183" s="55"/>
      <c r="BC183" s="35" t="s">
        <v>27</v>
      </c>
      <c r="BD183" s="35"/>
      <c r="BE183" s="35"/>
      <c r="BF183" s="35"/>
      <c r="BG183" s="35"/>
      <c r="BH183" s="35"/>
      <c r="BI183" s="35"/>
      <c r="BJ183" s="35"/>
      <c r="BK183" s="35"/>
      <c r="BL183" s="35"/>
      <c r="BM183" s="35">
        <f t="shared" si="42"/>
        <v>0</v>
      </c>
      <c r="BN183" s="54" t="s">
        <v>347</v>
      </c>
      <c r="BO183" s="35"/>
      <c r="BP183" s="35"/>
    </row>
    <row r="184" spans="1:68" hidden="1" x14ac:dyDescent="0.2">
      <c r="A184" s="35" t="s">
        <v>219</v>
      </c>
      <c r="C184" s="35" t="s">
        <v>199</v>
      </c>
      <c r="D184" s="35"/>
      <c r="E184" s="35">
        <f t="shared" si="38"/>
        <v>0</v>
      </c>
      <c r="F184" s="35"/>
      <c r="G184" s="35"/>
      <c r="H184" s="35"/>
      <c r="I184" s="35"/>
      <c r="J184" s="35"/>
      <c r="K184" s="35">
        <f t="shared" si="39"/>
        <v>0</v>
      </c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>
        <f t="shared" si="41"/>
        <v>0</v>
      </c>
      <c r="X184" s="35"/>
      <c r="Y184" s="35" t="s">
        <v>219</v>
      </c>
      <c r="Z184" s="55"/>
      <c r="AA184" s="35" t="s">
        <v>199</v>
      </c>
      <c r="AB184" s="35"/>
      <c r="AC184" s="35"/>
      <c r="AD184" s="35"/>
      <c r="AE184" s="35"/>
      <c r="AF184" s="35"/>
      <c r="AG184" s="35"/>
      <c r="AH184" s="35"/>
      <c r="AI184" s="45">
        <f t="shared" si="37"/>
        <v>0</v>
      </c>
      <c r="AJ184" s="45"/>
      <c r="AK184" s="35"/>
      <c r="AL184" s="35"/>
      <c r="AM184" s="35"/>
      <c r="AN184" s="35"/>
      <c r="AO184" s="35"/>
      <c r="AP184" s="35"/>
      <c r="AQ184" s="35"/>
      <c r="AR184" s="35"/>
      <c r="AS184" s="45">
        <f t="shared" si="45"/>
        <v>0</v>
      </c>
      <c r="AT184" s="45"/>
      <c r="AU184" s="35">
        <v>0</v>
      </c>
      <c r="AV184" s="35"/>
      <c r="AW184" s="35">
        <v>0</v>
      </c>
      <c r="AX184" s="35"/>
      <c r="AY184" s="35">
        <f t="shared" si="40"/>
        <v>0</v>
      </c>
      <c r="AZ184" s="35"/>
      <c r="BA184" s="35" t="s">
        <v>219</v>
      </c>
      <c r="BB184" s="55"/>
      <c r="BC184" s="35" t="s">
        <v>199</v>
      </c>
      <c r="BD184" s="35"/>
      <c r="BE184" s="35"/>
      <c r="BF184" s="35"/>
      <c r="BG184" s="35"/>
      <c r="BH184" s="35"/>
      <c r="BI184" s="35"/>
      <c r="BJ184" s="35"/>
      <c r="BK184" s="35"/>
      <c r="BL184" s="35"/>
      <c r="BM184" s="35">
        <f t="shared" si="42"/>
        <v>0</v>
      </c>
      <c r="BN184" s="54" t="s">
        <v>347</v>
      </c>
    </row>
    <row r="185" spans="1:68" hidden="1" x14ac:dyDescent="0.2">
      <c r="A185" s="35" t="s">
        <v>220</v>
      </c>
      <c r="C185" s="35" t="s">
        <v>66</v>
      </c>
      <c r="D185" s="35"/>
      <c r="E185" s="35">
        <f t="shared" si="38"/>
        <v>0</v>
      </c>
      <c r="F185" s="35"/>
      <c r="G185" s="35"/>
      <c r="H185" s="35"/>
      <c r="I185" s="35"/>
      <c r="J185" s="35"/>
      <c r="K185" s="35">
        <f t="shared" si="39"/>
        <v>0</v>
      </c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>
        <f t="shared" si="41"/>
        <v>0</v>
      </c>
      <c r="X185" s="35"/>
      <c r="Y185" s="35" t="s">
        <v>220</v>
      </c>
      <c r="Z185" s="55"/>
      <c r="AA185" s="35" t="s">
        <v>66</v>
      </c>
      <c r="AB185" s="35"/>
      <c r="AC185" s="35"/>
      <c r="AD185" s="35"/>
      <c r="AE185" s="35"/>
      <c r="AF185" s="35"/>
      <c r="AG185" s="35"/>
      <c r="AH185" s="35"/>
      <c r="AI185" s="45">
        <f t="shared" si="37"/>
        <v>0</v>
      </c>
      <c r="AJ185" s="45"/>
      <c r="AK185" s="35"/>
      <c r="AL185" s="35"/>
      <c r="AM185" s="35"/>
      <c r="AN185" s="35"/>
      <c r="AO185" s="35"/>
      <c r="AP185" s="35"/>
      <c r="AQ185" s="35"/>
      <c r="AR185" s="35"/>
      <c r="AS185" s="45">
        <f t="shared" si="45"/>
        <v>0</v>
      </c>
      <c r="AT185" s="45"/>
      <c r="AU185" s="35">
        <v>0</v>
      </c>
      <c r="AV185" s="35"/>
      <c r="AW185" s="35">
        <v>0</v>
      </c>
      <c r="AX185" s="35"/>
      <c r="AY185" s="35">
        <f t="shared" si="40"/>
        <v>0</v>
      </c>
      <c r="AZ185" s="35"/>
      <c r="BA185" s="35" t="s">
        <v>220</v>
      </c>
      <c r="BB185" s="55"/>
      <c r="BC185" s="35" t="s">
        <v>66</v>
      </c>
      <c r="BD185" s="35"/>
      <c r="BE185" s="35"/>
      <c r="BF185" s="35"/>
      <c r="BG185" s="35"/>
      <c r="BH185" s="35"/>
      <c r="BI185" s="35"/>
      <c r="BJ185" s="35"/>
      <c r="BK185" s="35"/>
      <c r="BL185" s="35"/>
      <c r="BM185" s="35">
        <f t="shared" si="42"/>
        <v>0</v>
      </c>
      <c r="BN185" s="89" t="s">
        <v>347</v>
      </c>
    </row>
    <row r="186" spans="1:68" hidden="1" x14ac:dyDescent="0.2">
      <c r="A186" s="35" t="s">
        <v>221</v>
      </c>
      <c r="C186" s="35" t="s">
        <v>27</v>
      </c>
      <c r="D186" s="35"/>
      <c r="E186" s="35">
        <f t="shared" si="38"/>
        <v>0</v>
      </c>
      <c r="F186" s="35"/>
      <c r="G186" s="35"/>
      <c r="H186" s="35"/>
      <c r="I186" s="35"/>
      <c r="J186" s="35"/>
      <c r="K186" s="35">
        <f t="shared" si="39"/>
        <v>0</v>
      </c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>
        <f t="shared" si="41"/>
        <v>0</v>
      </c>
      <c r="X186" s="35"/>
      <c r="Y186" s="35" t="s">
        <v>221</v>
      </c>
      <c r="Z186" s="55"/>
      <c r="AA186" s="35" t="s">
        <v>27</v>
      </c>
      <c r="AB186" s="35"/>
      <c r="AC186" s="35"/>
      <c r="AD186" s="35"/>
      <c r="AE186" s="35"/>
      <c r="AF186" s="35"/>
      <c r="AG186" s="35"/>
      <c r="AH186" s="35"/>
      <c r="AI186" s="45">
        <f t="shared" ref="AI186:AI250" si="46">+AC186-AE186-AG186</f>
        <v>0</v>
      </c>
      <c r="AJ186" s="45"/>
      <c r="AK186" s="35"/>
      <c r="AL186" s="35"/>
      <c r="AM186" s="35"/>
      <c r="AN186" s="35"/>
      <c r="AO186" s="35"/>
      <c r="AP186" s="35"/>
      <c r="AQ186" s="35"/>
      <c r="AR186" s="35"/>
      <c r="AS186" s="45">
        <f t="shared" si="45"/>
        <v>0</v>
      </c>
      <c r="AT186" s="45"/>
      <c r="AU186" s="35">
        <v>0</v>
      </c>
      <c r="AV186" s="35"/>
      <c r="AW186" s="35">
        <v>0</v>
      </c>
      <c r="AX186" s="35"/>
      <c r="AY186" s="35">
        <f t="shared" si="40"/>
        <v>0</v>
      </c>
      <c r="AZ186" s="35"/>
      <c r="BA186" s="35" t="s">
        <v>221</v>
      </c>
      <c r="BB186" s="55"/>
      <c r="BC186" s="35" t="s">
        <v>27</v>
      </c>
      <c r="BD186" s="35"/>
      <c r="BE186" s="35"/>
      <c r="BF186" s="35"/>
      <c r="BG186" s="35"/>
      <c r="BH186" s="35"/>
      <c r="BI186" s="35"/>
      <c r="BJ186" s="35"/>
      <c r="BK186" s="35"/>
      <c r="BL186" s="35"/>
      <c r="BM186" s="35">
        <f t="shared" si="42"/>
        <v>0</v>
      </c>
      <c r="BN186" s="89" t="s">
        <v>347</v>
      </c>
    </row>
    <row r="187" spans="1:68" hidden="1" x14ac:dyDescent="0.2">
      <c r="A187" s="35" t="s">
        <v>222</v>
      </c>
      <c r="C187" s="35" t="s">
        <v>47</v>
      </c>
      <c r="D187" s="35"/>
      <c r="E187" s="35">
        <f t="shared" si="38"/>
        <v>0</v>
      </c>
      <c r="F187" s="35"/>
      <c r="G187" s="35"/>
      <c r="H187" s="35"/>
      <c r="I187" s="35"/>
      <c r="J187" s="35"/>
      <c r="K187" s="35">
        <f t="shared" si="39"/>
        <v>0</v>
      </c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>
        <f t="shared" si="41"/>
        <v>0</v>
      </c>
      <c r="X187" s="35"/>
      <c r="Y187" s="35" t="s">
        <v>222</v>
      </c>
      <c r="Z187" s="55"/>
      <c r="AA187" s="35" t="s">
        <v>47</v>
      </c>
      <c r="AB187" s="35"/>
      <c r="AC187" s="35"/>
      <c r="AD187" s="35"/>
      <c r="AE187" s="35"/>
      <c r="AF187" s="35"/>
      <c r="AG187" s="35"/>
      <c r="AH187" s="35"/>
      <c r="AI187" s="45">
        <f t="shared" si="46"/>
        <v>0</v>
      </c>
      <c r="AJ187" s="45"/>
      <c r="AK187" s="35"/>
      <c r="AL187" s="35"/>
      <c r="AM187" s="35"/>
      <c r="AN187" s="35"/>
      <c r="AO187" s="35"/>
      <c r="AP187" s="35"/>
      <c r="AQ187" s="35"/>
      <c r="AR187" s="35"/>
      <c r="AS187" s="45">
        <f t="shared" si="45"/>
        <v>0</v>
      </c>
      <c r="AT187" s="45"/>
      <c r="AU187" s="35">
        <v>0</v>
      </c>
      <c r="AV187" s="35"/>
      <c r="AW187" s="35">
        <v>0</v>
      </c>
      <c r="AX187" s="35"/>
      <c r="AY187" s="35">
        <f t="shared" si="40"/>
        <v>0</v>
      </c>
      <c r="AZ187" s="35"/>
      <c r="BA187" s="35" t="s">
        <v>222</v>
      </c>
      <c r="BB187" s="55"/>
      <c r="BC187" s="35" t="s">
        <v>47</v>
      </c>
      <c r="BD187" s="35"/>
      <c r="BE187" s="35"/>
      <c r="BF187" s="35"/>
      <c r="BG187" s="35"/>
      <c r="BH187" s="35"/>
      <c r="BI187" s="35"/>
      <c r="BJ187" s="35"/>
      <c r="BK187" s="35"/>
      <c r="BL187" s="35"/>
      <c r="BM187" s="35">
        <f t="shared" si="42"/>
        <v>0</v>
      </c>
      <c r="BN187" s="89" t="s">
        <v>347</v>
      </c>
    </row>
    <row r="188" spans="1:68" hidden="1" x14ac:dyDescent="0.2">
      <c r="A188" s="35" t="s">
        <v>223</v>
      </c>
      <c r="C188" s="35" t="s">
        <v>94</v>
      </c>
      <c r="D188" s="35"/>
      <c r="E188" s="35">
        <f t="shared" si="38"/>
        <v>0</v>
      </c>
      <c r="F188" s="35"/>
      <c r="G188" s="35"/>
      <c r="H188" s="35"/>
      <c r="I188" s="35"/>
      <c r="J188" s="35"/>
      <c r="K188" s="35">
        <f t="shared" si="39"/>
        <v>0</v>
      </c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>
        <f t="shared" si="41"/>
        <v>0</v>
      </c>
      <c r="X188" s="35"/>
      <c r="Y188" s="35" t="s">
        <v>223</v>
      </c>
      <c r="Z188" s="55"/>
      <c r="AA188" s="35" t="s">
        <v>94</v>
      </c>
      <c r="AB188" s="35"/>
      <c r="AC188" s="35"/>
      <c r="AD188" s="35"/>
      <c r="AE188" s="35"/>
      <c r="AF188" s="35"/>
      <c r="AG188" s="35"/>
      <c r="AH188" s="35"/>
      <c r="AI188" s="45">
        <f t="shared" si="46"/>
        <v>0</v>
      </c>
      <c r="AJ188" s="45"/>
      <c r="AK188" s="35"/>
      <c r="AL188" s="35"/>
      <c r="AM188" s="35"/>
      <c r="AN188" s="35"/>
      <c r="AO188" s="35"/>
      <c r="AP188" s="35"/>
      <c r="AQ188" s="35"/>
      <c r="AR188" s="35"/>
      <c r="AS188" s="45">
        <f t="shared" si="45"/>
        <v>0</v>
      </c>
      <c r="AT188" s="45"/>
      <c r="AU188" s="35">
        <v>0</v>
      </c>
      <c r="AV188" s="35"/>
      <c r="AW188" s="35">
        <v>0</v>
      </c>
      <c r="AX188" s="35"/>
      <c r="AY188" s="35">
        <f t="shared" si="40"/>
        <v>0</v>
      </c>
      <c r="AZ188" s="35"/>
      <c r="BA188" s="35" t="s">
        <v>223</v>
      </c>
      <c r="BB188" s="55"/>
      <c r="BC188" s="35" t="s">
        <v>94</v>
      </c>
      <c r="BD188" s="35"/>
      <c r="BE188" s="35"/>
      <c r="BF188" s="35"/>
      <c r="BG188" s="35"/>
      <c r="BH188" s="35"/>
      <c r="BI188" s="35"/>
      <c r="BJ188" s="35"/>
      <c r="BK188" s="35"/>
      <c r="BL188" s="35"/>
      <c r="BM188" s="35">
        <f t="shared" si="42"/>
        <v>0</v>
      </c>
      <c r="BN188" s="89" t="s">
        <v>347</v>
      </c>
    </row>
    <row r="189" spans="1:68" hidden="1" x14ac:dyDescent="0.2">
      <c r="A189" s="35" t="s">
        <v>76</v>
      </c>
      <c r="C189" s="35" t="s">
        <v>132</v>
      </c>
      <c r="D189" s="35"/>
      <c r="E189" s="35">
        <f t="shared" si="38"/>
        <v>0</v>
      </c>
      <c r="F189" s="35"/>
      <c r="G189" s="35"/>
      <c r="H189" s="35"/>
      <c r="I189" s="35"/>
      <c r="J189" s="35"/>
      <c r="K189" s="35">
        <f t="shared" si="39"/>
        <v>0</v>
      </c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>
        <f t="shared" si="41"/>
        <v>0</v>
      </c>
      <c r="X189" s="35"/>
      <c r="Y189" s="35" t="s">
        <v>76</v>
      </c>
      <c r="Z189" s="55"/>
      <c r="AA189" s="35" t="s">
        <v>132</v>
      </c>
      <c r="AB189" s="35"/>
      <c r="AC189" s="35"/>
      <c r="AD189" s="35"/>
      <c r="AE189" s="35"/>
      <c r="AF189" s="35"/>
      <c r="AG189" s="35"/>
      <c r="AH189" s="35"/>
      <c r="AI189" s="45">
        <f t="shared" si="46"/>
        <v>0</v>
      </c>
      <c r="AJ189" s="45"/>
      <c r="AK189" s="35"/>
      <c r="AL189" s="35"/>
      <c r="AM189" s="35"/>
      <c r="AN189" s="35"/>
      <c r="AO189" s="35"/>
      <c r="AP189" s="35"/>
      <c r="AQ189" s="35"/>
      <c r="AR189" s="35"/>
      <c r="AS189" s="45">
        <f t="shared" si="45"/>
        <v>0</v>
      </c>
      <c r="AT189" s="45"/>
      <c r="AU189" s="35">
        <v>0</v>
      </c>
      <c r="AV189" s="35"/>
      <c r="AW189" s="35">
        <v>0</v>
      </c>
      <c r="AX189" s="35"/>
      <c r="AY189" s="35">
        <f t="shared" si="40"/>
        <v>0</v>
      </c>
      <c r="AZ189" s="35"/>
      <c r="BA189" s="35" t="s">
        <v>76</v>
      </c>
      <c r="BB189" s="55"/>
      <c r="BC189" s="35" t="s">
        <v>132</v>
      </c>
      <c r="BD189" s="35"/>
      <c r="BE189" s="35"/>
      <c r="BF189" s="35"/>
      <c r="BG189" s="35"/>
      <c r="BH189" s="35"/>
      <c r="BI189" s="35"/>
      <c r="BJ189" s="35"/>
      <c r="BK189" s="35"/>
      <c r="BL189" s="35"/>
      <c r="BM189" s="35">
        <f t="shared" si="42"/>
        <v>0</v>
      </c>
      <c r="BN189" s="54" t="s">
        <v>347</v>
      </c>
    </row>
    <row r="190" spans="1:68" hidden="1" x14ac:dyDescent="0.2">
      <c r="A190" s="35" t="s">
        <v>224</v>
      </c>
      <c r="C190" s="35" t="s">
        <v>27</v>
      </c>
      <c r="D190" s="35"/>
      <c r="E190" s="35">
        <f t="shared" ref="E190:E250" si="47">I190-G190</f>
        <v>0</v>
      </c>
      <c r="F190" s="35"/>
      <c r="G190" s="35"/>
      <c r="H190" s="35"/>
      <c r="I190" s="35"/>
      <c r="J190" s="35"/>
      <c r="K190" s="35">
        <f t="shared" ref="K190:K250" si="48">O190-M190</f>
        <v>0</v>
      </c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>
        <f t="shared" si="41"/>
        <v>0</v>
      </c>
      <c r="X190" s="35"/>
      <c r="Y190" s="35" t="s">
        <v>224</v>
      </c>
      <c r="Z190" s="55"/>
      <c r="AA190" s="35" t="s">
        <v>27</v>
      </c>
      <c r="AB190" s="35"/>
      <c r="AC190" s="35"/>
      <c r="AD190" s="35"/>
      <c r="AE190" s="35"/>
      <c r="AF190" s="35"/>
      <c r="AG190" s="35"/>
      <c r="AH190" s="35"/>
      <c r="AI190" s="45">
        <f t="shared" si="46"/>
        <v>0</v>
      </c>
      <c r="AJ190" s="45"/>
      <c r="AK190" s="35"/>
      <c r="AL190" s="35"/>
      <c r="AM190" s="35"/>
      <c r="AN190" s="35"/>
      <c r="AO190" s="35"/>
      <c r="AP190" s="35"/>
      <c r="AQ190" s="35"/>
      <c r="AR190" s="35"/>
      <c r="AS190" s="45">
        <f t="shared" si="45"/>
        <v>0</v>
      </c>
      <c r="AT190" s="45"/>
      <c r="AU190" s="35">
        <v>0</v>
      </c>
      <c r="AV190" s="35"/>
      <c r="AW190" s="35">
        <v>0</v>
      </c>
      <c r="AX190" s="35"/>
      <c r="AY190" s="35">
        <f t="shared" si="40"/>
        <v>0</v>
      </c>
      <c r="AZ190" s="35"/>
      <c r="BA190" s="35" t="s">
        <v>224</v>
      </c>
      <c r="BB190" s="55"/>
      <c r="BC190" s="35" t="s">
        <v>27</v>
      </c>
      <c r="BD190" s="35"/>
      <c r="BE190" s="35"/>
      <c r="BF190" s="35"/>
      <c r="BG190" s="35"/>
      <c r="BH190" s="35"/>
      <c r="BI190" s="35"/>
      <c r="BJ190" s="35"/>
      <c r="BK190" s="35"/>
      <c r="BL190" s="35"/>
      <c r="BM190" s="35">
        <f t="shared" si="42"/>
        <v>0</v>
      </c>
      <c r="BN190" s="54" t="s">
        <v>347</v>
      </c>
      <c r="BO190" s="35"/>
      <c r="BP190" s="35"/>
    </row>
    <row r="191" spans="1:68" hidden="1" x14ac:dyDescent="0.2">
      <c r="A191" s="35" t="s">
        <v>225</v>
      </c>
      <c r="C191" s="35" t="s">
        <v>27</v>
      </c>
      <c r="D191" s="35"/>
      <c r="E191" s="35">
        <f t="shared" si="47"/>
        <v>0</v>
      </c>
      <c r="F191" s="35"/>
      <c r="G191" s="35"/>
      <c r="H191" s="35"/>
      <c r="I191" s="35"/>
      <c r="J191" s="35"/>
      <c r="K191" s="35">
        <f t="shared" si="48"/>
        <v>0</v>
      </c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>
        <f t="shared" si="41"/>
        <v>0</v>
      </c>
      <c r="X191" s="35"/>
      <c r="Y191" s="35" t="s">
        <v>225</v>
      </c>
      <c r="Z191" s="55"/>
      <c r="AA191" s="35" t="s">
        <v>27</v>
      </c>
      <c r="AB191" s="35"/>
      <c r="AC191" s="35"/>
      <c r="AD191" s="35"/>
      <c r="AE191" s="35"/>
      <c r="AF191" s="35"/>
      <c r="AG191" s="35"/>
      <c r="AH191" s="35"/>
      <c r="AI191" s="45">
        <f t="shared" si="46"/>
        <v>0</v>
      </c>
      <c r="AJ191" s="45"/>
      <c r="AK191" s="35"/>
      <c r="AL191" s="35"/>
      <c r="AM191" s="35"/>
      <c r="AN191" s="35"/>
      <c r="AO191" s="35"/>
      <c r="AP191" s="35"/>
      <c r="AQ191" s="35"/>
      <c r="AR191" s="35"/>
      <c r="AS191" s="45">
        <f t="shared" si="45"/>
        <v>0</v>
      </c>
      <c r="AT191" s="45"/>
      <c r="AU191" s="35">
        <v>0</v>
      </c>
      <c r="AV191" s="35"/>
      <c r="AW191" s="35">
        <v>0</v>
      </c>
      <c r="AX191" s="35"/>
      <c r="AY191" s="35">
        <f t="shared" si="40"/>
        <v>0</v>
      </c>
      <c r="AZ191" s="35"/>
      <c r="BA191" s="35" t="s">
        <v>225</v>
      </c>
      <c r="BB191" s="55"/>
      <c r="BC191" s="35" t="s">
        <v>27</v>
      </c>
      <c r="BD191" s="35"/>
      <c r="BE191" s="35"/>
      <c r="BF191" s="35"/>
      <c r="BG191" s="35"/>
      <c r="BH191" s="35"/>
      <c r="BI191" s="35"/>
      <c r="BJ191" s="35"/>
      <c r="BK191" s="35"/>
      <c r="BL191" s="35"/>
      <c r="BM191" s="35">
        <f t="shared" si="42"/>
        <v>0</v>
      </c>
      <c r="BN191" s="54" t="s">
        <v>347</v>
      </c>
    </row>
    <row r="192" spans="1:68" hidden="1" x14ac:dyDescent="0.2">
      <c r="A192" s="35" t="s">
        <v>226</v>
      </c>
      <c r="C192" s="35" t="s">
        <v>45</v>
      </c>
      <c r="D192" s="35"/>
      <c r="E192" s="35">
        <f t="shared" si="47"/>
        <v>0</v>
      </c>
      <c r="F192" s="35"/>
      <c r="G192" s="35"/>
      <c r="H192" s="35"/>
      <c r="I192" s="35"/>
      <c r="J192" s="35"/>
      <c r="K192" s="35">
        <f t="shared" si="48"/>
        <v>0</v>
      </c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>
        <f t="shared" si="41"/>
        <v>0</v>
      </c>
      <c r="X192" s="35"/>
      <c r="Y192" s="35" t="s">
        <v>226</v>
      </c>
      <c r="Z192" s="55"/>
      <c r="AA192" s="35" t="s">
        <v>45</v>
      </c>
      <c r="AB192" s="35"/>
      <c r="AC192" s="35"/>
      <c r="AD192" s="35"/>
      <c r="AE192" s="35"/>
      <c r="AF192" s="35"/>
      <c r="AG192" s="35"/>
      <c r="AH192" s="35"/>
      <c r="AI192" s="45">
        <f t="shared" si="46"/>
        <v>0</v>
      </c>
      <c r="AJ192" s="45"/>
      <c r="AK192" s="35"/>
      <c r="AL192" s="35"/>
      <c r="AM192" s="35"/>
      <c r="AN192" s="35"/>
      <c r="AO192" s="35"/>
      <c r="AP192" s="35"/>
      <c r="AQ192" s="35"/>
      <c r="AR192" s="35"/>
      <c r="AS192" s="45">
        <f t="shared" si="45"/>
        <v>0</v>
      </c>
      <c r="AT192" s="45"/>
      <c r="AU192" s="35">
        <v>0</v>
      </c>
      <c r="AV192" s="35"/>
      <c r="AW192" s="35">
        <v>0</v>
      </c>
      <c r="AX192" s="35"/>
      <c r="AY192" s="35">
        <f t="shared" si="40"/>
        <v>0</v>
      </c>
      <c r="AZ192" s="35"/>
      <c r="BA192" s="35" t="s">
        <v>226</v>
      </c>
      <c r="BB192" s="55"/>
      <c r="BC192" s="35" t="s">
        <v>45</v>
      </c>
      <c r="BD192" s="35"/>
      <c r="BE192" s="35"/>
      <c r="BF192" s="35"/>
      <c r="BG192" s="35"/>
      <c r="BH192" s="35"/>
      <c r="BI192" s="35"/>
      <c r="BJ192" s="35"/>
      <c r="BK192" s="35"/>
      <c r="BL192" s="35"/>
      <c r="BM192" s="35">
        <f t="shared" si="42"/>
        <v>0</v>
      </c>
      <c r="BN192" s="54" t="s">
        <v>347</v>
      </c>
    </row>
    <row r="193" spans="1:74" hidden="1" x14ac:dyDescent="0.2">
      <c r="A193" s="35" t="s">
        <v>227</v>
      </c>
      <c r="C193" s="35" t="s">
        <v>17</v>
      </c>
      <c r="D193" s="35"/>
      <c r="E193" s="35">
        <f t="shared" si="47"/>
        <v>0</v>
      </c>
      <c r="F193" s="35"/>
      <c r="G193" s="35"/>
      <c r="H193" s="35"/>
      <c r="I193" s="35"/>
      <c r="J193" s="35"/>
      <c r="K193" s="35">
        <f t="shared" si="48"/>
        <v>0</v>
      </c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>
        <f t="shared" si="41"/>
        <v>0</v>
      </c>
      <c r="X193" s="35"/>
      <c r="Y193" s="35" t="s">
        <v>227</v>
      </c>
      <c r="Z193" s="55"/>
      <c r="AA193" s="35" t="s">
        <v>17</v>
      </c>
      <c r="AB193" s="35"/>
      <c r="AC193" s="35"/>
      <c r="AD193" s="35"/>
      <c r="AE193" s="35"/>
      <c r="AF193" s="35"/>
      <c r="AG193" s="35"/>
      <c r="AH193" s="35"/>
      <c r="AI193" s="45">
        <f t="shared" si="46"/>
        <v>0</v>
      </c>
      <c r="AJ193" s="45"/>
      <c r="AK193" s="35"/>
      <c r="AL193" s="35"/>
      <c r="AM193" s="35"/>
      <c r="AN193" s="35"/>
      <c r="AO193" s="35"/>
      <c r="AP193" s="35"/>
      <c r="AQ193" s="35"/>
      <c r="AR193" s="35"/>
      <c r="AS193" s="45">
        <f t="shared" si="45"/>
        <v>0</v>
      </c>
      <c r="AT193" s="45"/>
      <c r="AU193" s="35">
        <v>0</v>
      </c>
      <c r="AV193" s="35"/>
      <c r="AW193" s="35">
        <v>0</v>
      </c>
      <c r="AX193" s="35"/>
      <c r="AY193" s="35">
        <f t="shared" ref="AY193:AY250" si="49">+E193-K193</f>
        <v>0</v>
      </c>
      <c r="AZ193" s="35"/>
      <c r="BA193" s="35" t="s">
        <v>227</v>
      </c>
      <c r="BB193" s="55"/>
      <c r="BC193" s="35" t="s">
        <v>17</v>
      </c>
      <c r="BD193" s="35"/>
      <c r="BE193" s="35"/>
      <c r="BF193" s="35"/>
      <c r="BG193" s="35"/>
      <c r="BH193" s="35"/>
      <c r="BI193" s="35"/>
      <c r="BJ193" s="35"/>
      <c r="BK193" s="35"/>
      <c r="BL193" s="35"/>
      <c r="BM193" s="35">
        <v>0</v>
      </c>
      <c r="BN193" s="54" t="s">
        <v>347</v>
      </c>
    </row>
    <row r="194" spans="1:74" hidden="1" x14ac:dyDescent="0.2">
      <c r="A194" s="35" t="s">
        <v>228</v>
      </c>
      <c r="C194" s="35" t="s">
        <v>153</v>
      </c>
      <c r="D194" s="35"/>
      <c r="E194" s="35">
        <f t="shared" si="47"/>
        <v>0</v>
      </c>
      <c r="F194" s="35"/>
      <c r="G194" s="35"/>
      <c r="H194" s="35"/>
      <c r="I194" s="35"/>
      <c r="J194" s="35"/>
      <c r="K194" s="35">
        <f t="shared" si="48"/>
        <v>0</v>
      </c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>
        <f t="shared" si="41"/>
        <v>0</v>
      </c>
      <c r="X194" s="35"/>
      <c r="Y194" s="35" t="s">
        <v>228</v>
      </c>
      <c r="Z194" s="55"/>
      <c r="AA194" s="35" t="s">
        <v>153</v>
      </c>
      <c r="AB194" s="35"/>
      <c r="AC194" s="35"/>
      <c r="AD194" s="35"/>
      <c r="AE194" s="35"/>
      <c r="AF194" s="35"/>
      <c r="AG194" s="35"/>
      <c r="AH194" s="35"/>
      <c r="AI194" s="45">
        <f t="shared" si="46"/>
        <v>0</v>
      </c>
      <c r="AJ194" s="45"/>
      <c r="AK194" s="35"/>
      <c r="AL194" s="35"/>
      <c r="AM194" s="35"/>
      <c r="AN194" s="35"/>
      <c r="AO194" s="35"/>
      <c r="AP194" s="35"/>
      <c r="AQ194" s="35"/>
      <c r="AR194" s="35"/>
      <c r="AS194" s="45">
        <f t="shared" si="45"/>
        <v>0</v>
      </c>
      <c r="AT194" s="45"/>
      <c r="AU194" s="35">
        <v>0</v>
      </c>
      <c r="AV194" s="35"/>
      <c r="AW194" s="35">
        <v>0</v>
      </c>
      <c r="AX194" s="35"/>
      <c r="AY194" s="35">
        <f t="shared" si="49"/>
        <v>0</v>
      </c>
      <c r="AZ194" s="35"/>
      <c r="BA194" s="35" t="s">
        <v>228</v>
      </c>
      <c r="BB194" s="55"/>
      <c r="BC194" s="35" t="s">
        <v>153</v>
      </c>
      <c r="BD194" s="35"/>
      <c r="BE194" s="35"/>
      <c r="BF194" s="35"/>
      <c r="BG194" s="35"/>
      <c r="BH194" s="35"/>
      <c r="BI194" s="35"/>
      <c r="BJ194" s="35"/>
      <c r="BK194" s="35"/>
      <c r="BL194" s="35"/>
      <c r="BM194" s="35">
        <f t="shared" ref="BM194:BM250" si="50">SUM(BE194:BK194)</f>
        <v>0</v>
      </c>
      <c r="BN194" s="54" t="s">
        <v>347</v>
      </c>
    </row>
    <row r="195" spans="1:74" hidden="1" x14ac:dyDescent="0.2">
      <c r="A195" s="35" t="s">
        <v>229</v>
      </c>
      <c r="C195" s="35" t="s">
        <v>228</v>
      </c>
      <c r="D195" s="35"/>
      <c r="E195" s="35">
        <f t="shared" si="47"/>
        <v>0</v>
      </c>
      <c r="F195" s="35"/>
      <c r="G195" s="35"/>
      <c r="H195" s="35"/>
      <c r="I195" s="35"/>
      <c r="J195" s="35"/>
      <c r="K195" s="35">
        <f t="shared" si="48"/>
        <v>0</v>
      </c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>
        <f t="shared" si="41"/>
        <v>0</v>
      </c>
      <c r="X195" s="35"/>
      <c r="Y195" s="35" t="s">
        <v>229</v>
      </c>
      <c r="Z195" s="55"/>
      <c r="AA195" s="35" t="s">
        <v>228</v>
      </c>
      <c r="AB195" s="35"/>
      <c r="AC195" s="35"/>
      <c r="AD195" s="35"/>
      <c r="AE195" s="35"/>
      <c r="AF195" s="35"/>
      <c r="AG195" s="35"/>
      <c r="AH195" s="35"/>
      <c r="AI195" s="45">
        <f t="shared" si="46"/>
        <v>0</v>
      </c>
      <c r="AJ195" s="45"/>
      <c r="AK195" s="35"/>
      <c r="AL195" s="35"/>
      <c r="AM195" s="35"/>
      <c r="AN195" s="35"/>
      <c r="AO195" s="35"/>
      <c r="AP195" s="35"/>
      <c r="AQ195" s="35"/>
      <c r="AR195" s="35"/>
      <c r="AS195" s="45">
        <f t="shared" si="45"/>
        <v>0</v>
      </c>
      <c r="AT195" s="45"/>
      <c r="AU195" s="35">
        <v>0</v>
      </c>
      <c r="AV195" s="35"/>
      <c r="AW195" s="35">
        <v>0</v>
      </c>
      <c r="AX195" s="35"/>
      <c r="AY195" s="35">
        <f t="shared" si="49"/>
        <v>0</v>
      </c>
      <c r="AZ195" s="35"/>
      <c r="BA195" s="35" t="s">
        <v>229</v>
      </c>
      <c r="BB195" s="55"/>
      <c r="BC195" s="35" t="s">
        <v>228</v>
      </c>
      <c r="BD195" s="35"/>
      <c r="BE195" s="35"/>
      <c r="BF195" s="35"/>
      <c r="BG195" s="35"/>
      <c r="BH195" s="35"/>
      <c r="BI195" s="35"/>
      <c r="BJ195" s="35"/>
      <c r="BK195" s="35"/>
      <c r="BL195" s="35"/>
      <c r="BM195" s="35">
        <f t="shared" si="50"/>
        <v>0</v>
      </c>
      <c r="BN195" s="54" t="s">
        <v>347</v>
      </c>
    </row>
    <row r="196" spans="1:74" s="140" customFormat="1" hidden="1" x14ac:dyDescent="0.2">
      <c r="A196" s="126" t="s">
        <v>230</v>
      </c>
      <c r="B196" s="124"/>
      <c r="C196" s="126" t="s">
        <v>45</v>
      </c>
      <c r="D196" s="126"/>
      <c r="E196" s="126">
        <f t="shared" si="47"/>
        <v>0</v>
      </c>
      <c r="F196" s="126"/>
      <c r="G196" s="126"/>
      <c r="H196" s="126"/>
      <c r="I196" s="126"/>
      <c r="J196" s="126"/>
      <c r="K196" s="126">
        <f t="shared" si="48"/>
        <v>0</v>
      </c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>
        <f t="shared" si="41"/>
        <v>0</v>
      </c>
      <c r="X196" s="126"/>
      <c r="Y196" s="126" t="s">
        <v>230</v>
      </c>
      <c r="AA196" s="126" t="s">
        <v>45</v>
      </c>
      <c r="AB196" s="126"/>
      <c r="AC196" s="126"/>
      <c r="AD196" s="126"/>
      <c r="AE196" s="126"/>
      <c r="AF196" s="126"/>
      <c r="AG196" s="126"/>
      <c r="AH196" s="126"/>
      <c r="AI196" s="127">
        <f t="shared" si="46"/>
        <v>0</v>
      </c>
      <c r="AJ196" s="127"/>
      <c r="AK196" s="126"/>
      <c r="AL196" s="126"/>
      <c r="AM196" s="126"/>
      <c r="AN196" s="126"/>
      <c r="AO196" s="126"/>
      <c r="AP196" s="126"/>
      <c r="AQ196" s="126"/>
      <c r="AR196" s="126"/>
      <c r="AS196" s="127">
        <f t="shared" si="45"/>
        <v>0</v>
      </c>
      <c r="AT196" s="127"/>
      <c r="AU196" s="126">
        <v>0</v>
      </c>
      <c r="AV196" s="126"/>
      <c r="AW196" s="126">
        <v>0</v>
      </c>
      <c r="AX196" s="126"/>
      <c r="AY196" s="126">
        <f t="shared" si="49"/>
        <v>0</v>
      </c>
      <c r="AZ196" s="126"/>
      <c r="BA196" s="126" t="s">
        <v>230</v>
      </c>
      <c r="BC196" s="126" t="s">
        <v>45</v>
      </c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>
        <f t="shared" si="50"/>
        <v>0</v>
      </c>
      <c r="BN196" s="139" t="s">
        <v>347</v>
      </c>
      <c r="BS196" s="44" t="s">
        <v>509</v>
      </c>
    </row>
    <row r="197" spans="1:74" hidden="1" x14ac:dyDescent="0.2">
      <c r="A197" s="35" t="s">
        <v>231</v>
      </c>
      <c r="C197" s="35" t="s">
        <v>27</v>
      </c>
      <c r="D197" s="35"/>
      <c r="E197" s="35">
        <f t="shared" si="47"/>
        <v>0</v>
      </c>
      <c r="F197" s="35"/>
      <c r="G197" s="35"/>
      <c r="H197" s="35"/>
      <c r="I197" s="35"/>
      <c r="J197" s="35"/>
      <c r="K197" s="35">
        <f t="shared" si="48"/>
        <v>0</v>
      </c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>
        <f t="shared" si="41"/>
        <v>0</v>
      </c>
      <c r="X197" s="35"/>
      <c r="Y197" s="35" t="s">
        <v>231</v>
      </c>
      <c r="Z197" s="55"/>
      <c r="AA197" s="35" t="s">
        <v>27</v>
      </c>
      <c r="AB197" s="35"/>
      <c r="AC197" s="35"/>
      <c r="AD197" s="35"/>
      <c r="AE197" s="35"/>
      <c r="AF197" s="35"/>
      <c r="AG197" s="35"/>
      <c r="AH197" s="35"/>
      <c r="AI197" s="45">
        <f t="shared" si="46"/>
        <v>0</v>
      </c>
      <c r="AJ197" s="45"/>
      <c r="AK197" s="35"/>
      <c r="AL197" s="35"/>
      <c r="AM197" s="35"/>
      <c r="AN197" s="35"/>
      <c r="AO197" s="35"/>
      <c r="AP197" s="35"/>
      <c r="AQ197" s="35"/>
      <c r="AR197" s="35"/>
      <c r="AS197" s="45">
        <f t="shared" si="45"/>
        <v>0</v>
      </c>
      <c r="AT197" s="45"/>
      <c r="AU197" s="35">
        <v>0</v>
      </c>
      <c r="AV197" s="35"/>
      <c r="AW197" s="35">
        <v>0</v>
      </c>
      <c r="AX197" s="35"/>
      <c r="AY197" s="35">
        <f t="shared" si="49"/>
        <v>0</v>
      </c>
      <c r="AZ197" s="35"/>
      <c r="BA197" s="35" t="s">
        <v>231</v>
      </c>
      <c r="BB197" s="55"/>
      <c r="BC197" s="35" t="s">
        <v>27</v>
      </c>
      <c r="BD197" s="35"/>
      <c r="BE197" s="35"/>
      <c r="BF197" s="35"/>
      <c r="BG197" s="35"/>
      <c r="BH197" s="35"/>
      <c r="BI197" s="35"/>
      <c r="BJ197" s="35"/>
      <c r="BK197" s="35"/>
      <c r="BL197" s="35"/>
      <c r="BM197" s="35">
        <f t="shared" si="50"/>
        <v>0</v>
      </c>
      <c r="BN197" s="54" t="s">
        <v>347</v>
      </c>
    </row>
    <row r="198" spans="1:74" hidden="1" x14ac:dyDescent="0.2">
      <c r="A198" s="35" t="s">
        <v>232</v>
      </c>
      <c r="C198" s="35" t="s">
        <v>27</v>
      </c>
      <c r="D198" s="35"/>
      <c r="E198" s="35">
        <f t="shared" si="47"/>
        <v>0</v>
      </c>
      <c r="F198" s="35"/>
      <c r="G198" s="35"/>
      <c r="H198" s="35"/>
      <c r="I198" s="35"/>
      <c r="J198" s="35"/>
      <c r="K198" s="35">
        <f t="shared" si="48"/>
        <v>0</v>
      </c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>
        <f t="shared" si="41"/>
        <v>0</v>
      </c>
      <c r="X198" s="35"/>
      <c r="Y198" s="35" t="s">
        <v>232</v>
      </c>
      <c r="Z198" s="55"/>
      <c r="AA198" s="35" t="s">
        <v>27</v>
      </c>
      <c r="AB198" s="35"/>
      <c r="AC198" s="35"/>
      <c r="AD198" s="35"/>
      <c r="AE198" s="35"/>
      <c r="AF198" s="35"/>
      <c r="AG198" s="35"/>
      <c r="AH198" s="35"/>
      <c r="AI198" s="45">
        <f t="shared" si="46"/>
        <v>0</v>
      </c>
      <c r="AJ198" s="45"/>
      <c r="AK198" s="35"/>
      <c r="AL198" s="35"/>
      <c r="AM198" s="35"/>
      <c r="AN198" s="35"/>
      <c r="AO198" s="35"/>
      <c r="AP198" s="35"/>
      <c r="AQ198" s="35"/>
      <c r="AR198" s="35"/>
      <c r="AS198" s="45">
        <f t="shared" si="45"/>
        <v>0</v>
      </c>
      <c r="AT198" s="45"/>
      <c r="AU198" s="35">
        <v>0</v>
      </c>
      <c r="AV198" s="35"/>
      <c r="AW198" s="35">
        <v>0</v>
      </c>
      <c r="AX198" s="35"/>
      <c r="AY198" s="35">
        <f t="shared" si="49"/>
        <v>0</v>
      </c>
      <c r="AZ198" s="35"/>
      <c r="BA198" s="35" t="s">
        <v>232</v>
      </c>
      <c r="BB198" s="55"/>
      <c r="BC198" s="35" t="s">
        <v>27</v>
      </c>
      <c r="BD198" s="35"/>
      <c r="BE198" s="35"/>
      <c r="BF198" s="35"/>
      <c r="BG198" s="35"/>
      <c r="BH198" s="35"/>
      <c r="BI198" s="35"/>
      <c r="BJ198" s="35"/>
      <c r="BK198" s="35"/>
      <c r="BL198" s="35"/>
      <c r="BM198" s="35">
        <f t="shared" si="50"/>
        <v>0</v>
      </c>
      <c r="BN198" s="54" t="s">
        <v>347</v>
      </c>
      <c r="BO198" s="35"/>
      <c r="BP198" s="35"/>
      <c r="BQ198" s="35"/>
      <c r="BR198" s="35"/>
      <c r="BS198" s="35"/>
      <c r="BT198" s="35"/>
      <c r="BU198" s="35"/>
      <c r="BV198" s="35"/>
    </row>
    <row r="199" spans="1:74" x14ac:dyDescent="0.2">
      <c r="A199" s="35" t="s">
        <v>233</v>
      </c>
      <c r="C199" s="35" t="s">
        <v>111</v>
      </c>
      <c r="D199" s="35"/>
      <c r="E199" s="35">
        <f t="shared" si="47"/>
        <v>656669</v>
      </c>
      <c r="F199" s="35"/>
      <c r="G199" s="35">
        <v>0</v>
      </c>
      <c r="H199" s="35"/>
      <c r="I199" s="35">
        <v>656669</v>
      </c>
      <c r="J199" s="35"/>
      <c r="K199" s="35">
        <f t="shared" si="48"/>
        <v>75263</v>
      </c>
      <c r="L199" s="35"/>
      <c r="M199" s="35">
        <v>5012</v>
      </c>
      <c r="N199" s="35"/>
      <c r="O199" s="35">
        <v>80275</v>
      </c>
      <c r="P199" s="35"/>
      <c r="Q199" s="35">
        <v>0</v>
      </c>
      <c r="R199" s="35"/>
      <c r="S199" s="35">
        <v>0</v>
      </c>
      <c r="T199" s="35"/>
      <c r="U199" s="35">
        <v>576394</v>
      </c>
      <c r="V199" s="35"/>
      <c r="W199" s="35">
        <f t="shared" si="41"/>
        <v>576394</v>
      </c>
      <c r="X199" s="35"/>
      <c r="Y199" s="35" t="s">
        <v>233</v>
      </c>
      <c r="Z199" s="55"/>
      <c r="AA199" s="35" t="s">
        <v>111</v>
      </c>
      <c r="AB199" s="35"/>
      <c r="AC199" s="35">
        <v>919731</v>
      </c>
      <c r="AD199" s="35"/>
      <c r="AE199" s="35">
        <v>975349</v>
      </c>
      <c r="AF199" s="35"/>
      <c r="AG199" s="35">
        <v>0</v>
      </c>
      <c r="AH199" s="35"/>
      <c r="AI199" s="45">
        <f t="shared" si="46"/>
        <v>-55618</v>
      </c>
      <c r="AJ199" s="45"/>
      <c r="AK199" s="35">
        <v>-167</v>
      </c>
      <c r="AL199" s="35"/>
      <c r="AM199" s="35">
        <v>0</v>
      </c>
      <c r="AN199" s="35"/>
      <c r="AO199" s="35">
        <v>0</v>
      </c>
      <c r="AP199" s="35"/>
      <c r="AQ199" s="35">
        <v>0</v>
      </c>
      <c r="AR199" s="35"/>
      <c r="AS199" s="45">
        <f t="shared" si="45"/>
        <v>-55785</v>
      </c>
      <c r="AT199" s="45"/>
      <c r="AU199" s="35">
        <v>0</v>
      </c>
      <c r="AV199" s="35"/>
      <c r="AW199" s="35">
        <v>0</v>
      </c>
      <c r="AX199" s="35"/>
      <c r="AY199" s="35">
        <f t="shared" si="49"/>
        <v>581406</v>
      </c>
      <c r="AZ199" s="35"/>
      <c r="BA199" s="35" t="s">
        <v>233</v>
      </c>
      <c r="BB199" s="55"/>
      <c r="BC199" s="35" t="s">
        <v>111</v>
      </c>
      <c r="BD199" s="35"/>
      <c r="BE199" s="35">
        <v>0</v>
      </c>
      <c r="BF199" s="35"/>
      <c r="BG199" s="35">
        <v>0</v>
      </c>
      <c r="BH199" s="35"/>
      <c r="BI199" s="35">
        <v>0</v>
      </c>
      <c r="BJ199" s="35"/>
      <c r="BK199" s="35">
        <f>5012+764</f>
        <v>5776</v>
      </c>
      <c r="BL199" s="35"/>
      <c r="BM199" s="35">
        <f t="shared" si="50"/>
        <v>5776</v>
      </c>
      <c r="BN199" s="54" t="s">
        <v>347</v>
      </c>
      <c r="BO199" s="35"/>
      <c r="BP199" s="35"/>
      <c r="BQ199" s="35"/>
      <c r="BR199" s="35"/>
      <c r="BS199" s="35"/>
      <c r="BT199" s="35"/>
      <c r="BU199" s="35"/>
      <c r="BV199" s="35"/>
    </row>
    <row r="200" spans="1:74" hidden="1" x14ac:dyDescent="0.2">
      <c r="A200" s="35" t="s">
        <v>234</v>
      </c>
      <c r="C200" s="35" t="s">
        <v>45</v>
      </c>
      <c r="D200" s="35"/>
      <c r="E200" s="35">
        <f t="shared" si="47"/>
        <v>0</v>
      </c>
      <c r="F200" s="35"/>
      <c r="G200" s="35"/>
      <c r="H200" s="35"/>
      <c r="I200" s="35"/>
      <c r="J200" s="35"/>
      <c r="K200" s="35">
        <f t="shared" si="48"/>
        <v>0</v>
      </c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>
        <f t="shared" si="41"/>
        <v>0</v>
      </c>
      <c r="X200" s="35"/>
      <c r="Y200" s="35" t="s">
        <v>234</v>
      </c>
      <c r="Z200" s="55"/>
      <c r="AA200" s="35" t="s">
        <v>45</v>
      </c>
      <c r="AB200" s="35"/>
      <c r="AC200" s="35"/>
      <c r="AD200" s="35"/>
      <c r="AE200" s="35"/>
      <c r="AF200" s="35"/>
      <c r="AG200" s="35"/>
      <c r="AH200" s="35"/>
      <c r="AI200" s="45">
        <f t="shared" si="46"/>
        <v>0</v>
      </c>
      <c r="AJ200" s="45"/>
      <c r="AK200" s="35"/>
      <c r="AL200" s="35"/>
      <c r="AM200" s="35"/>
      <c r="AN200" s="35"/>
      <c r="AO200" s="35"/>
      <c r="AP200" s="35"/>
      <c r="AQ200" s="35"/>
      <c r="AR200" s="35"/>
      <c r="AS200" s="45">
        <f t="shared" si="45"/>
        <v>0</v>
      </c>
      <c r="AT200" s="45"/>
      <c r="AU200" s="35">
        <v>0</v>
      </c>
      <c r="AV200" s="35"/>
      <c r="AW200" s="35">
        <v>0</v>
      </c>
      <c r="AX200" s="35"/>
      <c r="AY200" s="35">
        <f t="shared" si="49"/>
        <v>0</v>
      </c>
      <c r="AZ200" s="35"/>
      <c r="BA200" s="35" t="s">
        <v>234</v>
      </c>
      <c r="BB200" s="55"/>
      <c r="BC200" s="35" t="s">
        <v>45</v>
      </c>
      <c r="BD200" s="35"/>
      <c r="BE200" s="35"/>
      <c r="BF200" s="35"/>
      <c r="BG200" s="35"/>
      <c r="BH200" s="35"/>
      <c r="BI200" s="35"/>
      <c r="BJ200" s="35"/>
      <c r="BK200" s="35"/>
      <c r="BL200" s="35"/>
      <c r="BM200" s="35">
        <f t="shared" si="50"/>
        <v>0</v>
      </c>
      <c r="BN200" s="54" t="s">
        <v>347</v>
      </c>
      <c r="BO200" s="35" t="s">
        <v>371</v>
      </c>
      <c r="BP200" s="35"/>
      <c r="BQ200" s="35"/>
      <c r="BR200" s="35"/>
      <c r="BS200" s="35"/>
      <c r="BT200" s="35"/>
      <c r="BU200" s="35"/>
      <c r="BV200" s="35"/>
    </row>
    <row r="201" spans="1:74" hidden="1" x14ac:dyDescent="0.2">
      <c r="A201" s="35" t="s">
        <v>235</v>
      </c>
      <c r="C201" s="35" t="s">
        <v>183</v>
      </c>
      <c r="D201" s="35"/>
      <c r="E201" s="35">
        <f t="shared" si="47"/>
        <v>0</v>
      </c>
      <c r="F201" s="35"/>
      <c r="G201" s="35"/>
      <c r="H201" s="35"/>
      <c r="I201" s="35"/>
      <c r="J201" s="35"/>
      <c r="K201" s="35">
        <f t="shared" si="48"/>
        <v>0</v>
      </c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>
        <f t="shared" si="41"/>
        <v>0</v>
      </c>
      <c r="X201" s="35"/>
      <c r="Y201" s="35" t="s">
        <v>235</v>
      </c>
      <c r="Z201" s="55"/>
      <c r="AA201" s="35" t="s">
        <v>183</v>
      </c>
      <c r="AB201" s="35"/>
      <c r="AC201" s="35"/>
      <c r="AD201" s="35"/>
      <c r="AE201" s="35"/>
      <c r="AF201" s="35"/>
      <c r="AG201" s="35"/>
      <c r="AH201" s="35"/>
      <c r="AI201" s="45">
        <f t="shared" si="46"/>
        <v>0</v>
      </c>
      <c r="AJ201" s="45"/>
      <c r="AK201" s="35"/>
      <c r="AL201" s="35"/>
      <c r="AM201" s="35"/>
      <c r="AN201" s="35"/>
      <c r="AO201" s="35"/>
      <c r="AP201" s="35"/>
      <c r="AQ201" s="35"/>
      <c r="AR201" s="35"/>
      <c r="AS201" s="45">
        <f t="shared" si="45"/>
        <v>0</v>
      </c>
      <c r="AT201" s="45"/>
      <c r="AU201" s="35">
        <v>0</v>
      </c>
      <c r="AV201" s="35"/>
      <c r="AW201" s="35">
        <v>0</v>
      </c>
      <c r="AX201" s="35"/>
      <c r="AY201" s="35">
        <f t="shared" si="49"/>
        <v>0</v>
      </c>
      <c r="AZ201" s="35"/>
      <c r="BA201" s="35" t="s">
        <v>235</v>
      </c>
      <c r="BB201" s="55"/>
      <c r="BC201" s="35" t="s">
        <v>183</v>
      </c>
      <c r="BD201" s="35"/>
      <c r="BE201" s="35"/>
      <c r="BF201" s="35"/>
      <c r="BG201" s="35"/>
      <c r="BH201" s="35"/>
      <c r="BI201" s="35"/>
      <c r="BJ201" s="35"/>
      <c r="BK201" s="35"/>
      <c r="BL201" s="35"/>
      <c r="BM201" s="35">
        <f t="shared" si="50"/>
        <v>0</v>
      </c>
      <c r="BN201" s="54" t="s">
        <v>347</v>
      </c>
      <c r="BO201" s="35"/>
      <c r="BP201" s="35"/>
    </row>
    <row r="202" spans="1:74" hidden="1" x14ac:dyDescent="0.2">
      <c r="A202" s="35" t="s">
        <v>236</v>
      </c>
      <c r="C202" s="35" t="s">
        <v>45</v>
      </c>
      <c r="D202" s="35"/>
      <c r="E202" s="35">
        <f t="shared" si="47"/>
        <v>0</v>
      </c>
      <c r="F202" s="35"/>
      <c r="G202" s="35"/>
      <c r="H202" s="35"/>
      <c r="I202" s="35"/>
      <c r="J202" s="35"/>
      <c r="K202" s="35">
        <f t="shared" si="48"/>
        <v>0</v>
      </c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>
        <f t="shared" si="41"/>
        <v>0</v>
      </c>
      <c r="X202" s="35"/>
      <c r="Y202" s="35" t="s">
        <v>236</v>
      </c>
      <c r="Z202" s="55"/>
      <c r="AA202" s="35" t="s">
        <v>45</v>
      </c>
      <c r="AB202" s="35"/>
      <c r="AC202" s="35"/>
      <c r="AD202" s="35"/>
      <c r="AE202" s="35"/>
      <c r="AF202" s="35"/>
      <c r="AG202" s="35"/>
      <c r="AH202" s="35"/>
      <c r="AI202" s="45">
        <f t="shared" si="46"/>
        <v>0</v>
      </c>
      <c r="AJ202" s="45"/>
      <c r="AK202" s="35"/>
      <c r="AL202" s="35"/>
      <c r="AM202" s="35"/>
      <c r="AN202" s="35"/>
      <c r="AO202" s="35"/>
      <c r="AP202" s="35"/>
      <c r="AQ202" s="35"/>
      <c r="AR202" s="35"/>
      <c r="AS202" s="45">
        <f t="shared" si="45"/>
        <v>0</v>
      </c>
      <c r="AT202" s="45"/>
      <c r="AU202" s="35">
        <v>0</v>
      </c>
      <c r="AV202" s="35"/>
      <c r="AW202" s="35">
        <v>0</v>
      </c>
      <c r="AX202" s="35"/>
      <c r="AY202" s="35">
        <f t="shared" si="49"/>
        <v>0</v>
      </c>
      <c r="AZ202" s="35"/>
      <c r="BA202" s="35" t="s">
        <v>236</v>
      </c>
      <c r="BB202" s="55"/>
      <c r="BC202" s="35" t="s">
        <v>45</v>
      </c>
      <c r="BD202" s="35"/>
      <c r="BE202" s="35"/>
      <c r="BF202" s="35"/>
      <c r="BG202" s="35"/>
      <c r="BH202" s="35"/>
      <c r="BI202" s="35"/>
      <c r="BJ202" s="35"/>
      <c r="BK202" s="35"/>
      <c r="BL202" s="35"/>
      <c r="BM202" s="35">
        <f t="shared" si="50"/>
        <v>0</v>
      </c>
      <c r="BN202" s="54" t="s">
        <v>347</v>
      </c>
    </row>
    <row r="203" spans="1:74" hidden="1" x14ac:dyDescent="0.2">
      <c r="A203" s="35" t="s">
        <v>237</v>
      </c>
      <c r="C203" s="35" t="s">
        <v>33</v>
      </c>
      <c r="D203" s="35"/>
      <c r="E203" s="35">
        <f t="shared" si="47"/>
        <v>0</v>
      </c>
      <c r="F203" s="35"/>
      <c r="G203" s="35"/>
      <c r="H203" s="35"/>
      <c r="I203" s="35"/>
      <c r="J203" s="35"/>
      <c r="K203" s="35">
        <f t="shared" si="48"/>
        <v>0</v>
      </c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>
        <f t="shared" si="41"/>
        <v>0</v>
      </c>
      <c r="X203" s="35"/>
      <c r="Y203" s="35" t="s">
        <v>237</v>
      </c>
      <c r="Z203" s="55"/>
      <c r="AA203" s="35" t="s">
        <v>33</v>
      </c>
      <c r="AB203" s="35"/>
      <c r="AC203" s="35"/>
      <c r="AD203" s="35"/>
      <c r="AE203" s="35"/>
      <c r="AF203" s="35"/>
      <c r="AG203" s="35"/>
      <c r="AH203" s="35"/>
      <c r="AI203" s="45">
        <f t="shared" si="46"/>
        <v>0</v>
      </c>
      <c r="AJ203" s="45"/>
      <c r="AK203" s="35"/>
      <c r="AL203" s="35"/>
      <c r="AM203" s="35"/>
      <c r="AN203" s="35"/>
      <c r="AO203" s="35"/>
      <c r="AP203" s="35"/>
      <c r="AQ203" s="35"/>
      <c r="AR203" s="35"/>
      <c r="AS203" s="45">
        <f t="shared" si="45"/>
        <v>0</v>
      </c>
      <c r="AT203" s="45"/>
      <c r="AU203" s="35">
        <v>0</v>
      </c>
      <c r="AV203" s="35"/>
      <c r="AW203" s="35">
        <v>0</v>
      </c>
      <c r="AX203" s="35"/>
      <c r="AY203" s="35">
        <f t="shared" si="49"/>
        <v>0</v>
      </c>
      <c r="AZ203" s="35"/>
      <c r="BA203" s="35" t="s">
        <v>237</v>
      </c>
      <c r="BB203" s="55"/>
      <c r="BC203" s="35" t="s">
        <v>33</v>
      </c>
      <c r="BD203" s="35"/>
      <c r="BE203" s="35"/>
      <c r="BF203" s="35"/>
      <c r="BG203" s="35"/>
      <c r="BH203" s="35"/>
      <c r="BI203" s="35"/>
      <c r="BJ203" s="35"/>
      <c r="BK203" s="35"/>
      <c r="BL203" s="35"/>
      <c r="BM203" s="35">
        <f t="shared" si="50"/>
        <v>0</v>
      </c>
      <c r="BN203" s="54" t="s">
        <v>347</v>
      </c>
    </row>
    <row r="204" spans="1:74" ht="12" x14ac:dyDescent="0.2">
      <c r="A204" s="64" t="s">
        <v>238</v>
      </c>
      <c r="B204" s="90"/>
      <c r="C204" s="64" t="s">
        <v>239</v>
      </c>
      <c r="D204" s="64"/>
      <c r="E204" s="35">
        <f t="shared" si="47"/>
        <v>2166887</v>
      </c>
      <c r="F204" s="35"/>
      <c r="G204" s="35">
        <v>1724360</v>
      </c>
      <c r="H204" s="35"/>
      <c r="I204" s="35">
        <v>3891247</v>
      </c>
      <c r="J204" s="35"/>
      <c r="K204" s="35">
        <f t="shared" si="48"/>
        <v>29702</v>
      </c>
      <c r="L204" s="35"/>
      <c r="M204" s="35">
        <v>2989708</v>
      </c>
      <c r="N204" s="35"/>
      <c r="O204" s="35">
        <v>3019410</v>
      </c>
      <c r="P204" s="35"/>
      <c r="Q204" s="35">
        <v>1724360</v>
      </c>
      <c r="R204" s="35"/>
      <c r="S204" s="35">
        <v>0</v>
      </c>
      <c r="T204" s="35"/>
      <c r="U204" s="35">
        <v>-852523</v>
      </c>
      <c r="V204" s="35"/>
      <c r="W204" s="35">
        <f t="shared" si="41"/>
        <v>871837</v>
      </c>
      <c r="X204" s="64"/>
      <c r="Y204" s="64" t="s">
        <v>238</v>
      </c>
      <c r="Z204" s="90"/>
      <c r="AA204" s="64" t="s">
        <v>239</v>
      </c>
      <c r="AB204" s="64"/>
      <c r="AC204" s="35">
        <v>847831</v>
      </c>
      <c r="AD204" s="35"/>
      <c r="AE204" s="35">
        <f>709718-124328</f>
        <v>585390</v>
      </c>
      <c r="AF204" s="35"/>
      <c r="AG204" s="35">
        <v>124328</v>
      </c>
      <c r="AH204" s="35"/>
      <c r="AI204" s="45">
        <f t="shared" si="46"/>
        <v>138113</v>
      </c>
      <c r="AJ204" s="45"/>
      <c r="AK204" s="35">
        <v>912</v>
      </c>
      <c r="AL204" s="35"/>
      <c r="AM204" s="35">
        <v>0</v>
      </c>
      <c r="AN204" s="35"/>
      <c r="AO204" s="35">
        <v>0</v>
      </c>
      <c r="AP204" s="35"/>
      <c r="AQ204" s="35">
        <v>0</v>
      </c>
      <c r="AR204" s="35"/>
      <c r="AS204" s="45">
        <f t="shared" si="45"/>
        <v>139025</v>
      </c>
      <c r="AT204" s="45"/>
      <c r="AU204" s="35">
        <v>0</v>
      </c>
      <c r="AV204" s="35"/>
      <c r="AW204" s="35">
        <v>0</v>
      </c>
      <c r="AX204" s="35"/>
      <c r="AY204" s="35">
        <f t="shared" si="49"/>
        <v>2137185</v>
      </c>
      <c r="AZ204" s="35"/>
      <c r="BA204" s="64" t="s">
        <v>238</v>
      </c>
      <c r="BB204" s="90"/>
      <c r="BC204" s="64" t="s">
        <v>239</v>
      </c>
      <c r="BD204" s="64"/>
      <c r="BE204" s="35">
        <v>0</v>
      </c>
      <c r="BF204" s="35"/>
      <c r="BG204" s="35">
        <v>0</v>
      </c>
      <c r="BH204" s="35"/>
      <c r="BI204" s="35">
        <v>0</v>
      </c>
      <c r="BJ204" s="35"/>
      <c r="BK204" s="35">
        <f>2972640+17068+12443</f>
        <v>3002151</v>
      </c>
      <c r="BL204" s="35"/>
      <c r="BM204" s="35">
        <f t="shared" si="50"/>
        <v>3002151</v>
      </c>
      <c r="BN204" s="54" t="s">
        <v>347</v>
      </c>
    </row>
    <row r="205" spans="1:74" ht="12" x14ac:dyDescent="0.2">
      <c r="A205" s="35" t="s">
        <v>486</v>
      </c>
      <c r="B205" s="55"/>
      <c r="C205" s="35" t="s">
        <v>249</v>
      </c>
      <c r="D205" s="35"/>
      <c r="E205" s="35">
        <f t="shared" si="47"/>
        <v>3279965</v>
      </c>
      <c r="F205" s="35"/>
      <c r="G205" s="35">
        <v>319851</v>
      </c>
      <c r="H205" s="35"/>
      <c r="I205" s="35">
        <v>3599816</v>
      </c>
      <c r="J205" s="35"/>
      <c r="K205" s="35">
        <f t="shared" si="48"/>
        <v>321134</v>
      </c>
      <c r="L205" s="35"/>
      <c r="M205" s="35">
        <v>4977235</v>
      </c>
      <c r="N205" s="35"/>
      <c r="O205" s="35">
        <v>5298369</v>
      </c>
      <c r="P205" s="35"/>
      <c r="Q205" s="35">
        <v>319851</v>
      </c>
      <c r="R205" s="35"/>
      <c r="S205" s="35">
        <v>0</v>
      </c>
      <c r="T205" s="35"/>
      <c r="U205" s="35">
        <v>-2018404</v>
      </c>
      <c r="V205" s="35"/>
      <c r="W205" s="35">
        <f t="shared" si="41"/>
        <v>-1698553</v>
      </c>
      <c r="X205" s="35"/>
      <c r="Y205" s="35" t="s">
        <v>486</v>
      </c>
      <c r="Z205" s="55"/>
      <c r="AA205" s="35" t="s">
        <v>249</v>
      </c>
      <c r="AB205" s="35"/>
      <c r="AC205" s="35">
        <v>2266345</v>
      </c>
      <c r="AD205" s="35"/>
      <c r="AE205" s="35">
        <f>1588572-44558</f>
        <v>1544014</v>
      </c>
      <c r="AF205" s="35"/>
      <c r="AG205" s="35">
        <v>44558</v>
      </c>
      <c r="AH205" s="35"/>
      <c r="AI205" s="45">
        <f t="shared" si="46"/>
        <v>677773</v>
      </c>
      <c r="AJ205" s="45"/>
      <c r="AK205" s="35">
        <v>-559</v>
      </c>
      <c r="AL205" s="35"/>
      <c r="AM205" s="35">
        <v>0</v>
      </c>
      <c r="AN205" s="35"/>
      <c r="AO205" s="35">
        <v>0</v>
      </c>
      <c r="AP205" s="35"/>
      <c r="AQ205" s="35">
        <v>0</v>
      </c>
      <c r="AR205" s="35"/>
      <c r="AS205" s="45">
        <f t="shared" si="45"/>
        <v>677214</v>
      </c>
      <c r="AT205" s="45"/>
      <c r="AU205" s="35">
        <v>0</v>
      </c>
      <c r="AV205" s="35"/>
      <c r="AW205" s="35">
        <v>0</v>
      </c>
      <c r="AX205" s="35"/>
      <c r="AY205" s="35">
        <f t="shared" si="49"/>
        <v>2958831</v>
      </c>
      <c r="AZ205" s="35"/>
      <c r="BA205" s="35" t="s">
        <v>486</v>
      </c>
      <c r="BB205" s="55"/>
      <c r="BC205" s="35" t="s">
        <v>249</v>
      </c>
      <c r="BD205" s="35"/>
      <c r="BE205" s="35">
        <v>0</v>
      </c>
      <c r="BF205" s="35"/>
      <c r="BG205" s="35">
        <f>401044+93956</f>
        <v>495000</v>
      </c>
      <c r="BH205" s="35"/>
      <c r="BI205" s="35">
        <v>0</v>
      </c>
      <c r="BJ205" s="35"/>
      <c r="BK205" s="35">
        <f>4516478+100000+59713+4792</f>
        <v>4680983</v>
      </c>
      <c r="BL205" s="35"/>
      <c r="BM205" s="35">
        <f t="shared" si="50"/>
        <v>5175983</v>
      </c>
      <c r="BN205" s="54"/>
    </row>
    <row r="206" spans="1:74" hidden="1" x14ac:dyDescent="0.2">
      <c r="A206" s="35" t="s">
        <v>240</v>
      </c>
      <c r="C206" s="35" t="s">
        <v>13</v>
      </c>
      <c r="D206" s="35"/>
      <c r="E206" s="35">
        <f t="shared" si="47"/>
        <v>0</v>
      </c>
      <c r="F206" s="35"/>
      <c r="G206" s="35"/>
      <c r="H206" s="35"/>
      <c r="I206" s="35"/>
      <c r="J206" s="35"/>
      <c r="K206" s="35">
        <f t="shared" si="48"/>
        <v>0</v>
      </c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>
        <f t="shared" si="41"/>
        <v>0</v>
      </c>
      <c r="X206" s="35"/>
      <c r="Y206" s="35" t="s">
        <v>240</v>
      </c>
      <c r="Z206" s="55"/>
      <c r="AA206" s="35" t="s">
        <v>13</v>
      </c>
      <c r="AB206" s="35"/>
      <c r="AC206" s="35"/>
      <c r="AD206" s="35"/>
      <c r="AE206" s="35"/>
      <c r="AF206" s="35"/>
      <c r="AG206" s="35"/>
      <c r="AH206" s="35"/>
      <c r="AI206" s="45">
        <f t="shared" si="46"/>
        <v>0</v>
      </c>
      <c r="AJ206" s="45"/>
      <c r="AK206" s="35"/>
      <c r="AL206" s="35"/>
      <c r="AM206" s="35"/>
      <c r="AN206" s="35"/>
      <c r="AO206" s="35"/>
      <c r="AP206" s="35"/>
      <c r="AQ206" s="35"/>
      <c r="AR206" s="35"/>
      <c r="AS206" s="45">
        <f t="shared" si="45"/>
        <v>0</v>
      </c>
      <c r="AT206" s="45"/>
      <c r="AU206" s="35">
        <v>0</v>
      </c>
      <c r="AV206" s="35"/>
      <c r="AW206" s="35">
        <v>0</v>
      </c>
      <c r="AX206" s="35"/>
      <c r="AY206" s="35">
        <f t="shared" si="49"/>
        <v>0</v>
      </c>
      <c r="AZ206" s="35"/>
      <c r="BA206" s="35" t="s">
        <v>240</v>
      </c>
      <c r="BB206" s="55"/>
      <c r="BC206" s="35" t="s">
        <v>13</v>
      </c>
      <c r="BD206" s="35"/>
      <c r="BE206" s="35"/>
      <c r="BF206" s="35"/>
      <c r="BG206" s="35"/>
      <c r="BH206" s="35"/>
      <c r="BI206" s="35"/>
      <c r="BJ206" s="35"/>
      <c r="BK206" s="35"/>
      <c r="BL206" s="35"/>
      <c r="BM206" s="35">
        <f t="shared" si="50"/>
        <v>0</v>
      </c>
      <c r="BN206" s="54" t="s">
        <v>347</v>
      </c>
      <c r="BO206" s="35" t="s">
        <v>371</v>
      </c>
      <c r="BP206" s="35"/>
    </row>
    <row r="207" spans="1:74" hidden="1" x14ac:dyDescent="0.2">
      <c r="A207" s="35" t="s">
        <v>241</v>
      </c>
      <c r="C207" s="35" t="s">
        <v>22</v>
      </c>
      <c r="D207" s="35"/>
      <c r="E207" s="35">
        <f t="shared" si="47"/>
        <v>0</v>
      </c>
      <c r="F207" s="35"/>
      <c r="G207" s="35"/>
      <c r="H207" s="35"/>
      <c r="I207" s="35"/>
      <c r="J207" s="35"/>
      <c r="K207" s="35">
        <f t="shared" si="48"/>
        <v>0</v>
      </c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>
        <f t="shared" ref="W207:W218" si="51">SUM(Q207:U207)</f>
        <v>0</v>
      </c>
      <c r="X207" s="35"/>
      <c r="Y207" s="35" t="s">
        <v>241</v>
      </c>
      <c r="Z207" s="55"/>
      <c r="AA207" s="35" t="s">
        <v>22</v>
      </c>
      <c r="AB207" s="35"/>
      <c r="AC207" s="35"/>
      <c r="AD207" s="35"/>
      <c r="AE207" s="35"/>
      <c r="AF207" s="35"/>
      <c r="AG207" s="35"/>
      <c r="AH207" s="35"/>
      <c r="AI207" s="45">
        <f t="shared" si="46"/>
        <v>0</v>
      </c>
      <c r="AJ207" s="45"/>
      <c r="AK207" s="35"/>
      <c r="AL207" s="35"/>
      <c r="AM207" s="35"/>
      <c r="AN207" s="35"/>
      <c r="AO207" s="35"/>
      <c r="AP207" s="35"/>
      <c r="AQ207" s="35"/>
      <c r="AR207" s="35"/>
      <c r="AS207" s="45">
        <f t="shared" si="45"/>
        <v>0</v>
      </c>
      <c r="AT207" s="45"/>
      <c r="AU207" s="35">
        <v>0</v>
      </c>
      <c r="AV207" s="35"/>
      <c r="AW207" s="35">
        <v>0</v>
      </c>
      <c r="AX207" s="35"/>
      <c r="AY207" s="35">
        <f t="shared" si="49"/>
        <v>0</v>
      </c>
      <c r="AZ207" s="35"/>
      <c r="BA207" s="35" t="s">
        <v>241</v>
      </c>
      <c r="BB207" s="55"/>
      <c r="BC207" s="35" t="s">
        <v>22</v>
      </c>
      <c r="BD207" s="35"/>
      <c r="BE207" s="35"/>
      <c r="BF207" s="35"/>
      <c r="BG207" s="35"/>
      <c r="BH207" s="35"/>
      <c r="BI207" s="35"/>
      <c r="BJ207" s="35"/>
      <c r="BK207" s="35"/>
      <c r="BL207" s="35"/>
      <c r="BM207" s="35">
        <f t="shared" si="50"/>
        <v>0</v>
      </c>
      <c r="BN207" s="54" t="s">
        <v>347</v>
      </c>
    </row>
    <row r="208" spans="1:74" hidden="1" x14ac:dyDescent="0.2">
      <c r="A208" s="35" t="s">
        <v>242</v>
      </c>
      <c r="C208" s="35" t="s">
        <v>27</v>
      </c>
      <c r="D208" s="35"/>
      <c r="E208" s="35">
        <f t="shared" si="47"/>
        <v>0</v>
      </c>
      <c r="F208" s="35"/>
      <c r="G208" s="35"/>
      <c r="H208" s="35"/>
      <c r="I208" s="35"/>
      <c r="J208" s="35"/>
      <c r="K208" s="35">
        <f t="shared" si="48"/>
        <v>0</v>
      </c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>
        <f t="shared" si="51"/>
        <v>0</v>
      </c>
      <c r="X208" s="35"/>
      <c r="Y208" s="35" t="s">
        <v>242</v>
      </c>
      <c r="Z208" s="55"/>
      <c r="AA208" s="35" t="s">
        <v>27</v>
      </c>
      <c r="AB208" s="35"/>
      <c r="AC208" s="35"/>
      <c r="AD208" s="35"/>
      <c r="AE208" s="35"/>
      <c r="AF208" s="35"/>
      <c r="AG208" s="35"/>
      <c r="AH208" s="35"/>
      <c r="AI208" s="45">
        <f t="shared" si="46"/>
        <v>0</v>
      </c>
      <c r="AJ208" s="45"/>
      <c r="AK208" s="35"/>
      <c r="AL208" s="35"/>
      <c r="AM208" s="35"/>
      <c r="AN208" s="35"/>
      <c r="AO208" s="35"/>
      <c r="AP208" s="35"/>
      <c r="AQ208" s="35"/>
      <c r="AR208" s="35"/>
      <c r="AS208" s="45">
        <f t="shared" si="45"/>
        <v>0</v>
      </c>
      <c r="AT208" s="45"/>
      <c r="AU208" s="35">
        <v>0</v>
      </c>
      <c r="AV208" s="35"/>
      <c r="AW208" s="35">
        <v>0</v>
      </c>
      <c r="AX208" s="35"/>
      <c r="AY208" s="35">
        <f t="shared" si="49"/>
        <v>0</v>
      </c>
      <c r="AZ208" s="35"/>
      <c r="BA208" s="35" t="s">
        <v>242</v>
      </c>
      <c r="BB208" s="55"/>
      <c r="BC208" s="35" t="s">
        <v>27</v>
      </c>
      <c r="BD208" s="35"/>
      <c r="BE208" s="35"/>
      <c r="BF208" s="35"/>
      <c r="BG208" s="35"/>
      <c r="BH208" s="35"/>
      <c r="BI208" s="35"/>
      <c r="BJ208" s="35"/>
      <c r="BK208" s="35"/>
      <c r="BL208" s="35"/>
      <c r="BM208" s="35">
        <f t="shared" si="50"/>
        <v>0</v>
      </c>
      <c r="BN208" s="54" t="s">
        <v>347</v>
      </c>
    </row>
    <row r="209" spans="1:67" hidden="1" x14ac:dyDescent="0.2">
      <c r="A209" s="35" t="s">
        <v>243</v>
      </c>
      <c r="C209" s="35" t="s">
        <v>163</v>
      </c>
      <c r="D209" s="35"/>
      <c r="E209" s="35">
        <f t="shared" si="47"/>
        <v>0</v>
      </c>
      <c r="F209" s="35"/>
      <c r="G209" s="35"/>
      <c r="H209" s="35"/>
      <c r="I209" s="35"/>
      <c r="J209" s="35"/>
      <c r="K209" s="35">
        <f t="shared" si="48"/>
        <v>0</v>
      </c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>
        <f t="shared" si="51"/>
        <v>0</v>
      </c>
      <c r="X209" s="35"/>
      <c r="Y209" s="35" t="s">
        <v>243</v>
      </c>
      <c r="Z209" s="55"/>
      <c r="AA209" s="35" t="s">
        <v>163</v>
      </c>
      <c r="AB209" s="35"/>
      <c r="AC209" s="35"/>
      <c r="AD209" s="35"/>
      <c r="AE209" s="35"/>
      <c r="AF209" s="35"/>
      <c r="AG209" s="35"/>
      <c r="AH209" s="35"/>
      <c r="AI209" s="45">
        <f t="shared" si="46"/>
        <v>0</v>
      </c>
      <c r="AJ209" s="45"/>
      <c r="AK209" s="35"/>
      <c r="AL209" s="35"/>
      <c r="AM209" s="35"/>
      <c r="AN209" s="35"/>
      <c r="AO209" s="35"/>
      <c r="AP209" s="35"/>
      <c r="AQ209" s="35"/>
      <c r="AR209" s="35"/>
      <c r="AS209" s="45">
        <f t="shared" si="45"/>
        <v>0</v>
      </c>
      <c r="AT209" s="45"/>
      <c r="AU209" s="35">
        <v>0</v>
      </c>
      <c r="AV209" s="35"/>
      <c r="AW209" s="35">
        <v>0</v>
      </c>
      <c r="AX209" s="35"/>
      <c r="AY209" s="35">
        <f t="shared" si="49"/>
        <v>0</v>
      </c>
      <c r="AZ209" s="35"/>
      <c r="BA209" s="35" t="s">
        <v>243</v>
      </c>
      <c r="BB209" s="55"/>
      <c r="BC209" s="35" t="s">
        <v>163</v>
      </c>
      <c r="BD209" s="35"/>
      <c r="BE209" s="35"/>
      <c r="BF209" s="35"/>
      <c r="BG209" s="35"/>
      <c r="BH209" s="35"/>
      <c r="BI209" s="35"/>
      <c r="BJ209" s="35"/>
      <c r="BK209" s="35"/>
      <c r="BL209" s="35"/>
      <c r="BM209" s="35">
        <f t="shared" si="50"/>
        <v>0</v>
      </c>
      <c r="BN209" s="89" t="s">
        <v>347</v>
      </c>
    </row>
    <row r="210" spans="1:67" hidden="1" x14ac:dyDescent="0.2">
      <c r="A210" s="35" t="s">
        <v>244</v>
      </c>
      <c r="C210" s="35" t="s">
        <v>13</v>
      </c>
      <c r="D210" s="35"/>
      <c r="E210" s="35">
        <f t="shared" si="47"/>
        <v>0</v>
      </c>
      <c r="F210" s="35"/>
      <c r="G210" s="35"/>
      <c r="H210" s="35"/>
      <c r="I210" s="35"/>
      <c r="J210" s="35"/>
      <c r="K210" s="35">
        <f t="shared" si="48"/>
        <v>0</v>
      </c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>
        <f t="shared" si="51"/>
        <v>0</v>
      </c>
      <c r="X210" s="35"/>
      <c r="Y210" s="35" t="s">
        <v>244</v>
      </c>
      <c r="Z210" s="55"/>
      <c r="AA210" s="35" t="s">
        <v>13</v>
      </c>
      <c r="AB210" s="35"/>
      <c r="AC210" s="35"/>
      <c r="AD210" s="35"/>
      <c r="AE210" s="35"/>
      <c r="AF210" s="35"/>
      <c r="AG210" s="35"/>
      <c r="AH210" s="35"/>
      <c r="AI210" s="45">
        <f t="shared" si="46"/>
        <v>0</v>
      </c>
      <c r="AJ210" s="45"/>
      <c r="AK210" s="35"/>
      <c r="AL210" s="35"/>
      <c r="AM210" s="35"/>
      <c r="AN210" s="35"/>
      <c r="AO210" s="35"/>
      <c r="AP210" s="35"/>
      <c r="AQ210" s="35"/>
      <c r="AR210" s="35"/>
      <c r="AS210" s="45">
        <f t="shared" si="45"/>
        <v>0</v>
      </c>
      <c r="AT210" s="45"/>
      <c r="AU210" s="35">
        <v>0</v>
      </c>
      <c r="AV210" s="35"/>
      <c r="AW210" s="35">
        <v>0</v>
      </c>
      <c r="AX210" s="35"/>
      <c r="AY210" s="35">
        <f t="shared" si="49"/>
        <v>0</v>
      </c>
      <c r="AZ210" s="35"/>
      <c r="BA210" s="35" t="s">
        <v>244</v>
      </c>
      <c r="BB210" s="55"/>
      <c r="BC210" s="35" t="s">
        <v>13</v>
      </c>
      <c r="BD210" s="35"/>
      <c r="BE210" s="35"/>
      <c r="BF210" s="35"/>
      <c r="BG210" s="35"/>
      <c r="BH210" s="35"/>
      <c r="BI210" s="35"/>
      <c r="BJ210" s="35"/>
      <c r="BK210" s="35"/>
      <c r="BL210" s="35"/>
      <c r="BM210" s="35">
        <f t="shared" si="50"/>
        <v>0</v>
      </c>
      <c r="BN210" s="54" t="s">
        <v>347</v>
      </c>
    </row>
    <row r="211" spans="1:67" hidden="1" x14ac:dyDescent="0.2">
      <c r="A211" s="35" t="s">
        <v>245</v>
      </c>
      <c r="C211" s="35" t="s">
        <v>110</v>
      </c>
      <c r="D211" s="35"/>
      <c r="E211" s="35">
        <f t="shared" si="47"/>
        <v>0</v>
      </c>
      <c r="F211" s="35"/>
      <c r="G211" s="35"/>
      <c r="H211" s="35"/>
      <c r="I211" s="35"/>
      <c r="J211" s="35"/>
      <c r="K211" s="35">
        <f t="shared" si="48"/>
        <v>0</v>
      </c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>
        <f t="shared" si="51"/>
        <v>0</v>
      </c>
      <c r="X211" s="35"/>
      <c r="Y211" s="35" t="s">
        <v>245</v>
      </c>
      <c r="Z211" s="55"/>
      <c r="AA211" s="35" t="s">
        <v>110</v>
      </c>
      <c r="AB211" s="35"/>
      <c r="AC211" s="35"/>
      <c r="AD211" s="35"/>
      <c r="AE211" s="35"/>
      <c r="AF211" s="35"/>
      <c r="AG211" s="35"/>
      <c r="AH211" s="35"/>
      <c r="AI211" s="45">
        <f t="shared" si="46"/>
        <v>0</v>
      </c>
      <c r="AJ211" s="45"/>
      <c r="AK211" s="35"/>
      <c r="AL211" s="35"/>
      <c r="AM211" s="35"/>
      <c r="AN211" s="35"/>
      <c r="AO211" s="35"/>
      <c r="AP211" s="35"/>
      <c r="AQ211" s="35"/>
      <c r="AR211" s="35"/>
      <c r="AS211" s="45">
        <f t="shared" si="45"/>
        <v>0</v>
      </c>
      <c r="AT211" s="45"/>
      <c r="AU211" s="35">
        <v>0</v>
      </c>
      <c r="AV211" s="35"/>
      <c r="AW211" s="35">
        <v>0</v>
      </c>
      <c r="AX211" s="35"/>
      <c r="AY211" s="35">
        <f t="shared" si="49"/>
        <v>0</v>
      </c>
      <c r="AZ211" s="35"/>
      <c r="BA211" s="35" t="s">
        <v>245</v>
      </c>
      <c r="BB211" s="55"/>
      <c r="BC211" s="35" t="s">
        <v>110</v>
      </c>
      <c r="BD211" s="35"/>
      <c r="BE211" s="35"/>
      <c r="BF211" s="35"/>
      <c r="BG211" s="35"/>
      <c r="BH211" s="35"/>
      <c r="BI211" s="35"/>
      <c r="BJ211" s="35"/>
      <c r="BK211" s="35"/>
      <c r="BL211" s="35"/>
      <c r="BM211" s="35">
        <f t="shared" si="50"/>
        <v>0</v>
      </c>
      <c r="BN211" s="54" t="s">
        <v>347</v>
      </c>
    </row>
    <row r="212" spans="1:67" x14ac:dyDescent="0.2">
      <c r="A212" s="35" t="s">
        <v>246</v>
      </c>
      <c r="C212" s="35" t="s">
        <v>209</v>
      </c>
      <c r="D212" s="35"/>
      <c r="E212" s="35">
        <f t="shared" si="47"/>
        <v>166889</v>
      </c>
      <c r="F212" s="35"/>
      <c r="G212" s="35">
        <v>0</v>
      </c>
      <c r="H212" s="35"/>
      <c r="I212" s="35">
        <v>166889</v>
      </c>
      <c r="J212" s="35"/>
      <c r="K212" s="35">
        <f t="shared" si="48"/>
        <v>64203</v>
      </c>
      <c r="L212" s="35"/>
      <c r="M212" s="35">
        <v>0</v>
      </c>
      <c r="N212" s="35"/>
      <c r="O212" s="35">
        <v>64203</v>
      </c>
      <c r="P212" s="35"/>
      <c r="Q212" s="35">
        <v>0</v>
      </c>
      <c r="R212" s="35"/>
      <c r="S212" s="35">
        <v>0</v>
      </c>
      <c r="T212" s="35"/>
      <c r="U212" s="35">
        <v>102686</v>
      </c>
      <c r="V212" s="35"/>
      <c r="W212" s="35">
        <f t="shared" si="51"/>
        <v>102686</v>
      </c>
      <c r="X212" s="35"/>
      <c r="Y212" s="35" t="s">
        <v>246</v>
      </c>
      <c r="Z212" s="55"/>
      <c r="AA212" s="35" t="s">
        <v>209</v>
      </c>
      <c r="AB212" s="35"/>
      <c r="AC212" s="35">
        <v>845797</v>
      </c>
      <c r="AD212" s="35"/>
      <c r="AE212" s="35">
        <v>777573</v>
      </c>
      <c r="AF212" s="35"/>
      <c r="AG212" s="35">
        <v>0</v>
      </c>
      <c r="AH212" s="35"/>
      <c r="AI212" s="45">
        <f t="shared" si="46"/>
        <v>68224</v>
      </c>
      <c r="AJ212" s="45"/>
      <c r="AK212" s="35">
        <v>0</v>
      </c>
      <c r="AL212" s="35"/>
      <c r="AM212" s="35">
        <v>0</v>
      </c>
      <c r="AN212" s="35"/>
      <c r="AO212" s="35">
        <v>0</v>
      </c>
      <c r="AP212" s="35"/>
      <c r="AQ212" s="35">
        <v>0</v>
      </c>
      <c r="AR212" s="35"/>
      <c r="AS212" s="45">
        <f t="shared" si="45"/>
        <v>68224</v>
      </c>
      <c r="AT212" s="45"/>
      <c r="AU212" s="35">
        <v>0</v>
      </c>
      <c r="AV212" s="35"/>
      <c r="AW212" s="35">
        <v>0</v>
      </c>
      <c r="AX212" s="35"/>
      <c r="AY212" s="35">
        <f t="shared" si="49"/>
        <v>102686</v>
      </c>
      <c r="AZ212" s="35"/>
      <c r="BA212" s="35" t="s">
        <v>246</v>
      </c>
      <c r="BB212" s="55"/>
      <c r="BC212" s="35" t="s">
        <v>209</v>
      </c>
      <c r="BD212" s="35"/>
      <c r="BE212" s="35">
        <v>0</v>
      </c>
      <c r="BF212" s="35"/>
      <c r="BG212" s="35">
        <v>0</v>
      </c>
      <c r="BH212" s="35"/>
      <c r="BI212" s="35">
        <v>0</v>
      </c>
      <c r="BJ212" s="35"/>
      <c r="BK212" s="35">
        <v>0</v>
      </c>
      <c r="BL212" s="35"/>
      <c r="BM212" s="35">
        <v>0</v>
      </c>
      <c r="BN212" s="54" t="s">
        <v>347</v>
      </c>
      <c r="BO212" s="55" t="s">
        <v>315</v>
      </c>
    </row>
    <row r="213" spans="1:67" ht="12" hidden="1" x14ac:dyDescent="0.2">
      <c r="A213" s="35" t="s">
        <v>247</v>
      </c>
      <c r="B213" s="55"/>
      <c r="C213" s="35" t="s">
        <v>163</v>
      </c>
      <c r="D213" s="35"/>
      <c r="E213" s="35">
        <f t="shared" si="47"/>
        <v>0</v>
      </c>
      <c r="F213" s="35"/>
      <c r="G213" s="35"/>
      <c r="H213" s="35"/>
      <c r="I213" s="35"/>
      <c r="J213" s="35"/>
      <c r="K213" s="35">
        <f t="shared" si="48"/>
        <v>0</v>
      </c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>
        <f t="shared" si="51"/>
        <v>0</v>
      </c>
      <c r="X213" s="35"/>
      <c r="Y213" s="35" t="s">
        <v>247</v>
      </c>
      <c r="Z213" s="55"/>
      <c r="AA213" s="35" t="s">
        <v>163</v>
      </c>
      <c r="AB213" s="35"/>
      <c r="AC213" s="35"/>
      <c r="AD213" s="35"/>
      <c r="AE213" s="35"/>
      <c r="AF213" s="35"/>
      <c r="AG213" s="35"/>
      <c r="AH213" s="35"/>
      <c r="AI213" s="45">
        <f t="shared" si="46"/>
        <v>0</v>
      </c>
      <c r="AJ213" s="45"/>
      <c r="AK213" s="35"/>
      <c r="AL213" s="35"/>
      <c r="AM213" s="35"/>
      <c r="AN213" s="35"/>
      <c r="AO213" s="35"/>
      <c r="AP213" s="35"/>
      <c r="AQ213" s="35"/>
      <c r="AR213" s="35"/>
      <c r="AS213" s="45">
        <f t="shared" si="45"/>
        <v>0</v>
      </c>
      <c r="AT213" s="45"/>
      <c r="AU213" s="35">
        <v>0</v>
      </c>
      <c r="AV213" s="35"/>
      <c r="AW213" s="35">
        <v>0</v>
      </c>
      <c r="AX213" s="35"/>
      <c r="AY213" s="35">
        <f t="shared" si="49"/>
        <v>0</v>
      </c>
      <c r="AZ213" s="35"/>
      <c r="BA213" s="35" t="s">
        <v>247</v>
      </c>
      <c r="BB213" s="55"/>
      <c r="BC213" s="35" t="s">
        <v>163</v>
      </c>
      <c r="BD213" s="35"/>
      <c r="BE213" s="35"/>
      <c r="BF213" s="35"/>
      <c r="BG213" s="35"/>
      <c r="BH213" s="35"/>
      <c r="BI213" s="35"/>
      <c r="BJ213" s="35"/>
      <c r="BK213" s="35"/>
      <c r="BL213" s="35"/>
      <c r="BM213" s="35">
        <f t="shared" si="50"/>
        <v>0</v>
      </c>
      <c r="BN213" s="54" t="s">
        <v>347</v>
      </c>
    </row>
    <row r="214" spans="1:67" ht="12" x14ac:dyDescent="0.2">
      <c r="A214" s="35" t="s">
        <v>248</v>
      </c>
      <c r="B214" s="55"/>
      <c r="C214" s="35" t="s">
        <v>249</v>
      </c>
      <c r="D214" s="35"/>
      <c r="E214" s="35">
        <f t="shared" si="47"/>
        <v>175024</v>
      </c>
      <c r="F214" s="35"/>
      <c r="G214" s="35">
        <v>144528</v>
      </c>
      <c r="H214" s="35"/>
      <c r="I214" s="35">
        <v>319552</v>
      </c>
      <c r="J214" s="35"/>
      <c r="K214" s="35">
        <f t="shared" si="48"/>
        <v>12321</v>
      </c>
      <c r="L214" s="35"/>
      <c r="M214" s="35">
        <v>23127</v>
      </c>
      <c r="N214" s="35"/>
      <c r="O214" s="35">
        <v>35448</v>
      </c>
      <c r="P214" s="35"/>
      <c r="Q214" s="35">
        <v>144529</v>
      </c>
      <c r="R214" s="35"/>
      <c r="S214" s="35">
        <v>0</v>
      </c>
      <c r="T214" s="35"/>
      <c r="U214" s="35">
        <v>139575</v>
      </c>
      <c r="V214" s="35"/>
      <c r="W214" s="35">
        <f t="shared" si="51"/>
        <v>284104</v>
      </c>
      <c r="X214" s="35"/>
      <c r="Y214" s="35" t="s">
        <v>248</v>
      </c>
      <c r="Z214" s="55"/>
      <c r="AA214" s="35" t="s">
        <v>249</v>
      </c>
      <c r="AB214" s="35"/>
      <c r="AC214" s="35">
        <v>366204</v>
      </c>
      <c r="AD214" s="35"/>
      <c r="AE214" s="35">
        <f>478541-25405</f>
        <v>453136</v>
      </c>
      <c r="AF214" s="35"/>
      <c r="AG214" s="35">
        <v>25405</v>
      </c>
      <c r="AH214" s="35"/>
      <c r="AI214" s="45">
        <f t="shared" si="46"/>
        <v>-112337</v>
      </c>
      <c r="AJ214" s="45"/>
      <c r="AK214" s="35">
        <v>0</v>
      </c>
      <c r="AL214" s="35"/>
      <c r="AM214" s="35">
        <v>94000</v>
      </c>
      <c r="AN214" s="35"/>
      <c r="AO214" s="35">
        <v>0</v>
      </c>
      <c r="AP214" s="35"/>
      <c r="AQ214" s="35">
        <v>0</v>
      </c>
      <c r="AR214" s="35"/>
      <c r="AS214" s="45">
        <f t="shared" si="45"/>
        <v>-18337</v>
      </c>
      <c r="AT214" s="45"/>
      <c r="AU214" s="35">
        <v>0</v>
      </c>
      <c r="AV214" s="35"/>
      <c r="AW214" s="35">
        <v>0</v>
      </c>
      <c r="AX214" s="35"/>
      <c r="AY214" s="35">
        <f t="shared" si="49"/>
        <v>162703</v>
      </c>
      <c r="AZ214" s="35"/>
      <c r="BA214" s="35" t="s">
        <v>248</v>
      </c>
      <c r="BB214" s="55"/>
      <c r="BC214" s="35" t="s">
        <v>249</v>
      </c>
      <c r="BD214" s="35"/>
      <c r="BE214" s="35">
        <v>0</v>
      </c>
      <c r="BF214" s="35"/>
      <c r="BG214" s="35">
        <v>0</v>
      </c>
      <c r="BH214" s="35"/>
      <c r="BI214" s="35">
        <v>0</v>
      </c>
      <c r="BJ214" s="35"/>
      <c r="BK214" s="35">
        <f>23127+4020</f>
        <v>27147</v>
      </c>
      <c r="BL214" s="35"/>
      <c r="BM214" s="35">
        <f t="shared" si="50"/>
        <v>27147</v>
      </c>
      <c r="BN214" s="54"/>
    </row>
    <row r="215" spans="1:67" x14ac:dyDescent="0.2">
      <c r="A215" s="35" t="s">
        <v>250</v>
      </c>
      <c r="C215" s="35" t="s">
        <v>103</v>
      </c>
      <c r="D215" s="35"/>
      <c r="E215" s="35">
        <f t="shared" si="47"/>
        <v>304950</v>
      </c>
      <c r="F215" s="35"/>
      <c r="G215" s="35">
        <v>22457</v>
      </c>
      <c r="H215" s="35"/>
      <c r="I215" s="35">
        <v>327407</v>
      </c>
      <c r="J215" s="35"/>
      <c r="K215" s="35">
        <f t="shared" si="48"/>
        <v>77689</v>
      </c>
      <c r="L215" s="35"/>
      <c r="M215" s="35">
        <v>15128</v>
      </c>
      <c r="N215" s="35"/>
      <c r="O215" s="35">
        <v>92817</v>
      </c>
      <c r="P215" s="35"/>
      <c r="Q215" s="35">
        <v>22457</v>
      </c>
      <c r="R215" s="35"/>
      <c r="S215" s="35">
        <v>0</v>
      </c>
      <c r="T215" s="35"/>
      <c r="U215" s="35">
        <v>212133</v>
      </c>
      <c r="V215" s="35"/>
      <c r="W215" s="35">
        <f t="shared" si="51"/>
        <v>234590</v>
      </c>
      <c r="X215" s="35"/>
      <c r="Y215" s="35" t="s">
        <v>250</v>
      </c>
      <c r="Z215" s="55"/>
      <c r="AA215" s="35" t="s">
        <v>103</v>
      </c>
      <c r="AB215" s="35"/>
      <c r="AC215" s="35">
        <v>1044679</v>
      </c>
      <c r="AD215" s="35"/>
      <c r="AE215" s="35">
        <f>946723-4716</f>
        <v>942007</v>
      </c>
      <c r="AF215" s="35"/>
      <c r="AG215" s="35">
        <v>4716</v>
      </c>
      <c r="AH215" s="35"/>
      <c r="AI215" s="45">
        <f t="shared" si="46"/>
        <v>97956</v>
      </c>
      <c r="AJ215" s="45"/>
      <c r="AK215" s="35">
        <v>-42</v>
      </c>
      <c r="AL215" s="35"/>
      <c r="AM215" s="35">
        <v>0</v>
      </c>
      <c r="AN215" s="35"/>
      <c r="AO215" s="35">
        <v>0</v>
      </c>
      <c r="AP215" s="35"/>
      <c r="AQ215" s="35">
        <v>0</v>
      </c>
      <c r="AR215" s="35"/>
      <c r="AS215" s="45">
        <f t="shared" si="45"/>
        <v>97914</v>
      </c>
      <c r="AT215" s="45"/>
      <c r="AU215" s="35">
        <v>0</v>
      </c>
      <c r="AV215" s="35"/>
      <c r="AW215" s="35">
        <v>0</v>
      </c>
      <c r="AX215" s="35"/>
      <c r="AY215" s="35">
        <f t="shared" si="49"/>
        <v>227261</v>
      </c>
      <c r="AZ215" s="35"/>
      <c r="BA215" s="35" t="s">
        <v>250</v>
      </c>
      <c r="BB215" s="55"/>
      <c r="BC215" s="35" t="s">
        <v>103</v>
      </c>
      <c r="BD215" s="35"/>
      <c r="BE215" s="35">
        <v>0</v>
      </c>
      <c r="BF215" s="35"/>
      <c r="BG215" s="35">
        <v>0</v>
      </c>
      <c r="BH215" s="35"/>
      <c r="BI215" s="35">
        <v>0</v>
      </c>
      <c r="BJ215" s="35"/>
      <c r="BK215" s="35">
        <f>15128+10708</f>
        <v>25836</v>
      </c>
      <c r="BL215" s="35"/>
      <c r="BM215" s="35">
        <f t="shared" si="50"/>
        <v>25836</v>
      </c>
      <c r="BN215" s="54" t="s">
        <v>347</v>
      </c>
    </row>
    <row r="216" spans="1:67" x14ac:dyDescent="0.2">
      <c r="A216" s="35" t="s">
        <v>251</v>
      </c>
      <c r="C216" s="35" t="s">
        <v>66</v>
      </c>
      <c r="D216" s="35"/>
      <c r="E216" s="35">
        <f t="shared" si="47"/>
        <v>695424</v>
      </c>
      <c r="F216" s="35"/>
      <c r="G216" s="35">
        <v>0</v>
      </c>
      <c r="H216" s="35"/>
      <c r="I216" s="35">
        <v>695424</v>
      </c>
      <c r="J216" s="35"/>
      <c r="K216" s="35">
        <f t="shared" si="48"/>
        <v>112408</v>
      </c>
      <c r="L216" s="35"/>
      <c r="M216" s="35">
        <v>229</v>
      </c>
      <c r="N216" s="35"/>
      <c r="O216" s="35">
        <v>112637</v>
      </c>
      <c r="P216" s="35"/>
      <c r="Q216" s="35">
        <v>0</v>
      </c>
      <c r="R216" s="35"/>
      <c r="S216" s="35">
        <v>0</v>
      </c>
      <c r="T216" s="35"/>
      <c r="U216" s="35">
        <v>582787</v>
      </c>
      <c r="V216" s="35"/>
      <c r="W216" s="35">
        <f t="shared" si="51"/>
        <v>582787</v>
      </c>
      <c r="X216" s="35"/>
      <c r="Y216" s="35" t="s">
        <v>251</v>
      </c>
      <c r="Z216" s="55"/>
      <c r="AA216" s="35" t="s">
        <v>66</v>
      </c>
      <c r="AB216" s="35"/>
      <c r="AC216" s="35">
        <v>1276413</v>
      </c>
      <c r="AD216" s="35"/>
      <c r="AE216" s="35">
        <v>1432650</v>
      </c>
      <c r="AF216" s="35"/>
      <c r="AG216" s="35">
        <v>0</v>
      </c>
      <c r="AH216" s="35"/>
      <c r="AI216" s="45">
        <f t="shared" si="46"/>
        <v>-156237</v>
      </c>
      <c r="AJ216" s="45"/>
      <c r="AK216" s="35">
        <v>23</v>
      </c>
      <c r="AL216" s="35"/>
      <c r="AM216" s="35">
        <v>0</v>
      </c>
      <c r="AN216" s="35"/>
      <c r="AO216" s="35">
        <v>0</v>
      </c>
      <c r="AP216" s="35"/>
      <c r="AQ216" s="35">
        <v>0</v>
      </c>
      <c r="AR216" s="35"/>
      <c r="AS216" s="45">
        <f t="shared" si="45"/>
        <v>-156214</v>
      </c>
      <c r="AT216" s="45"/>
      <c r="AU216" s="35">
        <v>0</v>
      </c>
      <c r="AV216" s="35"/>
      <c r="AW216" s="35">
        <v>0</v>
      </c>
      <c r="AX216" s="35"/>
      <c r="AY216" s="35">
        <f t="shared" si="49"/>
        <v>583016</v>
      </c>
      <c r="AZ216" s="35"/>
      <c r="BA216" s="35" t="s">
        <v>251</v>
      </c>
      <c r="BB216" s="55"/>
      <c r="BC216" s="35" t="s">
        <v>66</v>
      </c>
      <c r="BD216" s="35"/>
      <c r="BE216" s="35">
        <v>0</v>
      </c>
      <c r="BF216" s="35"/>
      <c r="BG216" s="35">
        <v>0</v>
      </c>
      <c r="BH216" s="35"/>
      <c r="BI216" s="35">
        <v>0</v>
      </c>
      <c r="BJ216" s="35"/>
      <c r="BK216" s="35">
        <f>229+668</f>
        <v>897</v>
      </c>
      <c r="BL216" s="35"/>
      <c r="BM216" s="35">
        <f t="shared" si="50"/>
        <v>897</v>
      </c>
      <c r="BN216" s="54" t="s">
        <v>347</v>
      </c>
    </row>
    <row r="217" spans="1:67" hidden="1" x14ac:dyDescent="0.2">
      <c r="A217" s="35" t="s">
        <v>252</v>
      </c>
      <c r="C217" s="35" t="s">
        <v>209</v>
      </c>
      <c r="D217" s="35"/>
      <c r="E217" s="35">
        <f t="shared" si="47"/>
        <v>0</v>
      </c>
      <c r="F217" s="35"/>
      <c r="G217" s="35"/>
      <c r="H217" s="35"/>
      <c r="I217" s="35"/>
      <c r="J217" s="35"/>
      <c r="K217" s="35">
        <f t="shared" si="48"/>
        <v>0</v>
      </c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>
        <f t="shared" si="51"/>
        <v>0</v>
      </c>
      <c r="X217" s="35"/>
      <c r="Y217" s="35" t="s">
        <v>252</v>
      </c>
      <c r="Z217" s="55"/>
      <c r="AA217" s="35" t="s">
        <v>209</v>
      </c>
      <c r="AB217" s="35"/>
      <c r="AC217" s="35"/>
      <c r="AD217" s="35"/>
      <c r="AE217" s="35"/>
      <c r="AF217" s="35"/>
      <c r="AG217" s="35"/>
      <c r="AH217" s="35"/>
      <c r="AI217" s="45">
        <f t="shared" si="46"/>
        <v>0</v>
      </c>
      <c r="AJ217" s="45"/>
      <c r="AK217" s="35"/>
      <c r="AL217" s="35"/>
      <c r="AM217" s="35"/>
      <c r="AN217" s="35"/>
      <c r="AO217" s="35"/>
      <c r="AP217" s="35"/>
      <c r="AQ217" s="35"/>
      <c r="AR217" s="35"/>
      <c r="AS217" s="45">
        <f t="shared" si="45"/>
        <v>0</v>
      </c>
      <c r="AT217" s="45"/>
      <c r="AU217" s="35">
        <v>0</v>
      </c>
      <c r="AV217" s="35"/>
      <c r="AW217" s="35">
        <v>0</v>
      </c>
      <c r="AX217" s="35"/>
      <c r="AY217" s="35">
        <f t="shared" si="49"/>
        <v>0</v>
      </c>
      <c r="AZ217" s="35"/>
      <c r="BA217" s="35" t="s">
        <v>252</v>
      </c>
      <c r="BB217" s="55"/>
      <c r="BC217" s="35" t="s">
        <v>209</v>
      </c>
      <c r="BD217" s="35"/>
      <c r="BE217" s="35"/>
      <c r="BF217" s="35"/>
      <c r="BG217" s="35"/>
      <c r="BH217" s="35"/>
      <c r="BI217" s="35"/>
      <c r="BJ217" s="35"/>
      <c r="BK217" s="35"/>
      <c r="BL217" s="35"/>
      <c r="BM217" s="35">
        <f t="shared" si="50"/>
        <v>0</v>
      </c>
      <c r="BN217" s="54" t="s">
        <v>347</v>
      </c>
    </row>
    <row r="218" spans="1:67" hidden="1" x14ac:dyDescent="0.2">
      <c r="A218" s="35" t="s">
        <v>253</v>
      </c>
      <c r="C218" s="35" t="s">
        <v>13</v>
      </c>
      <c r="D218" s="35"/>
      <c r="E218" s="35">
        <f t="shared" si="47"/>
        <v>0</v>
      </c>
      <c r="F218" s="35"/>
      <c r="G218" s="35"/>
      <c r="H218" s="35"/>
      <c r="I218" s="35"/>
      <c r="J218" s="35"/>
      <c r="K218" s="35">
        <f t="shared" si="48"/>
        <v>0</v>
      </c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>
        <f t="shared" si="51"/>
        <v>0</v>
      </c>
      <c r="X218" s="35"/>
      <c r="Y218" s="35" t="s">
        <v>253</v>
      </c>
      <c r="Z218" s="55"/>
      <c r="AA218" s="35" t="s">
        <v>13</v>
      </c>
      <c r="AB218" s="35"/>
      <c r="AC218" s="35"/>
      <c r="AD218" s="35"/>
      <c r="AE218" s="35"/>
      <c r="AF218" s="35"/>
      <c r="AG218" s="35"/>
      <c r="AH218" s="35"/>
      <c r="AI218" s="45">
        <f t="shared" si="46"/>
        <v>0</v>
      </c>
      <c r="AJ218" s="45"/>
      <c r="AK218" s="35"/>
      <c r="AL218" s="35"/>
      <c r="AM218" s="35"/>
      <c r="AN218" s="35"/>
      <c r="AO218" s="35"/>
      <c r="AP218" s="35"/>
      <c r="AQ218" s="35"/>
      <c r="AR218" s="35"/>
      <c r="AS218" s="45">
        <f t="shared" si="45"/>
        <v>0</v>
      </c>
      <c r="AT218" s="45"/>
      <c r="AU218" s="35">
        <v>0</v>
      </c>
      <c r="AV218" s="35"/>
      <c r="AW218" s="35">
        <v>0</v>
      </c>
      <c r="AX218" s="35"/>
      <c r="AY218" s="35">
        <f t="shared" si="49"/>
        <v>0</v>
      </c>
      <c r="AZ218" s="35"/>
      <c r="BA218" s="35" t="s">
        <v>253</v>
      </c>
      <c r="BB218" s="55"/>
      <c r="BC218" s="35" t="s">
        <v>13</v>
      </c>
      <c r="BD218" s="35"/>
      <c r="BE218" s="35"/>
      <c r="BF218" s="35"/>
      <c r="BG218" s="35"/>
      <c r="BH218" s="35"/>
      <c r="BI218" s="35"/>
      <c r="BJ218" s="35"/>
      <c r="BK218" s="35"/>
      <c r="BL218" s="35"/>
      <c r="BM218" s="35">
        <f t="shared" si="50"/>
        <v>0</v>
      </c>
      <c r="BN218" s="54" t="s">
        <v>347</v>
      </c>
    </row>
    <row r="219" spans="1:67" hidden="1" x14ac:dyDescent="0.2">
      <c r="A219" s="35" t="s">
        <v>254</v>
      </c>
      <c r="C219" s="35" t="s">
        <v>89</v>
      </c>
      <c r="D219" s="35"/>
      <c r="E219" s="35">
        <f t="shared" si="47"/>
        <v>0</v>
      </c>
      <c r="F219" s="35"/>
      <c r="G219" s="35"/>
      <c r="H219" s="35"/>
      <c r="I219" s="35"/>
      <c r="J219" s="35"/>
      <c r="K219" s="35">
        <f t="shared" si="48"/>
        <v>0</v>
      </c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>
        <v>0</v>
      </c>
      <c r="X219" s="35"/>
      <c r="Y219" s="35" t="s">
        <v>254</v>
      </c>
      <c r="Z219" s="55"/>
      <c r="AA219" s="35" t="s">
        <v>89</v>
      </c>
      <c r="AB219" s="35"/>
      <c r="AC219" s="35"/>
      <c r="AD219" s="35"/>
      <c r="AE219" s="35"/>
      <c r="AF219" s="35"/>
      <c r="AG219" s="35"/>
      <c r="AH219" s="35"/>
      <c r="AI219" s="45">
        <f t="shared" si="46"/>
        <v>0</v>
      </c>
      <c r="AJ219" s="45"/>
      <c r="AK219" s="35"/>
      <c r="AL219" s="35"/>
      <c r="AM219" s="35"/>
      <c r="AN219" s="35"/>
      <c r="AO219" s="35"/>
      <c r="AP219" s="35"/>
      <c r="AQ219" s="35"/>
      <c r="AR219" s="35"/>
      <c r="AS219" s="45">
        <f t="shared" si="45"/>
        <v>0</v>
      </c>
      <c r="AT219" s="45"/>
      <c r="AU219" s="35">
        <v>0</v>
      </c>
      <c r="AV219" s="35"/>
      <c r="AW219" s="35">
        <v>0</v>
      </c>
      <c r="AX219" s="35"/>
      <c r="AY219" s="35">
        <f t="shared" si="49"/>
        <v>0</v>
      </c>
      <c r="AZ219" s="35"/>
      <c r="BA219" s="35" t="s">
        <v>254</v>
      </c>
      <c r="BB219" s="55"/>
      <c r="BC219" s="35" t="s">
        <v>89</v>
      </c>
      <c r="BD219" s="35"/>
      <c r="BE219" s="35"/>
      <c r="BF219" s="35"/>
      <c r="BG219" s="35"/>
      <c r="BH219" s="35"/>
      <c r="BI219" s="35"/>
      <c r="BJ219" s="35"/>
      <c r="BK219" s="35"/>
      <c r="BL219" s="35"/>
      <c r="BM219" s="35">
        <f t="shared" si="50"/>
        <v>0</v>
      </c>
      <c r="BN219" s="54" t="s">
        <v>347</v>
      </c>
    </row>
    <row r="220" spans="1:67" hidden="1" x14ac:dyDescent="0.2">
      <c r="A220" s="35" t="s">
        <v>159</v>
      </c>
      <c r="C220" s="35" t="s">
        <v>66</v>
      </c>
      <c r="D220" s="35"/>
      <c r="E220" s="35">
        <f t="shared" si="47"/>
        <v>0</v>
      </c>
      <c r="F220" s="35"/>
      <c r="G220" s="35"/>
      <c r="H220" s="35"/>
      <c r="I220" s="35"/>
      <c r="J220" s="35"/>
      <c r="K220" s="35">
        <f t="shared" si="48"/>
        <v>0</v>
      </c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>
        <f t="shared" ref="W220:W232" si="52">SUM(Q220:U220)</f>
        <v>0</v>
      </c>
      <c r="X220" s="35"/>
      <c r="Y220" s="35" t="s">
        <v>159</v>
      </c>
      <c r="Z220" s="55"/>
      <c r="AA220" s="35" t="s">
        <v>66</v>
      </c>
      <c r="AB220" s="35"/>
      <c r="AC220" s="35"/>
      <c r="AD220" s="35"/>
      <c r="AE220" s="35"/>
      <c r="AF220" s="35"/>
      <c r="AG220" s="35"/>
      <c r="AH220" s="35"/>
      <c r="AI220" s="45">
        <f t="shared" si="46"/>
        <v>0</v>
      </c>
      <c r="AJ220" s="45"/>
      <c r="AK220" s="35"/>
      <c r="AL220" s="35"/>
      <c r="AM220" s="35"/>
      <c r="AN220" s="35"/>
      <c r="AO220" s="35"/>
      <c r="AP220" s="35"/>
      <c r="AQ220" s="35"/>
      <c r="AR220" s="35"/>
      <c r="AS220" s="45">
        <f t="shared" si="45"/>
        <v>0</v>
      </c>
      <c r="AT220" s="45"/>
      <c r="AU220" s="35">
        <v>0</v>
      </c>
      <c r="AV220" s="35"/>
      <c r="AW220" s="35">
        <v>0</v>
      </c>
      <c r="AX220" s="35"/>
      <c r="AY220" s="35">
        <f t="shared" si="49"/>
        <v>0</v>
      </c>
      <c r="AZ220" s="35"/>
      <c r="BA220" s="35" t="s">
        <v>159</v>
      </c>
      <c r="BB220" s="55"/>
      <c r="BC220" s="35" t="s">
        <v>66</v>
      </c>
      <c r="BD220" s="35"/>
      <c r="BE220" s="35"/>
      <c r="BF220" s="35"/>
      <c r="BG220" s="35"/>
      <c r="BH220" s="35"/>
      <c r="BI220" s="35"/>
      <c r="BJ220" s="35"/>
      <c r="BK220" s="35"/>
      <c r="BL220" s="35"/>
      <c r="BM220" s="35">
        <f t="shared" si="50"/>
        <v>0</v>
      </c>
      <c r="BN220" s="54" t="s">
        <v>347</v>
      </c>
    </row>
    <row r="221" spans="1:67" hidden="1" x14ac:dyDescent="0.2">
      <c r="A221" s="35" t="s">
        <v>255</v>
      </c>
      <c r="C221" s="35" t="s">
        <v>27</v>
      </c>
      <c r="D221" s="35"/>
      <c r="E221" s="35">
        <f t="shared" si="47"/>
        <v>0</v>
      </c>
      <c r="F221" s="35"/>
      <c r="G221" s="35"/>
      <c r="H221" s="35"/>
      <c r="I221" s="35"/>
      <c r="J221" s="35"/>
      <c r="K221" s="35">
        <f t="shared" si="48"/>
        <v>0</v>
      </c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>
        <f t="shared" si="52"/>
        <v>0</v>
      </c>
      <c r="X221" s="35"/>
      <c r="Y221" s="35" t="s">
        <v>255</v>
      </c>
      <c r="Z221" s="55"/>
      <c r="AA221" s="35" t="s">
        <v>27</v>
      </c>
      <c r="AB221" s="35"/>
      <c r="AC221" s="35"/>
      <c r="AD221" s="35"/>
      <c r="AE221" s="35"/>
      <c r="AF221" s="35"/>
      <c r="AG221" s="35"/>
      <c r="AH221" s="35"/>
      <c r="AI221" s="45">
        <f t="shared" si="46"/>
        <v>0</v>
      </c>
      <c r="AJ221" s="45"/>
      <c r="AK221" s="35"/>
      <c r="AL221" s="35"/>
      <c r="AM221" s="35"/>
      <c r="AN221" s="35"/>
      <c r="AO221" s="35"/>
      <c r="AP221" s="35"/>
      <c r="AQ221" s="35"/>
      <c r="AR221" s="35"/>
      <c r="AS221" s="45">
        <f t="shared" si="45"/>
        <v>0</v>
      </c>
      <c r="AT221" s="45"/>
      <c r="AU221" s="35">
        <v>0</v>
      </c>
      <c r="AV221" s="35"/>
      <c r="AW221" s="35">
        <v>0</v>
      </c>
      <c r="AX221" s="35"/>
      <c r="AY221" s="35">
        <f t="shared" si="49"/>
        <v>0</v>
      </c>
      <c r="AZ221" s="35"/>
      <c r="BA221" s="35" t="s">
        <v>255</v>
      </c>
      <c r="BB221" s="55"/>
      <c r="BC221" s="35" t="s">
        <v>27</v>
      </c>
      <c r="BD221" s="35"/>
      <c r="BE221" s="35"/>
      <c r="BF221" s="35"/>
      <c r="BG221" s="35"/>
      <c r="BH221" s="35"/>
      <c r="BI221" s="35"/>
      <c r="BJ221" s="35"/>
      <c r="BK221" s="35"/>
      <c r="BL221" s="35"/>
      <c r="BM221" s="35">
        <f t="shared" si="50"/>
        <v>0</v>
      </c>
      <c r="BN221" s="54" t="s">
        <v>347</v>
      </c>
    </row>
    <row r="222" spans="1:67" x14ac:dyDescent="0.2">
      <c r="A222" s="35" t="s">
        <v>256</v>
      </c>
      <c r="C222" s="35" t="s">
        <v>43</v>
      </c>
      <c r="D222" s="35"/>
      <c r="E222" s="35">
        <f t="shared" si="47"/>
        <v>174319</v>
      </c>
      <c r="F222" s="35"/>
      <c r="G222" s="35">
        <v>0</v>
      </c>
      <c r="H222" s="35"/>
      <c r="I222" s="35">
        <v>174319</v>
      </c>
      <c r="J222" s="35"/>
      <c r="K222" s="35">
        <f t="shared" si="48"/>
        <v>170119</v>
      </c>
      <c r="L222" s="35"/>
      <c r="M222" s="35">
        <v>0</v>
      </c>
      <c r="N222" s="35"/>
      <c r="O222" s="35">
        <v>170119</v>
      </c>
      <c r="P222" s="35"/>
      <c r="Q222" s="35">
        <v>0</v>
      </c>
      <c r="R222" s="35"/>
      <c r="S222" s="35">
        <v>0</v>
      </c>
      <c r="T222" s="35"/>
      <c r="U222" s="35">
        <v>4200</v>
      </c>
      <c r="V222" s="35"/>
      <c r="W222" s="35">
        <f t="shared" si="52"/>
        <v>4200</v>
      </c>
      <c r="X222" s="35"/>
      <c r="Y222" s="35" t="s">
        <v>256</v>
      </c>
      <c r="Z222" s="55"/>
      <c r="AA222" s="35" t="s">
        <v>43</v>
      </c>
      <c r="AB222" s="35"/>
      <c r="AC222" s="35">
        <v>1953860</v>
      </c>
      <c r="AD222" s="35"/>
      <c r="AE222" s="35">
        <v>2041069</v>
      </c>
      <c r="AF222" s="35"/>
      <c r="AG222" s="35">
        <v>0</v>
      </c>
      <c r="AH222" s="35"/>
      <c r="AI222" s="45">
        <f t="shared" si="46"/>
        <v>-87209</v>
      </c>
      <c r="AJ222" s="45"/>
      <c r="AK222" s="35">
        <v>4948</v>
      </c>
      <c r="AL222" s="35"/>
      <c r="AM222" s="35">
        <v>0</v>
      </c>
      <c r="AN222" s="35"/>
      <c r="AO222" s="35">
        <v>0</v>
      </c>
      <c r="AP222" s="35"/>
      <c r="AQ222" s="35">
        <v>0</v>
      </c>
      <c r="AR222" s="35"/>
      <c r="AS222" s="45">
        <f t="shared" si="45"/>
        <v>-82261</v>
      </c>
      <c r="AT222" s="45"/>
      <c r="AU222" s="35">
        <v>0</v>
      </c>
      <c r="AV222" s="35"/>
      <c r="AW222" s="35">
        <v>0</v>
      </c>
      <c r="AX222" s="35"/>
      <c r="AY222" s="35">
        <f t="shared" si="49"/>
        <v>4200</v>
      </c>
      <c r="AZ222" s="35"/>
      <c r="BA222" s="35" t="s">
        <v>256</v>
      </c>
      <c r="BB222" s="55"/>
      <c r="BC222" s="35" t="s">
        <v>43</v>
      </c>
      <c r="BD222" s="35"/>
      <c r="BE222" s="35">
        <v>0</v>
      </c>
      <c r="BF222" s="35"/>
      <c r="BG222" s="35">
        <v>0</v>
      </c>
      <c r="BH222" s="35"/>
      <c r="BI222" s="35">
        <v>0</v>
      </c>
      <c r="BJ222" s="35"/>
      <c r="BK222" s="35">
        <v>0</v>
      </c>
      <c r="BL222" s="35"/>
      <c r="BM222" s="35">
        <f t="shared" si="50"/>
        <v>0</v>
      </c>
      <c r="BN222" s="54" t="s">
        <v>347</v>
      </c>
    </row>
    <row r="223" spans="1:67" x14ac:dyDescent="0.2">
      <c r="A223" s="35" t="s">
        <v>257</v>
      </c>
      <c r="C223" s="35" t="s">
        <v>258</v>
      </c>
      <c r="D223" s="35"/>
      <c r="E223" s="35">
        <f t="shared" si="47"/>
        <v>419718</v>
      </c>
      <c r="F223" s="35"/>
      <c r="G223" s="35">
        <v>156948</v>
      </c>
      <c r="H223" s="35"/>
      <c r="I223" s="35">
        <v>576666</v>
      </c>
      <c r="J223" s="35"/>
      <c r="K223" s="35">
        <f t="shared" si="48"/>
        <v>53742</v>
      </c>
      <c r="L223" s="35"/>
      <c r="M223" s="35">
        <v>41444</v>
      </c>
      <c r="N223" s="35"/>
      <c r="O223" s="35">
        <v>95186</v>
      </c>
      <c r="P223" s="35"/>
      <c r="Q223" s="35">
        <v>107454</v>
      </c>
      <c r="R223" s="35"/>
      <c r="S223" s="35">
        <v>0</v>
      </c>
      <c r="T223" s="35"/>
      <c r="U223" s="35">
        <v>374026</v>
      </c>
      <c r="V223" s="35"/>
      <c r="W223" s="35">
        <f t="shared" si="52"/>
        <v>481480</v>
      </c>
      <c r="X223" s="35"/>
      <c r="Y223" s="35" t="s">
        <v>257</v>
      </c>
      <c r="Z223" s="55"/>
      <c r="AA223" s="35" t="s">
        <v>258</v>
      </c>
      <c r="AB223" s="35"/>
      <c r="AC223" s="35">
        <v>804232</v>
      </c>
      <c r="AD223" s="35"/>
      <c r="AE223" s="35">
        <f>755953-70999</f>
        <v>684954</v>
      </c>
      <c r="AF223" s="35"/>
      <c r="AG223" s="35">
        <v>70999</v>
      </c>
      <c r="AH223" s="35"/>
      <c r="AI223" s="45">
        <f t="shared" si="46"/>
        <v>48279</v>
      </c>
      <c r="AJ223" s="45"/>
      <c r="AK223" s="35">
        <v>37890</v>
      </c>
      <c r="AL223" s="35"/>
      <c r="AM223" s="35">
        <v>0</v>
      </c>
      <c r="AN223" s="35"/>
      <c r="AO223" s="35">
        <v>0</v>
      </c>
      <c r="AP223" s="35"/>
      <c r="AQ223" s="35">
        <v>0</v>
      </c>
      <c r="AR223" s="35"/>
      <c r="AS223" s="45">
        <f t="shared" si="45"/>
        <v>86169</v>
      </c>
      <c r="AT223" s="45"/>
      <c r="AU223" s="35">
        <v>0</v>
      </c>
      <c r="AV223" s="35"/>
      <c r="AW223" s="35">
        <v>0</v>
      </c>
      <c r="AX223" s="35"/>
      <c r="AY223" s="35">
        <f t="shared" si="49"/>
        <v>365976</v>
      </c>
      <c r="AZ223" s="35"/>
      <c r="BA223" s="35" t="s">
        <v>257</v>
      </c>
      <c r="BB223" s="55"/>
      <c r="BC223" s="35" t="s">
        <v>258</v>
      </c>
      <c r="BD223" s="35"/>
      <c r="BE223" s="35">
        <v>0</v>
      </c>
      <c r="BF223" s="35"/>
      <c r="BG223" s="35">
        <v>0</v>
      </c>
      <c r="BH223" s="35"/>
      <c r="BI223" s="35">
        <v>0</v>
      </c>
      <c r="BJ223" s="35"/>
      <c r="BK223" s="35">
        <f>7843+33601+10392+15893</f>
        <v>67729</v>
      </c>
      <c r="BL223" s="35"/>
      <c r="BM223" s="35">
        <f t="shared" si="50"/>
        <v>67729</v>
      </c>
      <c r="BN223" s="54" t="s">
        <v>347</v>
      </c>
    </row>
    <row r="224" spans="1:67" hidden="1" x14ac:dyDescent="0.2">
      <c r="A224" s="35" t="s">
        <v>259</v>
      </c>
      <c r="C224" s="35" t="s">
        <v>369</v>
      </c>
      <c r="D224" s="35"/>
      <c r="E224" s="35">
        <f t="shared" si="47"/>
        <v>0</v>
      </c>
      <c r="F224" s="35"/>
      <c r="G224" s="35"/>
      <c r="H224" s="35"/>
      <c r="I224" s="35"/>
      <c r="J224" s="35"/>
      <c r="K224" s="35">
        <f t="shared" si="48"/>
        <v>0</v>
      </c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>
        <f t="shared" si="52"/>
        <v>0</v>
      </c>
      <c r="X224" s="35"/>
      <c r="Y224" s="35" t="s">
        <v>259</v>
      </c>
      <c r="Z224" s="55"/>
      <c r="AA224" s="35" t="s">
        <v>369</v>
      </c>
      <c r="AB224" s="35"/>
      <c r="AC224" s="35"/>
      <c r="AD224" s="35"/>
      <c r="AE224" s="35"/>
      <c r="AF224" s="35"/>
      <c r="AG224" s="35"/>
      <c r="AH224" s="35"/>
      <c r="AI224" s="45">
        <f t="shared" si="46"/>
        <v>0</v>
      </c>
      <c r="AJ224" s="45"/>
      <c r="AK224" s="35"/>
      <c r="AL224" s="35"/>
      <c r="AM224" s="35"/>
      <c r="AN224" s="35"/>
      <c r="AO224" s="35"/>
      <c r="AP224" s="35"/>
      <c r="AQ224" s="35"/>
      <c r="AR224" s="35"/>
      <c r="AS224" s="45">
        <f t="shared" si="45"/>
        <v>0</v>
      </c>
      <c r="AT224" s="45"/>
      <c r="AU224" s="35">
        <v>0</v>
      </c>
      <c r="AV224" s="35"/>
      <c r="AW224" s="35">
        <v>0</v>
      </c>
      <c r="AX224" s="35"/>
      <c r="AY224" s="35">
        <f t="shared" si="49"/>
        <v>0</v>
      </c>
      <c r="AZ224" s="35"/>
      <c r="BA224" s="35" t="s">
        <v>259</v>
      </c>
      <c r="BB224" s="55"/>
      <c r="BC224" s="35" t="s">
        <v>369</v>
      </c>
      <c r="BD224" s="35"/>
      <c r="BE224" s="35"/>
      <c r="BF224" s="35"/>
      <c r="BG224" s="35"/>
      <c r="BH224" s="35"/>
      <c r="BI224" s="35"/>
      <c r="BJ224" s="35"/>
      <c r="BK224" s="35"/>
      <c r="BL224" s="35"/>
      <c r="BM224" s="35">
        <f t="shared" si="50"/>
        <v>0</v>
      </c>
      <c r="BN224" s="54" t="s">
        <v>347</v>
      </c>
    </row>
    <row r="225" spans="1:66" hidden="1" x14ac:dyDescent="0.2">
      <c r="A225" s="35" t="s">
        <v>261</v>
      </c>
      <c r="C225" s="35" t="s">
        <v>66</v>
      </c>
      <c r="D225" s="35"/>
      <c r="E225" s="35">
        <f t="shared" si="47"/>
        <v>0</v>
      </c>
      <c r="F225" s="35"/>
      <c r="G225" s="35"/>
      <c r="H225" s="35"/>
      <c r="I225" s="35"/>
      <c r="J225" s="35"/>
      <c r="K225" s="35">
        <f t="shared" si="48"/>
        <v>0</v>
      </c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>
        <f t="shared" si="52"/>
        <v>0</v>
      </c>
      <c r="X225" s="35"/>
      <c r="Y225" s="35" t="s">
        <v>261</v>
      </c>
      <c r="Z225" s="55"/>
      <c r="AA225" s="35" t="s">
        <v>66</v>
      </c>
      <c r="AB225" s="35"/>
      <c r="AC225" s="35"/>
      <c r="AD225" s="35"/>
      <c r="AE225" s="35"/>
      <c r="AF225" s="35"/>
      <c r="AG225" s="35"/>
      <c r="AH225" s="35"/>
      <c r="AI225" s="45">
        <f t="shared" si="46"/>
        <v>0</v>
      </c>
      <c r="AJ225" s="45"/>
      <c r="AK225" s="35"/>
      <c r="AL225" s="35"/>
      <c r="AM225" s="35"/>
      <c r="AN225" s="35"/>
      <c r="AO225" s="35"/>
      <c r="AP225" s="35"/>
      <c r="AQ225" s="35"/>
      <c r="AR225" s="35"/>
      <c r="AS225" s="45">
        <f t="shared" si="45"/>
        <v>0</v>
      </c>
      <c r="AT225" s="45"/>
      <c r="AU225" s="35">
        <v>0</v>
      </c>
      <c r="AV225" s="35"/>
      <c r="AW225" s="35">
        <v>0</v>
      </c>
      <c r="AX225" s="35"/>
      <c r="AY225" s="35">
        <f t="shared" si="49"/>
        <v>0</v>
      </c>
      <c r="AZ225" s="35"/>
      <c r="BA225" s="35" t="s">
        <v>261</v>
      </c>
      <c r="BB225" s="55"/>
      <c r="BC225" s="35" t="s">
        <v>66</v>
      </c>
      <c r="BD225" s="35"/>
      <c r="BE225" s="35"/>
      <c r="BF225" s="35"/>
      <c r="BG225" s="35"/>
      <c r="BH225" s="35"/>
      <c r="BI225" s="35"/>
      <c r="BJ225" s="35"/>
      <c r="BK225" s="35"/>
      <c r="BL225" s="35"/>
      <c r="BM225" s="35">
        <f t="shared" si="50"/>
        <v>0</v>
      </c>
      <c r="BN225" s="54" t="s">
        <v>347</v>
      </c>
    </row>
    <row r="226" spans="1:66" hidden="1" x14ac:dyDescent="0.2">
      <c r="A226" s="35" t="s">
        <v>262</v>
      </c>
      <c r="C226" s="35" t="s">
        <v>132</v>
      </c>
      <c r="D226" s="35"/>
      <c r="E226" s="35">
        <f t="shared" si="47"/>
        <v>0</v>
      </c>
      <c r="F226" s="35"/>
      <c r="G226" s="35"/>
      <c r="H226" s="35"/>
      <c r="I226" s="35"/>
      <c r="J226" s="35"/>
      <c r="K226" s="35">
        <f t="shared" si="48"/>
        <v>0</v>
      </c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>
        <f t="shared" si="52"/>
        <v>0</v>
      </c>
      <c r="X226" s="35"/>
      <c r="Y226" s="35" t="s">
        <v>262</v>
      </c>
      <c r="Z226" s="55"/>
      <c r="AA226" s="35" t="s">
        <v>132</v>
      </c>
      <c r="AB226" s="35"/>
      <c r="AC226" s="35"/>
      <c r="AD226" s="35"/>
      <c r="AE226" s="35"/>
      <c r="AF226" s="35"/>
      <c r="AG226" s="35"/>
      <c r="AH226" s="35"/>
      <c r="AI226" s="45">
        <f t="shared" si="46"/>
        <v>0</v>
      </c>
      <c r="AJ226" s="45"/>
      <c r="AK226" s="35"/>
      <c r="AL226" s="35"/>
      <c r="AM226" s="35"/>
      <c r="AN226" s="35"/>
      <c r="AO226" s="35"/>
      <c r="AP226" s="35"/>
      <c r="AQ226" s="35"/>
      <c r="AR226" s="35"/>
      <c r="AS226" s="45">
        <f t="shared" si="45"/>
        <v>0</v>
      </c>
      <c r="AT226" s="45"/>
      <c r="AU226" s="35">
        <v>0</v>
      </c>
      <c r="AV226" s="35"/>
      <c r="AW226" s="35">
        <v>0</v>
      </c>
      <c r="AX226" s="35"/>
      <c r="AY226" s="35">
        <f t="shared" si="49"/>
        <v>0</v>
      </c>
      <c r="AZ226" s="35"/>
      <c r="BA226" s="35" t="s">
        <v>262</v>
      </c>
      <c r="BB226" s="55"/>
      <c r="BC226" s="35" t="s">
        <v>132</v>
      </c>
      <c r="BD226" s="35"/>
      <c r="BE226" s="35"/>
      <c r="BF226" s="35"/>
      <c r="BG226" s="35"/>
      <c r="BH226" s="35"/>
      <c r="BI226" s="35"/>
      <c r="BJ226" s="35"/>
      <c r="BK226" s="35"/>
      <c r="BL226" s="35"/>
      <c r="BM226" s="35">
        <f t="shared" si="50"/>
        <v>0</v>
      </c>
      <c r="BN226" s="54" t="s">
        <v>347</v>
      </c>
    </row>
    <row r="227" spans="1:66" ht="12" hidden="1" x14ac:dyDescent="0.2">
      <c r="A227" s="44" t="s">
        <v>512</v>
      </c>
      <c r="B227" s="47"/>
      <c r="C227" s="44" t="s">
        <v>45</v>
      </c>
      <c r="D227" s="35"/>
      <c r="E227" s="35">
        <f t="shared" si="47"/>
        <v>0</v>
      </c>
      <c r="F227" s="35"/>
      <c r="G227" s="35"/>
      <c r="H227" s="35"/>
      <c r="I227" s="35"/>
      <c r="J227" s="35"/>
      <c r="K227" s="35">
        <f t="shared" si="48"/>
        <v>0</v>
      </c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>
        <f t="shared" si="52"/>
        <v>0</v>
      </c>
      <c r="X227" s="35"/>
      <c r="Y227" s="44" t="s">
        <v>512</v>
      </c>
      <c r="AA227" s="44" t="s">
        <v>45</v>
      </c>
      <c r="AB227" s="35"/>
      <c r="AC227" s="35"/>
      <c r="AD227" s="35"/>
      <c r="AE227" s="35"/>
      <c r="AF227" s="35"/>
      <c r="AG227" s="35"/>
      <c r="AH227" s="35"/>
      <c r="AI227" s="45">
        <f t="shared" si="46"/>
        <v>0</v>
      </c>
      <c r="AJ227" s="45"/>
      <c r="AK227" s="35"/>
      <c r="AL227" s="35"/>
      <c r="AM227" s="35"/>
      <c r="AN227" s="35"/>
      <c r="AO227" s="35"/>
      <c r="AP227" s="35"/>
      <c r="AQ227" s="35"/>
      <c r="AR227" s="35"/>
      <c r="AS227" s="45">
        <f t="shared" si="45"/>
        <v>0</v>
      </c>
      <c r="AT227" s="45"/>
      <c r="AU227" s="35">
        <v>0</v>
      </c>
      <c r="AV227" s="35"/>
      <c r="AW227" s="35">
        <v>0</v>
      </c>
      <c r="AX227" s="35"/>
      <c r="AY227" s="35">
        <f t="shared" si="49"/>
        <v>0</v>
      </c>
      <c r="AZ227" s="35"/>
      <c r="BA227" s="44" t="s">
        <v>512</v>
      </c>
      <c r="BC227" s="44" t="s">
        <v>45</v>
      </c>
      <c r="BD227" s="35"/>
      <c r="BE227" s="35"/>
      <c r="BF227" s="35"/>
      <c r="BG227" s="35"/>
      <c r="BH227" s="35"/>
      <c r="BI227" s="35"/>
      <c r="BJ227" s="35"/>
      <c r="BK227" s="35"/>
      <c r="BL227" s="35"/>
      <c r="BM227" s="35">
        <f t="shared" si="50"/>
        <v>0</v>
      </c>
      <c r="BN227" s="54" t="s">
        <v>347</v>
      </c>
    </row>
    <row r="228" spans="1:66" x14ac:dyDescent="0.2">
      <c r="A228" s="55" t="s">
        <v>263</v>
      </c>
      <c r="C228" s="55" t="s">
        <v>53</v>
      </c>
      <c r="E228" s="35">
        <f t="shared" si="47"/>
        <v>934416</v>
      </c>
      <c r="F228" s="35"/>
      <c r="G228" s="35">
        <v>524537</v>
      </c>
      <c r="H228" s="35"/>
      <c r="I228" s="35">
        <v>1458953</v>
      </c>
      <c r="J228" s="35"/>
      <c r="K228" s="35">
        <f t="shared" si="48"/>
        <v>313505</v>
      </c>
      <c r="L228" s="35"/>
      <c r="M228" s="35">
        <v>78606</v>
      </c>
      <c r="N228" s="35"/>
      <c r="O228" s="35">
        <v>392111</v>
      </c>
      <c r="P228" s="35"/>
      <c r="Q228" s="35">
        <v>524537</v>
      </c>
      <c r="R228" s="35"/>
      <c r="S228" s="35">
        <v>0</v>
      </c>
      <c r="T228" s="35"/>
      <c r="U228" s="35">
        <v>542305</v>
      </c>
      <c r="V228" s="35"/>
      <c r="W228" s="35">
        <f t="shared" si="52"/>
        <v>1066842</v>
      </c>
      <c r="Y228" s="55" t="s">
        <v>263</v>
      </c>
      <c r="Z228" s="55"/>
      <c r="AA228" s="55" t="s">
        <v>53</v>
      </c>
      <c r="AC228" s="35">
        <v>2075150</v>
      </c>
      <c r="AD228" s="35"/>
      <c r="AE228" s="35">
        <f>2087245-111105</f>
        <v>1976140</v>
      </c>
      <c r="AF228" s="35"/>
      <c r="AG228" s="35">
        <v>111105</v>
      </c>
      <c r="AH228" s="35"/>
      <c r="AI228" s="45">
        <f t="shared" si="46"/>
        <v>-12095</v>
      </c>
      <c r="AJ228" s="45"/>
      <c r="AK228" s="35">
        <v>3408</v>
      </c>
      <c r="AL228" s="35"/>
      <c r="AM228" s="35">
        <v>0</v>
      </c>
      <c r="AN228" s="35"/>
      <c r="AO228" s="35">
        <v>0</v>
      </c>
      <c r="AP228" s="35"/>
      <c r="AQ228" s="35">
        <v>0</v>
      </c>
      <c r="AR228" s="35"/>
      <c r="AS228" s="45">
        <f t="shared" si="45"/>
        <v>-8687</v>
      </c>
      <c r="AT228" s="45"/>
      <c r="AU228" s="35">
        <v>0</v>
      </c>
      <c r="AV228" s="35"/>
      <c r="AW228" s="35">
        <v>0</v>
      </c>
      <c r="AX228" s="35"/>
      <c r="AY228" s="35">
        <f t="shared" si="49"/>
        <v>620911</v>
      </c>
      <c r="AZ228" s="53"/>
      <c r="BA228" s="55" t="s">
        <v>263</v>
      </c>
      <c r="BB228" s="55"/>
      <c r="BC228" s="55" t="s">
        <v>53</v>
      </c>
      <c r="BE228" s="35">
        <v>0</v>
      </c>
      <c r="BF228" s="35"/>
      <c r="BG228" s="35">
        <v>0</v>
      </c>
      <c r="BH228" s="35"/>
      <c r="BI228" s="35">
        <v>0</v>
      </c>
      <c r="BJ228" s="35"/>
      <c r="BK228" s="35">
        <f>78606+15546</f>
        <v>94152</v>
      </c>
      <c r="BL228" s="35"/>
      <c r="BM228" s="35">
        <f t="shared" si="50"/>
        <v>94152</v>
      </c>
      <c r="BN228" s="35"/>
    </row>
    <row r="229" spans="1:66" ht="12" x14ac:dyDescent="0.2">
      <c r="A229" s="35" t="s">
        <v>264</v>
      </c>
      <c r="B229" s="55"/>
      <c r="C229" s="35" t="s">
        <v>239</v>
      </c>
      <c r="D229" s="35"/>
      <c r="E229" s="35">
        <f t="shared" si="47"/>
        <v>327734</v>
      </c>
      <c r="F229" s="35"/>
      <c r="G229" s="35">
        <v>1022901</v>
      </c>
      <c r="H229" s="35"/>
      <c r="I229" s="35">
        <v>1350635</v>
      </c>
      <c r="J229" s="35"/>
      <c r="K229" s="35">
        <f t="shared" si="48"/>
        <v>195264</v>
      </c>
      <c r="L229" s="35"/>
      <c r="M229" s="35">
        <v>1594893</v>
      </c>
      <c r="N229" s="35"/>
      <c r="O229" s="35">
        <v>1790157</v>
      </c>
      <c r="P229" s="35"/>
      <c r="Q229" s="35">
        <v>831764</v>
      </c>
      <c r="R229" s="35"/>
      <c r="S229" s="35">
        <v>0</v>
      </c>
      <c r="T229" s="35"/>
      <c r="U229" s="35">
        <v>-1271286</v>
      </c>
      <c r="V229" s="35"/>
      <c r="W229" s="35">
        <f t="shared" si="52"/>
        <v>-439522</v>
      </c>
      <c r="X229" s="35"/>
      <c r="Y229" s="35" t="s">
        <v>264</v>
      </c>
      <c r="Z229" s="55"/>
      <c r="AA229" s="35" t="s">
        <v>239</v>
      </c>
      <c r="AB229" s="35"/>
      <c r="AC229" s="35">
        <v>1119893</v>
      </c>
      <c r="AD229" s="35"/>
      <c r="AE229" s="35">
        <f>1046650-45124</f>
        <v>1001526</v>
      </c>
      <c r="AF229" s="35"/>
      <c r="AG229" s="35">
        <v>45124</v>
      </c>
      <c r="AH229" s="35"/>
      <c r="AI229" s="45">
        <f t="shared" si="46"/>
        <v>73243</v>
      </c>
      <c r="AJ229" s="45"/>
      <c r="AK229" s="35">
        <v>-6667</v>
      </c>
      <c r="AL229" s="35"/>
      <c r="AM229" s="35">
        <v>30000</v>
      </c>
      <c r="AN229" s="35"/>
      <c r="AO229" s="35">
        <v>31721</v>
      </c>
      <c r="AP229" s="35"/>
      <c r="AQ229" s="35">
        <v>0</v>
      </c>
      <c r="AR229" s="35"/>
      <c r="AS229" s="45">
        <f t="shared" si="45"/>
        <v>64855</v>
      </c>
      <c r="AT229" s="45"/>
      <c r="AU229" s="35">
        <v>0</v>
      </c>
      <c r="AV229" s="35"/>
      <c r="AW229" s="35">
        <v>0</v>
      </c>
      <c r="AX229" s="35"/>
      <c r="AY229" s="35">
        <f t="shared" si="49"/>
        <v>132470</v>
      </c>
      <c r="AZ229" s="35"/>
      <c r="BA229" s="35" t="s">
        <v>264</v>
      </c>
      <c r="BB229" s="55"/>
      <c r="BC229" s="35" t="s">
        <v>239</v>
      </c>
      <c r="BD229" s="35"/>
      <c r="BE229" s="35">
        <v>0</v>
      </c>
      <c r="BF229" s="35"/>
      <c r="BG229" s="35">
        <v>0</v>
      </c>
      <c r="BH229" s="35"/>
      <c r="BI229" s="35">
        <f>61214+28961</f>
        <v>90175</v>
      </c>
      <c r="BJ229" s="35"/>
      <c r="BK229" s="35">
        <f>17364+32399+57964+39052+68563+1426064</f>
        <v>1641406</v>
      </c>
      <c r="BL229" s="35"/>
      <c r="BM229" s="35">
        <f t="shared" si="50"/>
        <v>1731581</v>
      </c>
      <c r="BN229" s="54" t="s">
        <v>347</v>
      </c>
    </row>
    <row r="230" spans="1:66" x14ac:dyDescent="0.2">
      <c r="A230" s="35" t="s">
        <v>111</v>
      </c>
      <c r="C230" s="44" t="s">
        <v>80</v>
      </c>
      <c r="D230" s="44"/>
      <c r="E230" s="35">
        <f t="shared" si="47"/>
        <v>693867</v>
      </c>
      <c r="F230" s="35"/>
      <c r="G230" s="35">
        <v>265888</v>
      </c>
      <c r="H230" s="35"/>
      <c r="I230" s="35">
        <v>959755</v>
      </c>
      <c r="J230" s="35"/>
      <c r="K230" s="35">
        <f t="shared" si="48"/>
        <v>95581</v>
      </c>
      <c r="L230" s="35"/>
      <c r="M230" s="35">
        <v>80237</v>
      </c>
      <c r="N230" s="35"/>
      <c r="O230" s="35">
        <v>175818</v>
      </c>
      <c r="P230" s="35"/>
      <c r="Q230" s="35">
        <v>265888</v>
      </c>
      <c r="R230" s="35"/>
      <c r="S230" s="35">
        <v>0</v>
      </c>
      <c r="T230" s="35"/>
      <c r="U230" s="35">
        <v>518049</v>
      </c>
      <c r="V230" s="35"/>
      <c r="W230" s="35">
        <f t="shared" si="52"/>
        <v>783937</v>
      </c>
      <c r="X230" s="35"/>
      <c r="Y230" s="35" t="s">
        <v>111</v>
      </c>
      <c r="Z230" s="55"/>
      <c r="AA230" s="44" t="s">
        <v>80</v>
      </c>
      <c r="AB230" s="44"/>
      <c r="AC230" s="35">
        <v>3163044</v>
      </c>
      <c r="AD230" s="35"/>
      <c r="AE230" s="35">
        <f>3207651-124567</f>
        <v>3083084</v>
      </c>
      <c r="AF230" s="35"/>
      <c r="AG230" s="35">
        <v>124567</v>
      </c>
      <c r="AH230" s="35"/>
      <c r="AI230" s="45">
        <f t="shared" si="46"/>
        <v>-44607</v>
      </c>
      <c r="AJ230" s="45"/>
      <c r="AK230" s="35">
        <v>0</v>
      </c>
      <c r="AL230" s="35"/>
      <c r="AM230" s="35">
        <v>0</v>
      </c>
      <c r="AN230" s="35"/>
      <c r="AO230" s="35">
        <v>9720</v>
      </c>
      <c r="AP230" s="35"/>
      <c r="AQ230" s="35">
        <v>0</v>
      </c>
      <c r="AR230" s="35"/>
      <c r="AS230" s="45">
        <f t="shared" si="45"/>
        <v>-54327</v>
      </c>
      <c r="AT230" s="45"/>
      <c r="AU230" s="35">
        <v>0</v>
      </c>
      <c r="AV230" s="35"/>
      <c r="AW230" s="35">
        <v>0</v>
      </c>
      <c r="AX230" s="35"/>
      <c r="AY230" s="35">
        <f t="shared" si="49"/>
        <v>598286</v>
      </c>
      <c r="AZ230" s="35"/>
      <c r="BA230" s="35" t="s">
        <v>111</v>
      </c>
      <c r="BB230" s="55"/>
      <c r="BC230" s="44" t="s">
        <v>80</v>
      </c>
      <c r="BD230" s="44"/>
      <c r="BE230" s="35">
        <v>0</v>
      </c>
      <c r="BF230" s="35"/>
      <c r="BG230" s="35">
        <v>0</v>
      </c>
      <c r="BH230" s="35"/>
      <c r="BI230" s="35">
        <v>0</v>
      </c>
      <c r="BJ230" s="35"/>
      <c r="BK230" s="35">
        <f>80237+46290</f>
        <v>126527</v>
      </c>
      <c r="BL230" s="35"/>
      <c r="BM230" s="35">
        <f t="shared" si="50"/>
        <v>126527</v>
      </c>
      <c r="BN230" s="54" t="s">
        <v>347</v>
      </c>
    </row>
    <row r="231" spans="1:66" hidden="1" x14ac:dyDescent="0.2">
      <c r="A231" s="35" t="s">
        <v>265</v>
      </c>
      <c r="C231" s="44" t="s">
        <v>27</v>
      </c>
      <c r="D231" s="44"/>
      <c r="E231" s="35">
        <f t="shared" si="47"/>
        <v>0</v>
      </c>
      <c r="F231" s="35"/>
      <c r="G231" s="35"/>
      <c r="H231" s="35"/>
      <c r="I231" s="35"/>
      <c r="J231" s="35"/>
      <c r="K231" s="35">
        <f t="shared" si="48"/>
        <v>0</v>
      </c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>
        <f t="shared" si="52"/>
        <v>0</v>
      </c>
      <c r="X231" s="35"/>
      <c r="Y231" s="35" t="s">
        <v>265</v>
      </c>
      <c r="Z231" s="55"/>
      <c r="AA231" s="44" t="s">
        <v>27</v>
      </c>
      <c r="AB231" s="44"/>
      <c r="AC231" s="35"/>
      <c r="AD231" s="35"/>
      <c r="AE231" s="35"/>
      <c r="AF231" s="35"/>
      <c r="AG231" s="35"/>
      <c r="AH231" s="35"/>
      <c r="AI231" s="45">
        <f t="shared" si="46"/>
        <v>0</v>
      </c>
      <c r="AJ231" s="45"/>
      <c r="AK231" s="35"/>
      <c r="AL231" s="35"/>
      <c r="AM231" s="35"/>
      <c r="AN231" s="35"/>
      <c r="AO231" s="35"/>
      <c r="AP231" s="35"/>
      <c r="AQ231" s="35"/>
      <c r="AR231" s="35"/>
      <c r="AS231" s="45">
        <f t="shared" si="45"/>
        <v>0</v>
      </c>
      <c r="AT231" s="45"/>
      <c r="AU231" s="35">
        <v>0</v>
      </c>
      <c r="AV231" s="35"/>
      <c r="AW231" s="35">
        <v>0</v>
      </c>
      <c r="AX231" s="35"/>
      <c r="AY231" s="35">
        <f t="shared" si="49"/>
        <v>0</v>
      </c>
      <c r="AZ231" s="35"/>
      <c r="BA231" s="35" t="s">
        <v>265</v>
      </c>
      <c r="BB231" s="55"/>
      <c r="BC231" s="44" t="s">
        <v>27</v>
      </c>
      <c r="BD231" s="44"/>
      <c r="BE231" s="35"/>
      <c r="BF231" s="35"/>
      <c r="BG231" s="35"/>
      <c r="BH231" s="35"/>
      <c r="BI231" s="35"/>
      <c r="BJ231" s="35"/>
      <c r="BK231" s="35"/>
      <c r="BL231" s="35"/>
      <c r="BM231" s="35">
        <f t="shared" si="50"/>
        <v>0</v>
      </c>
      <c r="BN231" s="54" t="s">
        <v>347</v>
      </c>
    </row>
    <row r="232" spans="1:66" hidden="1" x14ac:dyDescent="0.2">
      <c r="A232" s="35" t="s">
        <v>40</v>
      </c>
      <c r="C232" s="47" t="s">
        <v>451</v>
      </c>
      <c r="D232" s="35"/>
      <c r="E232" s="35">
        <f t="shared" si="47"/>
        <v>0</v>
      </c>
      <c r="F232" s="35"/>
      <c r="G232" s="35"/>
      <c r="H232" s="35"/>
      <c r="I232" s="35"/>
      <c r="J232" s="35"/>
      <c r="K232" s="35">
        <f t="shared" si="48"/>
        <v>0</v>
      </c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>
        <f t="shared" si="52"/>
        <v>0</v>
      </c>
      <c r="X232" s="35"/>
      <c r="Y232" s="35" t="s">
        <v>40</v>
      </c>
      <c r="Z232" s="55"/>
      <c r="AA232" s="47" t="s">
        <v>451</v>
      </c>
      <c r="AB232" s="35"/>
      <c r="AC232" s="35"/>
      <c r="AD232" s="35"/>
      <c r="AE232" s="35"/>
      <c r="AF232" s="35"/>
      <c r="AG232" s="35"/>
      <c r="AH232" s="35"/>
      <c r="AI232" s="45">
        <f t="shared" si="46"/>
        <v>0</v>
      </c>
      <c r="AJ232" s="45"/>
      <c r="AK232" s="35"/>
      <c r="AL232" s="35"/>
      <c r="AM232" s="35"/>
      <c r="AN232" s="35"/>
      <c r="AO232" s="35"/>
      <c r="AP232" s="35"/>
      <c r="AQ232" s="35"/>
      <c r="AR232" s="35"/>
      <c r="AS232" s="45">
        <f t="shared" si="45"/>
        <v>0</v>
      </c>
      <c r="AT232" s="45"/>
      <c r="AU232" s="35">
        <v>0</v>
      </c>
      <c r="AV232" s="35"/>
      <c r="AW232" s="35">
        <v>0</v>
      </c>
      <c r="AX232" s="35"/>
      <c r="AY232" s="35">
        <f t="shared" si="49"/>
        <v>0</v>
      </c>
      <c r="AZ232" s="35"/>
      <c r="BA232" s="35" t="s">
        <v>40</v>
      </c>
      <c r="BB232" s="55"/>
      <c r="BC232" s="47" t="s">
        <v>451</v>
      </c>
      <c r="BD232" s="35"/>
      <c r="BE232" s="35"/>
      <c r="BF232" s="35"/>
      <c r="BG232" s="35"/>
      <c r="BH232" s="35"/>
      <c r="BI232" s="35"/>
      <c r="BJ232" s="35"/>
      <c r="BK232" s="35"/>
      <c r="BL232" s="35"/>
      <c r="BM232" s="35">
        <f t="shared" si="50"/>
        <v>0</v>
      </c>
      <c r="BN232" s="54" t="s">
        <v>347</v>
      </c>
    </row>
    <row r="233" spans="1:66" hidden="1" x14ac:dyDescent="0.2">
      <c r="A233" s="35" t="s">
        <v>266</v>
      </c>
      <c r="C233" s="35" t="s">
        <v>267</v>
      </c>
      <c r="D233" s="35"/>
      <c r="E233" s="35">
        <f t="shared" si="47"/>
        <v>0</v>
      </c>
      <c r="F233" s="35"/>
      <c r="G233" s="35"/>
      <c r="H233" s="35"/>
      <c r="I233" s="35"/>
      <c r="J233" s="35"/>
      <c r="K233" s="35">
        <f t="shared" si="48"/>
        <v>0</v>
      </c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>
        <v>0</v>
      </c>
      <c r="X233" s="35"/>
      <c r="Y233" s="35" t="s">
        <v>266</v>
      </c>
      <c r="Z233" s="55"/>
      <c r="AA233" s="35" t="s">
        <v>267</v>
      </c>
      <c r="AB233" s="35"/>
      <c r="AC233" s="35"/>
      <c r="AD233" s="35"/>
      <c r="AE233" s="35"/>
      <c r="AF233" s="35"/>
      <c r="AG233" s="35"/>
      <c r="AH233" s="35"/>
      <c r="AI233" s="45">
        <f t="shared" si="46"/>
        <v>0</v>
      </c>
      <c r="AJ233" s="45"/>
      <c r="AK233" s="35"/>
      <c r="AL233" s="35"/>
      <c r="AM233" s="35"/>
      <c r="AN233" s="35"/>
      <c r="AO233" s="35"/>
      <c r="AP233" s="35"/>
      <c r="AQ233" s="35"/>
      <c r="AR233" s="35"/>
      <c r="AS233" s="45">
        <f t="shared" si="45"/>
        <v>0</v>
      </c>
      <c r="AT233" s="45"/>
      <c r="AU233" s="35">
        <v>0</v>
      </c>
      <c r="AV233" s="35"/>
      <c r="AW233" s="35">
        <v>0</v>
      </c>
      <c r="AX233" s="35"/>
      <c r="AY233" s="35">
        <f t="shared" si="49"/>
        <v>0</v>
      </c>
      <c r="AZ233" s="35"/>
      <c r="BA233" s="35" t="s">
        <v>266</v>
      </c>
      <c r="BB233" s="55"/>
      <c r="BC233" s="35" t="s">
        <v>267</v>
      </c>
      <c r="BD233" s="35"/>
      <c r="BE233" s="35"/>
      <c r="BF233" s="35"/>
      <c r="BG233" s="35"/>
      <c r="BH233" s="35"/>
      <c r="BI233" s="35"/>
      <c r="BJ233" s="35"/>
      <c r="BK233" s="35"/>
      <c r="BL233" s="35"/>
      <c r="BM233" s="35">
        <f t="shared" si="50"/>
        <v>0</v>
      </c>
      <c r="BN233" s="54" t="s">
        <v>347</v>
      </c>
    </row>
    <row r="234" spans="1:66" hidden="1" x14ac:dyDescent="0.2">
      <c r="A234" s="35" t="s">
        <v>268</v>
      </c>
      <c r="C234" s="35" t="s">
        <v>269</v>
      </c>
      <c r="D234" s="35"/>
      <c r="E234" s="35">
        <f t="shared" si="47"/>
        <v>0</v>
      </c>
      <c r="F234" s="35"/>
      <c r="G234" s="35"/>
      <c r="H234" s="35"/>
      <c r="I234" s="35"/>
      <c r="J234" s="35"/>
      <c r="K234" s="35">
        <f t="shared" si="48"/>
        <v>0</v>
      </c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>
        <f t="shared" ref="W234" si="53">SUM(Q234:U234)</f>
        <v>0</v>
      </c>
      <c r="X234" s="35"/>
      <c r="Y234" s="35" t="s">
        <v>268</v>
      </c>
      <c r="Z234" s="55"/>
      <c r="AA234" s="35" t="s">
        <v>269</v>
      </c>
      <c r="AB234" s="35"/>
      <c r="AC234" s="35"/>
      <c r="AD234" s="35"/>
      <c r="AE234" s="35"/>
      <c r="AF234" s="35"/>
      <c r="AG234" s="35"/>
      <c r="AH234" s="35"/>
      <c r="AI234" s="45">
        <f t="shared" si="46"/>
        <v>0</v>
      </c>
      <c r="AJ234" s="45"/>
      <c r="AK234" s="35"/>
      <c r="AL234" s="35"/>
      <c r="AM234" s="35"/>
      <c r="AN234" s="35"/>
      <c r="AO234" s="35"/>
      <c r="AP234" s="35"/>
      <c r="AQ234" s="35"/>
      <c r="AR234" s="35"/>
      <c r="AS234" s="45">
        <f t="shared" si="45"/>
        <v>0</v>
      </c>
      <c r="AT234" s="45"/>
      <c r="AU234" s="35">
        <v>0</v>
      </c>
      <c r="AV234" s="35"/>
      <c r="AW234" s="35">
        <v>0</v>
      </c>
      <c r="AX234" s="35"/>
      <c r="AY234" s="35">
        <f t="shared" si="49"/>
        <v>0</v>
      </c>
      <c r="AZ234" s="35"/>
      <c r="BA234" s="35" t="s">
        <v>268</v>
      </c>
      <c r="BB234" s="55"/>
      <c r="BC234" s="35" t="s">
        <v>269</v>
      </c>
      <c r="BD234" s="35"/>
      <c r="BE234" s="35"/>
      <c r="BF234" s="35"/>
      <c r="BG234" s="35"/>
      <c r="BH234" s="35"/>
      <c r="BI234" s="35"/>
      <c r="BJ234" s="35"/>
      <c r="BK234" s="35"/>
      <c r="BL234" s="35"/>
      <c r="BM234" s="35">
        <f t="shared" si="50"/>
        <v>0</v>
      </c>
      <c r="BN234" s="54" t="s">
        <v>347</v>
      </c>
    </row>
    <row r="235" spans="1:66" x14ac:dyDescent="0.2">
      <c r="A235" s="35" t="s">
        <v>270</v>
      </c>
      <c r="C235" s="35" t="s">
        <v>136</v>
      </c>
      <c r="D235" s="35"/>
      <c r="E235" s="35">
        <f t="shared" si="47"/>
        <v>20840</v>
      </c>
      <c r="F235" s="35"/>
      <c r="G235" s="35">
        <v>0</v>
      </c>
      <c r="H235" s="35"/>
      <c r="I235" s="35">
        <v>20840</v>
      </c>
      <c r="J235" s="35"/>
      <c r="K235" s="35">
        <f t="shared" si="48"/>
        <v>59206</v>
      </c>
      <c r="L235" s="35"/>
      <c r="M235" s="35">
        <v>14889</v>
      </c>
      <c r="N235" s="35"/>
      <c r="O235" s="35">
        <v>74095</v>
      </c>
      <c r="P235" s="35"/>
      <c r="Q235" s="35">
        <v>0</v>
      </c>
      <c r="R235" s="35"/>
      <c r="S235" s="35">
        <v>0</v>
      </c>
      <c r="T235" s="35"/>
      <c r="U235" s="35">
        <v>-53255</v>
      </c>
      <c r="V235" s="35"/>
      <c r="W235" s="35">
        <f t="shared" ref="W235:W250" si="54">SUM(Q235:U235)</f>
        <v>-53255</v>
      </c>
      <c r="X235" s="35"/>
      <c r="Y235" s="35" t="s">
        <v>270</v>
      </c>
      <c r="Z235" s="55"/>
      <c r="AA235" s="35" t="s">
        <v>136</v>
      </c>
      <c r="AB235" s="35"/>
      <c r="AC235" s="35">
        <v>357332</v>
      </c>
      <c r="AD235" s="35"/>
      <c r="AE235" s="35">
        <v>248326</v>
      </c>
      <c r="AF235" s="35"/>
      <c r="AG235" s="35">
        <v>0</v>
      </c>
      <c r="AH235" s="35"/>
      <c r="AI235" s="45">
        <f t="shared" si="46"/>
        <v>109006</v>
      </c>
      <c r="AJ235" s="45"/>
      <c r="AK235" s="35">
        <v>0</v>
      </c>
      <c r="AL235" s="35"/>
      <c r="AM235" s="35">
        <v>0</v>
      </c>
      <c r="AN235" s="35"/>
      <c r="AO235" s="35">
        <v>0</v>
      </c>
      <c r="AP235" s="35"/>
      <c r="AQ235" s="35">
        <v>0</v>
      </c>
      <c r="AR235" s="35"/>
      <c r="AS235" s="45">
        <f t="shared" ref="AS235:AS250" si="55">+AI235+AK235+AM235-AO235+AQ235</f>
        <v>109006</v>
      </c>
      <c r="AT235" s="45"/>
      <c r="AU235" s="35">
        <v>0</v>
      </c>
      <c r="AV235" s="35"/>
      <c r="AW235" s="35">
        <v>0</v>
      </c>
      <c r="AX235" s="35"/>
      <c r="AY235" s="35">
        <f t="shared" si="49"/>
        <v>-38366</v>
      </c>
      <c r="AZ235" s="35"/>
      <c r="BA235" s="35" t="s">
        <v>270</v>
      </c>
      <c r="BB235" s="55"/>
      <c r="BC235" s="35" t="s">
        <v>136</v>
      </c>
      <c r="BD235" s="35"/>
      <c r="BE235" s="35">
        <v>0</v>
      </c>
      <c r="BF235" s="35"/>
      <c r="BG235" s="35">
        <v>0</v>
      </c>
      <c r="BH235" s="35"/>
      <c r="BI235" s="35">
        <v>0</v>
      </c>
      <c r="BJ235" s="35"/>
      <c r="BK235" s="35">
        <f>14889+15871</f>
        <v>30760</v>
      </c>
      <c r="BL235" s="35"/>
      <c r="BM235" s="35">
        <f t="shared" si="50"/>
        <v>30760</v>
      </c>
      <c r="BN235" s="54" t="s">
        <v>347</v>
      </c>
    </row>
    <row r="236" spans="1:66" x14ac:dyDescent="0.2">
      <c r="A236" s="35" t="s">
        <v>271</v>
      </c>
      <c r="C236" s="35" t="s">
        <v>66</v>
      </c>
      <c r="D236" s="35"/>
      <c r="E236" s="35">
        <f t="shared" si="47"/>
        <v>317201</v>
      </c>
      <c r="F236" s="35"/>
      <c r="G236" s="35">
        <v>89040</v>
      </c>
      <c r="H236" s="35"/>
      <c r="I236" s="35">
        <v>406241</v>
      </c>
      <c r="J236" s="35"/>
      <c r="K236" s="35">
        <f t="shared" si="48"/>
        <v>18256</v>
      </c>
      <c r="L236" s="35"/>
      <c r="M236" s="35">
        <v>21091</v>
      </c>
      <c r="N236" s="35"/>
      <c r="O236" s="35">
        <v>39347</v>
      </c>
      <c r="P236" s="35"/>
      <c r="Q236" s="35">
        <v>89040</v>
      </c>
      <c r="R236" s="35"/>
      <c r="S236" s="35">
        <v>0</v>
      </c>
      <c r="T236" s="35"/>
      <c r="U236" s="35">
        <v>277854</v>
      </c>
      <c r="V236" s="35"/>
      <c r="W236" s="35">
        <f t="shared" si="54"/>
        <v>366894</v>
      </c>
      <c r="X236" s="35"/>
      <c r="Y236" s="35" t="s">
        <v>271</v>
      </c>
      <c r="Z236" s="55"/>
      <c r="AA236" s="35" t="s">
        <v>66</v>
      </c>
      <c r="AB236" s="35"/>
      <c r="AC236" s="35">
        <v>735872</v>
      </c>
      <c r="AD236" s="35"/>
      <c r="AE236" s="35">
        <f>745452-41897</f>
        <v>703555</v>
      </c>
      <c r="AF236" s="35"/>
      <c r="AG236" s="35">
        <v>41897</v>
      </c>
      <c r="AH236" s="35"/>
      <c r="AI236" s="45">
        <f t="shared" si="46"/>
        <v>-9580</v>
      </c>
      <c r="AJ236" s="45"/>
      <c r="AK236" s="35">
        <v>1277</v>
      </c>
      <c r="AL236" s="35"/>
      <c r="AM236" s="35">
        <v>0</v>
      </c>
      <c r="AN236" s="35"/>
      <c r="AO236" s="35">
        <v>0</v>
      </c>
      <c r="AP236" s="35"/>
      <c r="AQ236" s="35">
        <v>0</v>
      </c>
      <c r="AR236" s="35"/>
      <c r="AS236" s="45">
        <f t="shared" si="55"/>
        <v>-8303</v>
      </c>
      <c r="AT236" s="45"/>
      <c r="AU236" s="35">
        <v>0</v>
      </c>
      <c r="AV236" s="35"/>
      <c r="AW236" s="35">
        <v>0</v>
      </c>
      <c r="AX236" s="35"/>
      <c r="AY236" s="35">
        <f t="shared" si="49"/>
        <v>298945</v>
      </c>
      <c r="AZ236" s="35"/>
      <c r="BA236" s="35" t="s">
        <v>271</v>
      </c>
      <c r="BB236" s="55"/>
      <c r="BC236" s="35" t="s">
        <v>66</v>
      </c>
      <c r="BD236" s="35"/>
      <c r="BE236" s="35">
        <v>0</v>
      </c>
      <c r="BF236" s="35"/>
      <c r="BG236" s="35">
        <v>0</v>
      </c>
      <c r="BH236" s="35"/>
      <c r="BI236" s="35">
        <v>0</v>
      </c>
      <c r="BJ236" s="35"/>
      <c r="BK236" s="35">
        <f>21091+852</f>
        <v>21943</v>
      </c>
      <c r="BL236" s="35"/>
      <c r="BM236" s="35">
        <f t="shared" si="50"/>
        <v>21943</v>
      </c>
      <c r="BN236" s="54" t="s">
        <v>347</v>
      </c>
    </row>
    <row r="237" spans="1:66" x14ac:dyDescent="0.2">
      <c r="A237" s="35" t="s">
        <v>272</v>
      </c>
      <c r="C237" s="35" t="s">
        <v>43</v>
      </c>
      <c r="D237" s="35"/>
      <c r="E237" s="35">
        <f t="shared" si="47"/>
        <v>981686</v>
      </c>
      <c r="F237" s="35"/>
      <c r="G237" s="35">
        <v>191305</v>
      </c>
      <c r="H237" s="35"/>
      <c r="I237" s="35">
        <v>1172991</v>
      </c>
      <c r="J237" s="35"/>
      <c r="K237" s="35">
        <f t="shared" si="48"/>
        <v>189498</v>
      </c>
      <c r="L237" s="35"/>
      <c r="M237" s="35">
        <v>204000</v>
      </c>
      <c r="N237" s="35"/>
      <c r="O237" s="35">
        <v>393498</v>
      </c>
      <c r="P237" s="35"/>
      <c r="Q237" s="35">
        <v>191305</v>
      </c>
      <c r="R237" s="35"/>
      <c r="S237" s="35">
        <v>0</v>
      </c>
      <c r="T237" s="35"/>
      <c r="U237" s="35">
        <v>588188</v>
      </c>
      <c r="V237" s="35"/>
      <c r="W237" s="35">
        <f t="shared" si="54"/>
        <v>779493</v>
      </c>
      <c r="X237" s="35"/>
      <c r="Y237" s="35" t="s">
        <v>272</v>
      </c>
      <c r="Z237" s="55"/>
      <c r="AA237" s="35" t="s">
        <v>43</v>
      </c>
      <c r="AB237" s="35"/>
      <c r="AC237" s="35">
        <v>2378371</v>
      </c>
      <c r="AD237" s="35"/>
      <c r="AE237" s="35">
        <f>2504315-163796</f>
        <v>2340519</v>
      </c>
      <c r="AF237" s="35"/>
      <c r="AG237" s="35">
        <v>163796</v>
      </c>
      <c r="AH237" s="35"/>
      <c r="AI237" s="45">
        <f t="shared" si="46"/>
        <v>-125944</v>
      </c>
      <c r="AJ237" s="45"/>
      <c r="AK237" s="35">
        <v>0</v>
      </c>
      <c r="AL237" s="35"/>
      <c r="AM237" s="35">
        <v>0</v>
      </c>
      <c r="AN237" s="35"/>
      <c r="AO237" s="35">
        <v>0</v>
      </c>
      <c r="AP237" s="35"/>
      <c r="AQ237" s="35">
        <v>0</v>
      </c>
      <c r="AR237" s="35"/>
      <c r="AS237" s="45">
        <f t="shared" si="55"/>
        <v>-125944</v>
      </c>
      <c r="AT237" s="45"/>
      <c r="AU237" s="35">
        <v>0</v>
      </c>
      <c r="AV237" s="35"/>
      <c r="AW237" s="35">
        <v>0</v>
      </c>
      <c r="AX237" s="35"/>
      <c r="AY237" s="35">
        <f t="shared" si="49"/>
        <v>792188</v>
      </c>
      <c r="AZ237" s="35"/>
      <c r="BA237" s="35" t="s">
        <v>272</v>
      </c>
      <c r="BB237" s="55"/>
      <c r="BC237" s="35" t="s">
        <v>43</v>
      </c>
      <c r="BD237" s="35"/>
      <c r="BE237" s="35">
        <v>0</v>
      </c>
      <c r="BF237" s="35"/>
      <c r="BG237" s="35">
        <v>0</v>
      </c>
      <c r="BH237" s="35"/>
      <c r="BI237" s="35">
        <v>0</v>
      </c>
      <c r="BJ237" s="35"/>
      <c r="BK237" s="35">
        <v>204000</v>
      </c>
      <c r="BL237" s="35"/>
      <c r="BM237" s="35">
        <f t="shared" si="50"/>
        <v>204000</v>
      </c>
      <c r="BN237" s="54" t="s">
        <v>347</v>
      </c>
    </row>
    <row r="238" spans="1:66" hidden="1" x14ac:dyDescent="0.2">
      <c r="A238" s="35" t="s">
        <v>273</v>
      </c>
      <c r="C238" s="35" t="s">
        <v>27</v>
      </c>
      <c r="D238" s="35"/>
      <c r="E238" s="35">
        <f t="shared" si="47"/>
        <v>0</v>
      </c>
      <c r="F238" s="35"/>
      <c r="G238" s="35"/>
      <c r="H238" s="35"/>
      <c r="I238" s="35"/>
      <c r="J238" s="35"/>
      <c r="K238" s="35">
        <f t="shared" si="48"/>
        <v>0</v>
      </c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>
        <f t="shared" si="54"/>
        <v>0</v>
      </c>
      <c r="X238" s="35"/>
      <c r="Y238" s="35" t="s">
        <v>273</v>
      </c>
      <c r="Z238" s="55"/>
      <c r="AA238" s="35" t="s">
        <v>27</v>
      </c>
      <c r="AB238" s="35"/>
      <c r="AC238" s="35"/>
      <c r="AD238" s="35"/>
      <c r="AE238" s="35"/>
      <c r="AF238" s="35"/>
      <c r="AG238" s="35"/>
      <c r="AH238" s="35"/>
      <c r="AI238" s="45">
        <f t="shared" si="46"/>
        <v>0</v>
      </c>
      <c r="AJ238" s="45"/>
      <c r="AK238" s="35"/>
      <c r="AL238" s="35"/>
      <c r="AM238" s="35"/>
      <c r="AN238" s="35"/>
      <c r="AO238" s="35"/>
      <c r="AP238" s="35"/>
      <c r="AQ238" s="35"/>
      <c r="AR238" s="35"/>
      <c r="AS238" s="45">
        <f t="shared" si="55"/>
        <v>0</v>
      </c>
      <c r="AT238" s="45"/>
      <c r="AU238" s="35">
        <v>0</v>
      </c>
      <c r="AV238" s="35"/>
      <c r="AW238" s="35">
        <v>0</v>
      </c>
      <c r="AX238" s="35"/>
      <c r="AY238" s="35">
        <f t="shared" si="49"/>
        <v>0</v>
      </c>
      <c r="AZ238" s="35"/>
      <c r="BA238" s="35" t="s">
        <v>273</v>
      </c>
      <c r="BB238" s="55"/>
      <c r="BC238" s="35" t="s">
        <v>27</v>
      </c>
      <c r="BD238" s="35"/>
      <c r="BE238" s="35"/>
      <c r="BF238" s="35"/>
      <c r="BG238" s="35"/>
      <c r="BH238" s="35"/>
      <c r="BI238" s="35"/>
      <c r="BJ238" s="35"/>
      <c r="BK238" s="35"/>
      <c r="BL238" s="35"/>
      <c r="BM238" s="35">
        <f t="shared" si="50"/>
        <v>0</v>
      </c>
      <c r="BN238" s="54" t="s">
        <v>347</v>
      </c>
    </row>
    <row r="239" spans="1:66" hidden="1" x14ac:dyDescent="0.2">
      <c r="A239" s="35" t="s">
        <v>274</v>
      </c>
      <c r="C239" s="35" t="s">
        <v>43</v>
      </c>
      <c r="D239" s="35"/>
      <c r="E239" s="35">
        <f t="shared" si="47"/>
        <v>0</v>
      </c>
      <c r="F239" s="35"/>
      <c r="G239" s="35"/>
      <c r="H239" s="35"/>
      <c r="I239" s="35"/>
      <c r="J239" s="35"/>
      <c r="K239" s="35">
        <f t="shared" si="48"/>
        <v>0</v>
      </c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>
        <f t="shared" si="54"/>
        <v>0</v>
      </c>
      <c r="X239" s="35"/>
      <c r="Y239" s="35" t="s">
        <v>274</v>
      </c>
      <c r="Z239" s="55"/>
      <c r="AA239" s="35" t="s">
        <v>43</v>
      </c>
      <c r="AB239" s="35"/>
      <c r="AC239" s="35"/>
      <c r="AD239" s="35"/>
      <c r="AE239" s="35"/>
      <c r="AF239" s="35"/>
      <c r="AG239" s="35"/>
      <c r="AH239" s="35"/>
      <c r="AI239" s="45">
        <f t="shared" si="46"/>
        <v>0</v>
      </c>
      <c r="AJ239" s="45"/>
      <c r="AK239" s="35"/>
      <c r="AL239" s="35"/>
      <c r="AM239" s="35"/>
      <c r="AN239" s="35"/>
      <c r="AO239" s="35"/>
      <c r="AP239" s="35"/>
      <c r="AQ239" s="35"/>
      <c r="AR239" s="35"/>
      <c r="AS239" s="45">
        <f t="shared" si="55"/>
        <v>0</v>
      </c>
      <c r="AT239" s="45"/>
      <c r="AU239" s="35">
        <v>0</v>
      </c>
      <c r="AV239" s="35"/>
      <c r="AW239" s="35">
        <v>0</v>
      </c>
      <c r="AX239" s="35"/>
      <c r="AY239" s="35">
        <f t="shared" si="49"/>
        <v>0</v>
      </c>
      <c r="AZ239" s="35"/>
      <c r="BA239" s="35" t="s">
        <v>274</v>
      </c>
      <c r="BB239" s="55"/>
      <c r="BC239" s="35" t="s">
        <v>43</v>
      </c>
      <c r="BD239" s="35"/>
      <c r="BE239" s="35"/>
      <c r="BF239" s="35"/>
      <c r="BG239" s="35"/>
      <c r="BH239" s="35"/>
      <c r="BI239" s="35"/>
      <c r="BJ239" s="35"/>
      <c r="BK239" s="35"/>
      <c r="BL239" s="35"/>
      <c r="BM239" s="35">
        <f t="shared" si="50"/>
        <v>0</v>
      </c>
      <c r="BN239" s="54" t="s">
        <v>347</v>
      </c>
    </row>
    <row r="240" spans="1:66" hidden="1" x14ac:dyDescent="0.2">
      <c r="A240" s="35" t="s">
        <v>275</v>
      </c>
      <c r="C240" s="35" t="s">
        <v>92</v>
      </c>
      <c r="D240" s="35"/>
      <c r="E240" s="35">
        <f t="shared" si="47"/>
        <v>0</v>
      </c>
      <c r="F240" s="35"/>
      <c r="G240" s="35"/>
      <c r="H240" s="35"/>
      <c r="I240" s="35"/>
      <c r="J240" s="35"/>
      <c r="K240" s="35">
        <f t="shared" si="48"/>
        <v>0</v>
      </c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>
        <f t="shared" si="54"/>
        <v>0</v>
      </c>
      <c r="X240" s="35"/>
      <c r="Y240" s="35" t="s">
        <v>275</v>
      </c>
      <c r="Z240" s="55"/>
      <c r="AA240" s="35" t="s">
        <v>92</v>
      </c>
      <c r="AB240" s="35"/>
      <c r="AC240" s="35"/>
      <c r="AD240" s="35"/>
      <c r="AE240" s="35"/>
      <c r="AF240" s="35"/>
      <c r="AG240" s="35"/>
      <c r="AH240" s="35"/>
      <c r="AI240" s="45">
        <f t="shared" si="46"/>
        <v>0</v>
      </c>
      <c r="AJ240" s="45"/>
      <c r="AK240" s="35"/>
      <c r="AL240" s="35"/>
      <c r="AM240" s="35"/>
      <c r="AN240" s="35"/>
      <c r="AO240" s="35"/>
      <c r="AP240" s="35"/>
      <c r="AQ240" s="35"/>
      <c r="AR240" s="35"/>
      <c r="AS240" s="45">
        <f t="shared" si="55"/>
        <v>0</v>
      </c>
      <c r="AT240" s="45"/>
      <c r="AU240" s="35">
        <v>0</v>
      </c>
      <c r="AV240" s="35"/>
      <c r="AW240" s="35">
        <v>0</v>
      </c>
      <c r="AX240" s="35"/>
      <c r="AY240" s="35">
        <f t="shared" si="49"/>
        <v>0</v>
      </c>
      <c r="AZ240" s="35"/>
      <c r="BA240" s="35" t="s">
        <v>275</v>
      </c>
      <c r="BB240" s="55"/>
      <c r="BC240" s="35" t="s">
        <v>92</v>
      </c>
      <c r="BD240" s="35"/>
      <c r="BE240" s="35"/>
      <c r="BF240" s="35"/>
      <c r="BG240" s="35"/>
      <c r="BH240" s="35"/>
      <c r="BI240" s="35"/>
      <c r="BJ240" s="35"/>
      <c r="BK240" s="35"/>
      <c r="BL240" s="35"/>
      <c r="BM240" s="35">
        <f t="shared" si="50"/>
        <v>0</v>
      </c>
      <c r="BN240" s="54" t="s">
        <v>347</v>
      </c>
    </row>
    <row r="241" spans="1:67" hidden="1" x14ac:dyDescent="0.2">
      <c r="A241" s="35" t="s">
        <v>276</v>
      </c>
      <c r="C241" s="35" t="s">
        <v>38</v>
      </c>
      <c r="D241" s="35"/>
      <c r="E241" s="35">
        <f t="shared" si="47"/>
        <v>0</v>
      </c>
      <c r="F241" s="35"/>
      <c r="G241" s="35"/>
      <c r="H241" s="35"/>
      <c r="I241" s="35"/>
      <c r="J241" s="35"/>
      <c r="K241" s="35">
        <f t="shared" si="48"/>
        <v>0</v>
      </c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>
        <f t="shared" si="54"/>
        <v>0</v>
      </c>
      <c r="X241" s="35"/>
      <c r="Y241" s="35" t="s">
        <v>276</v>
      </c>
      <c r="Z241" s="55"/>
      <c r="AA241" s="35" t="s">
        <v>38</v>
      </c>
      <c r="AB241" s="35"/>
      <c r="AC241" s="35"/>
      <c r="AD241" s="35"/>
      <c r="AE241" s="35"/>
      <c r="AF241" s="35"/>
      <c r="AG241" s="35"/>
      <c r="AH241" s="35"/>
      <c r="AI241" s="45">
        <f t="shared" si="46"/>
        <v>0</v>
      </c>
      <c r="AJ241" s="45"/>
      <c r="AK241" s="35"/>
      <c r="AL241" s="35"/>
      <c r="AM241" s="35"/>
      <c r="AN241" s="35"/>
      <c r="AO241" s="35"/>
      <c r="AP241" s="35"/>
      <c r="AQ241" s="35"/>
      <c r="AR241" s="35"/>
      <c r="AS241" s="45">
        <f t="shared" si="55"/>
        <v>0</v>
      </c>
      <c r="AT241" s="45"/>
      <c r="AU241" s="35">
        <v>0</v>
      </c>
      <c r="AV241" s="35"/>
      <c r="AW241" s="35">
        <v>0</v>
      </c>
      <c r="AX241" s="35"/>
      <c r="AY241" s="35">
        <f t="shared" si="49"/>
        <v>0</v>
      </c>
      <c r="AZ241" s="35"/>
      <c r="BA241" s="35" t="s">
        <v>276</v>
      </c>
      <c r="BB241" s="55"/>
      <c r="BC241" s="35" t="s">
        <v>38</v>
      </c>
      <c r="BD241" s="35"/>
      <c r="BE241" s="35"/>
      <c r="BF241" s="35"/>
      <c r="BG241" s="35"/>
      <c r="BH241" s="35"/>
      <c r="BI241" s="35"/>
      <c r="BJ241" s="35"/>
      <c r="BK241" s="35"/>
      <c r="BL241" s="35"/>
      <c r="BM241" s="35">
        <f t="shared" si="50"/>
        <v>0</v>
      </c>
      <c r="BN241" s="54" t="s">
        <v>347</v>
      </c>
      <c r="BO241" s="35" t="s">
        <v>366</v>
      </c>
    </row>
    <row r="242" spans="1:67" hidden="1" x14ac:dyDescent="0.2">
      <c r="A242" s="35" t="s">
        <v>277</v>
      </c>
      <c r="C242" s="35" t="s">
        <v>92</v>
      </c>
      <c r="D242" s="35"/>
      <c r="E242" s="35">
        <f t="shared" si="47"/>
        <v>0</v>
      </c>
      <c r="F242" s="35"/>
      <c r="G242" s="35"/>
      <c r="H242" s="35"/>
      <c r="I242" s="35"/>
      <c r="J242" s="35"/>
      <c r="K242" s="35">
        <f t="shared" si="48"/>
        <v>0</v>
      </c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>
        <f t="shared" si="54"/>
        <v>0</v>
      </c>
      <c r="X242" s="35"/>
      <c r="Y242" s="35" t="s">
        <v>277</v>
      </c>
      <c r="Z242" s="55"/>
      <c r="AA242" s="35" t="s">
        <v>92</v>
      </c>
      <c r="AB242" s="35"/>
      <c r="AC242" s="35"/>
      <c r="AD242" s="35"/>
      <c r="AE242" s="35"/>
      <c r="AF242" s="35"/>
      <c r="AG242" s="35"/>
      <c r="AH242" s="35"/>
      <c r="AI242" s="45">
        <f t="shared" si="46"/>
        <v>0</v>
      </c>
      <c r="AJ242" s="45"/>
      <c r="AK242" s="35"/>
      <c r="AL242" s="35"/>
      <c r="AM242" s="35"/>
      <c r="AN242" s="35"/>
      <c r="AO242" s="35"/>
      <c r="AP242" s="35"/>
      <c r="AQ242" s="35"/>
      <c r="AR242" s="35"/>
      <c r="AS242" s="45">
        <f t="shared" si="55"/>
        <v>0</v>
      </c>
      <c r="AT242" s="45"/>
      <c r="AU242" s="35">
        <v>0</v>
      </c>
      <c r="AV242" s="35"/>
      <c r="AW242" s="35">
        <v>0</v>
      </c>
      <c r="AX242" s="35"/>
      <c r="AY242" s="35">
        <f t="shared" si="49"/>
        <v>0</v>
      </c>
      <c r="AZ242" s="35"/>
      <c r="BA242" s="35" t="s">
        <v>277</v>
      </c>
      <c r="BB242" s="55"/>
      <c r="BC242" s="35" t="s">
        <v>92</v>
      </c>
      <c r="BD242" s="35"/>
      <c r="BE242" s="35"/>
      <c r="BF242" s="35"/>
      <c r="BG242" s="35"/>
      <c r="BH242" s="35"/>
      <c r="BI242" s="35"/>
      <c r="BJ242" s="35"/>
      <c r="BK242" s="35"/>
      <c r="BL242" s="35"/>
      <c r="BM242" s="35">
        <f t="shared" si="50"/>
        <v>0</v>
      </c>
      <c r="BN242" s="54" t="s">
        <v>347</v>
      </c>
    </row>
    <row r="243" spans="1:67" hidden="1" x14ac:dyDescent="0.2">
      <c r="A243" s="35" t="s">
        <v>278</v>
      </c>
      <c r="C243" s="35" t="s">
        <v>92</v>
      </c>
      <c r="D243" s="35"/>
      <c r="E243" s="35">
        <f t="shared" si="47"/>
        <v>0</v>
      </c>
      <c r="F243" s="35"/>
      <c r="G243" s="35"/>
      <c r="H243" s="35"/>
      <c r="I243" s="35"/>
      <c r="J243" s="35"/>
      <c r="K243" s="35">
        <f t="shared" si="48"/>
        <v>0</v>
      </c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>
        <f t="shared" si="54"/>
        <v>0</v>
      </c>
      <c r="X243" s="35"/>
      <c r="Y243" s="35" t="s">
        <v>278</v>
      </c>
      <c r="Z243" s="55"/>
      <c r="AA243" s="35" t="s">
        <v>92</v>
      </c>
      <c r="AB243" s="35"/>
      <c r="AC243" s="35"/>
      <c r="AD243" s="35"/>
      <c r="AE243" s="35"/>
      <c r="AF243" s="35"/>
      <c r="AG243" s="35"/>
      <c r="AH243" s="35"/>
      <c r="AI243" s="45">
        <f t="shared" si="46"/>
        <v>0</v>
      </c>
      <c r="AJ243" s="45"/>
      <c r="AK243" s="35"/>
      <c r="AL243" s="35"/>
      <c r="AM243" s="35"/>
      <c r="AN243" s="35"/>
      <c r="AO243" s="35"/>
      <c r="AP243" s="35"/>
      <c r="AQ243" s="35"/>
      <c r="AR243" s="35"/>
      <c r="AS243" s="45">
        <f t="shared" si="55"/>
        <v>0</v>
      </c>
      <c r="AT243" s="45"/>
      <c r="AU243" s="35">
        <v>0</v>
      </c>
      <c r="AV243" s="35"/>
      <c r="AW243" s="35">
        <v>0</v>
      </c>
      <c r="AX243" s="35"/>
      <c r="AY243" s="35">
        <f t="shared" si="49"/>
        <v>0</v>
      </c>
      <c r="AZ243" s="35"/>
      <c r="BA243" s="35" t="s">
        <v>278</v>
      </c>
      <c r="BB243" s="55"/>
      <c r="BC243" s="35" t="s">
        <v>92</v>
      </c>
      <c r="BD243" s="35"/>
      <c r="BE243" s="35"/>
      <c r="BF243" s="35"/>
      <c r="BG243" s="35"/>
      <c r="BH243" s="35"/>
      <c r="BI243" s="35"/>
      <c r="BJ243" s="35"/>
      <c r="BK243" s="35"/>
      <c r="BL243" s="35"/>
      <c r="BM243" s="35">
        <f t="shared" si="50"/>
        <v>0</v>
      </c>
      <c r="BN243" s="54" t="s">
        <v>347</v>
      </c>
    </row>
    <row r="244" spans="1:67" hidden="1" x14ac:dyDescent="0.2">
      <c r="A244" s="35" t="s">
        <v>279</v>
      </c>
      <c r="C244" s="35" t="s">
        <v>92</v>
      </c>
      <c r="D244" s="35"/>
      <c r="E244" s="35">
        <f t="shared" si="47"/>
        <v>0</v>
      </c>
      <c r="F244" s="35"/>
      <c r="G244" s="35"/>
      <c r="H244" s="35"/>
      <c r="I244" s="35"/>
      <c r="J244" s="35"/>
      <c r="K244" s="35">
        <f t="shared" si="48"/>
        <v>0</v>
      </c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>
        <f t="shared" si="54"/>
        <v>0</v>
      </c>
      <c r="X244" s="35"/>
      <c r="Y244" s="35" t="s">
        <v>279</v>
      </c>
      <c r="Z244" s="55"/>
      <c r="AA244" s="35" t="s">
        <v>92</v>
      </c>
      <c r="AB244" s="35"/>
      <c r="AC244" s="35"/>
      <c r="AD244" s="35"/>
      <c r="AE244" s="35"/>
      <c r="AF244" s="35"/>
      <c r="AG244" s="35"/>
      <c r="AH244" s="35"/>
      <c r="AI244" s="45">
        <f t="shared" si="46"/>
        <v>0</v>
      </c>
      <c r="AJ244" s="45"/>
      <c r="AK244" s="35"/>
      <c r="AL244" s="35"/>
      <c r="AM244" s="35"/>
      <c r="AN244" s="35"/>
      <c r="AO244" s="35"/>
      <c r="AP244" s="35"/>
      <c r="AQ244" s="35"/>
      <c r="AR244" s="35"/>
      <c r="AS244" s="45">
        <f t="shared" si="55"/>
        <v>0</v>
      </c>
      <c r="AT244" s="45"/>
      <c r="AU244" s="35">
        <v>0</v>
      </c>
      <c r="AV244" s="35"/>
      <c r="AW244" s="35">
        <v>0</v>
      </c>
      <c r="AX244" s="35"/>
      <c r="AY244" s="35">
        <f t="shared" si="49"/>
        <v>0</v>
      </c>
      <c r="AZ244" s="35"/>
      <c r="BA244" s="35" t="s">
        <v>279</v>
      </c>
      <c r="BB244" s="55"/>
      <c r="BC244" s="35" t="s">
        <v>92</v>
      </c>
      <c r="BD244" s="35"/>
      <c r="BE244" s="35"/>
      <c r="BF244" s="35"/>
      <c r="BG244" s="35"/>
      <c r="BH244" s="35"/>
      <c r="BI244" s="35"/>
      <c r="BJ244" s="35"/>
      <c r="BK244" s="35"/>
      <c r="BL244" s="35"/>
      <c r="BM244" s="35">
        <f t="shared" si="50"/>
        <v>0</v>
      </c>
      <c r="BN244" s="54" t="s">
        <v>347</v>
      </c>
      <c r="BO244" s="55" t="s">
        <v>367</v>
      </c>
    </row>
    <row r="245" spans="1:67" x14ac:dyDescent="0.2">
      <c r="A245" s="35" t="s">
        <v>280</v>
      </c>
      <c r="C245" s="35" t="s">
        <v>281</v>
      </c>
      <c r="D245" s="35"/>
      <c r="E245" s="35">
        <f t="shared" si="47"/>
        <v>969087</v>
      </c>
      <c r="F245" s="35"/>
      <c r="G245" s="35">
        <v>2172743</v>
      </c>
      <c r="H245" s="35"/>
      <c r="I245" s="35">
        <v>3141830</v>
      </c>
      <c r="J245" s="35"/>
      <c r="K245" s="35">
        <f t="shared" si="48"/>
        <v>697136</v>
      </c>
      <c r="L245" s="35"/>
      <c r="M245" s="35">
        <v>3772512</v>
      </c>
      <c r="N245" s="35"/>
      <c r="O245" s="35">
        <v>4469648</v>
      </c>
      <c r="P245" s="35"/>
      <c r="Q245" s="35">
        <v>2082687</v>
      </c>
      <c r="R245" s="35"/>
      <c r="S245" s="35">
        <v>0</v>
      </c>
      <c r="T245" s="35"/>
      <c r="U245" s="35">
        <v>-3410505</v>
      </c>
      <c r="V245" s="35"/>
      <c r="W245" s="35">
        <f t="shared" si="54"/>
        <v>-1327818</v>
      </c>
      <c r="X245" s="35"/>
      <c r="Y245" s="35" t="s">
        <v>280</v>
      </c>
      <c r="Z245" s="55"/>
      <c r="AA245" s="35" t="s">
        <v>281</v>
      </c>
      <c r="AB245" s="35"/>
      <c r="AC245" s="35">
        <v>2006282</v>
      </c>
      <c r="AD245" s="35"/>
      <c r="AE245" s="35">
        <f>2090521-376627</f>
        <v>1713894</v>
      </c>
      <c r="AF245" s="35"/>
      <c r="AG245" s="35">
        <v>376627</v>
      </c>
      <c r="AH245" s="35"/>
      <c r="AI245" s="45">
        <f t="shared" si="46"/>
        <v>-84239</v>
      </c>
      <c r="AJ245" s="45"/>
      <c r="AK245" s="35">
        <v>19391</v>
      </c>
      <c r="AL245" s="35"/>
      <c r="AM245" s="35">
        <v>0</v>
      </c>
      <c r="AN245" s="35"/>
      <c r="AO245" s="35">
        <v>0</v>
      </c>
      <c r="AP245" s="35"/>
      <c r="AQ245" s="35">
        <v>0</v>
      </c>
      <c r="AR245" s="35"/>
      <c r="AS245" s="45">
        <f t="shared" si="55"/>
        <v>-64848</v>
      </c>
      <c r="AT245" s="45"/>
      <c r="AU245" s="35">
        <v>0</v>
      </c>
      <c r="AV245" s="35"/>
      <c r="AW245" s="35">
        <v>0</v>
      </c>
      <c r="AX245" s="35"/>
      <c r="AY245" s="35">
        <f t="shared" si="49"/>
        <v>271951</v>
      </c>
      <c r="AZ245" s="35"/>
      <c r="BA245" s="35" t="s">
        <v>280</v>
      </c>
      <c r="BB245" s="55"/>
      <c r="BC245" s="35" t="s">
        <v>281</v>
      </c>
      <c r="BD245" s="35"/>
      <c r="BE245" s="35">
        <v>0</v>
      </c>
      <c r="BF245" s="35"/>
      <c r="BG245" s="35">
        <v>0</v>
      </c>
      <c r="BH245" s="35"/>
      <c r="BI245" s="35">
        <v>500000</v>
      </c>
      <c r="BJ245" s="35"/>
      <c r="BK245" s="35">
        <f>37000+37412+44472+3689928+45584</f>
        <v>3854396</v>
      </c>
      <c r="BL245" s="35"/>
      <c r="BM245" s="35">
        <f t="shared" si="50"/>
        <v>4354396</v>
      </c>
      <c r="BN245" s="54" t="s">
        <v>347</v>
      </c>
      <c r="BO245" s="55" t="s">
        <v>367</v>
      </c>
    </row>
    <row r="246" spans="1:67" x14ac:dyDescent="0.2">
      <c r="A246" s="35" t="s">
        <v>282</v>
      </c>
      <c r="C246" s="35" t="s">
        <v>199</v>
      </c>
      <c r="D246" s="35"/>
      <c r="E246" s="35">
        <f t="shared" si="47"/>
        <v>691865</v>
      </c>
      <c r="F246" s="35"/>
      <c r="G246" s="35">
        <v>0</v>
      </c>
      <c r="H246" s="35"/>
      <c r="I246" s="35">
        <v>691865</v>
      </c>
      <c r="J246" s="35"/>
      <c r="K246" s="35">
        <f t="shared" si="48"/>
        <v>111018</v>
      </c>
      <c r="L246" s="35"/>
      <c r="M246" s="35">
        <v>0</v>
      </c>
      <c r="N246" s="35"/>
      <c r="O246" s="35">
        <v>111018</v>
      </c>
      <c r="P246" s="35"/>
      <c r="Q246" s="35">
        <v>0</v>
      </c>
      <c r="R246" s="35"/>
      <c r="S246" s="35">
        <v>0</v>
      </c>
      <c r="T246" s="35"/>
      <c r="U246" s="35">
        <v>580847</v>
      </c>
      <c r="V246" s="35"/>
      <c r="W246" s="35">
        <f t="shared" si="54"/>
        <v>580847</v>
      </c>
      <c r="X246" s="35"/>
      <c r="Y246" s="35" t="s">
        <v>282</v>
      </c>
      <c r="Z246" s="55"/>
      <c r="AA246" s="35" t="s">
        <v>199</v>
      </c>
      <c r="AB246" s="35"/>
      <c r="AC246" s="35">
        <v>1459747</v>
      </c>
      <c r="AD246" s="35"/>
      <c r="AE246" s="35">
        <v>1407606</v>
      </c>
      <c r="AF246" s="35"/>
      <c r="AG246" s="35">
        <v>0</v>
      </c>
      <c r="AH246" s="35"/>
      <c r="AI246" s="45">
        <f t="shared" si="46"/>
        <v>52141</v>
      </c>
      <c r="AJ246" s="45"/>
      <c r="AK246" s="35">
        <v>52889</v>
      </c>
      <c r="AL246" s="35"/>
      <c r="AM246" s="35">
        <v>0</v>
      </c>
      <c r="AN246" s="35"/>
      <c r="AO246" s="35">
        <v>0</v>
      </c>
      <c r="AP246" s="35"/>
      <c r="AQ246" s="35">
        <v>0</v>
      </c>
      <c r="AR246" s="35"/>
      <c r="AS246" s="45">
        <f t="shared" si="55"/>
        <v>105030</v>
      </c>
      <c r="AT246" s="45"/>
      <c r="AU246" s="35">
        <v>0</v>
      </c>
      <c r="AV246" s="35"/>
      <c r="AW246" s="35">
        <v>0</v>
      </c>
      <c r="AX246" s="35"/>
      <c r="AY246" s="35">
        <f t="shared" si="49"/>
        <v>580847</v>
      </c>
      <c r="AZ246" s="35"/>
      <c r="BA246" s="35" t="s">
        <v>282</v>
      </c>
      <c r="BB246" s="55"/>
      <c r="BC246" s="35" t="s">
        <v>199</v>
      </c>
      <c r="BD246" s="35"/>
      <c r="BE246" s="35">
        <v>0</v>
      </c>
      <c r="BF246" s="35"/>
      <c r="BG246" s="35">
        <v>0</v>
      </c>
      <c r="BH246" s="35"/>
      <c r="BI246" s="35">
        <v>0</v>
      </c>
      <c r="BJ246" s="35"/>
      <c r="BK246" s="35">
        <v>0</v>
      </c>
      <c r="BL246" s="35"/>
      <c r="BM246" s="35">
        <f t="shared" si="50"/>
        <v>0</v>
      </c>
      <c r="BN246" s="54" t="s">
        <v>347</v>
      </c>
    </row>
    <row r="247" spans="1:67" hidden="1" x14ac:dyDescent="0.2">
      <c r="A247" s="35" t="s">
        <v>283</v>
      </c>
      <c r="C247" s="35" t="s">
        <v>43</v>
      </c>
      <c r="D247" s="35"/>
      <c r="E247" s="35">
        <f t="shared" si="47"/>
        <v>0</v>
      </c>
      <c r="F247" s="35"/>
      <c r="G247" s="35"/>
      <c r="H247" s="35"/>
      <c r="I247" s="35"/>
      <c r="J247" s="35"/>
      <c r="K247" s="35">
        <f t="shared" si="48"/>
        <v>0</v>
      </c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>
        <f t="shared" si="54"/>
        <v>0</v>
      </c>
      <c r="X247" s="35"/>
      <c r="Y247" s="35" t="s">
        <v>283</v>
      </c>
      <c r="Z247" s="55"/>
      <c r="AA247" s="35" t="s">
        <v>43</v>
      </c>
      <c r="AB247" s="35"/>
      <c r="AC247" s="35"/>
      <c r="AD247" s="35"/>
      <c r="AE247" s="35"/>
      <c r="AF247" s="35"/>
      <c r="AG247" s="35"/>
      <c r="AH247" s="35"/>
      <c r="AI247" s="45">
        <f t="shared" si="46"/>
        <v>0</v>
      </c>
      <c r="AJ247" s="45"/>
      <c r="AK247" s="35"/>
      <c r="AL247" s="35"/>
      <c r="AM247" s="35"/>
      <c r="AN247" s="35"/>
      <c r="AO247" s="35"/>
      <c r="AP247" s="35"/>
      <c r="AQ247" s="35"/>
      <c r="AR247" s="35"/>
      <c r="AS247" s="45">
        <f t="shared" si="55"/>
        <v>0</v>
      </c>
      <c r="AT247" s="45"/>
      <c r="AU247" s="35">
        <v>0</v>
      </c>
      <c r="AV247" s="35"/>
      <c r="AW247" s="35">
        <v>0</v>
      </c>
      <c r="AX247" s="35"/>
      <c r="AY247" s="35">
        <f t="shared" si="49"/>
        <v>0</v>
      </c>
      <c r="AZ247" s="35"/>
      <c r="BA247" s="35" t="s">
        <v>283</v>
      </c>
      <c r="BB247" s="55"/>
      <c r="BC247" s="35" t="s">
        <v>43</v>
      </c>
      <c r="BD247" s="35"/>
      <c r="BE247" s="35"/>
      <c r="BF247" s="35"/>
      <c r="BG247" s="35"/>
      <c r="BH247" s="35"/>
      <c r="BI247" s="35"/>
      <c r="BJ247" s="35"/>
      <c r="BK247" s="35"/>
      <c r="BL247" s="35"/>
      <c r="BM247" s="35">
        <f t="shared" si="50"/>
        <v>0</v>
      </c>
      <c r="BN247" s="54" t="s">
        <v>347</v>
      </c>
      <c r="BO247" s="55" t="s">
        <v>367</v>
      </c>
    </row>
    <row r="248" spans="1:67" hidden="1" x14ac:dyDescent="0.2">
      <c r="A248" s="35" t="s">
        <v>284</v>
      </c>
      <c r="C248" s="35" t="s">
        <v>45</v>
      </c>
      <c r="D248" s="35"/>
      <c r="E248" s="35">
        <f t="shared" si="47"/>
        <v>0</v>
      </c>
      <c r="F248" s="35"/>
      <c r="G248" s="35"/>
      <c r="H248" s="35"/>
      <c r="I248" s="35"/>
      <c r="J248" s="35"/>
      <c r="K248" s="35">
        <f t="shared" si="48"/>
        <v>0</v>
      </c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>
        <f t="shared" si="54"/>
        <v>0</v>
      </c>
      <c r="X248" s="35"/>
      <c r="Y248" s="35" t="s">
        <v>284</v>
      </c>
      <c r="Z248" s="55"/>
      <c r="AA248" s="35" t="s">
        <v>45</v>
      </c>
      <c r="AB248" s="35"/>
      <c r="AC248" s="35"/>
      <c r="AD248" s="35"/>
      <c r="AE248" s="35"/>
      <c r="AF248" s="35"/>
      <c r="AG248" s="35"/>
      <c r="AH248" s="35"/>
      <c r="AI248" s="45">
        <f t="shared" si="46"/>
        <v>0</v>
      </c>
      <c r="AJ248" s="45"/>
      <c r="AK248" s="35"/>
      <c r="AL248" s="35"/>
      <c r="AM248" s="35"/>
      <c r="AN248" s="35"/>
      <c r="AO248" s="35"/>
      <c r="AP248" s="35"/>
      <c r="AQ248" s="35"/>
      <c r="AR248" s="35"/>
      <c r="AS248" s="45">
        <f t="shared" si="55"/>
        <v>0</v>
      </c>
      <c r="AT248" s="45"/>
      <c r="AU248" s="35">
        <v>0</v>
      </c>
      <c r="AV248" s="35"/>
      <c r="AW248" s="35">
        <v>0</v>
      </c>
      <c r="AX248" s="35"/>
      <c r="AY248" s="35">
        <f t="shared" si="49"/>
        <v>0</v>
      </c>
      <c r="AZ248" s="35"/>
      <c r="BA248" s="35" t="s">
        <v>284</v>
      </c>
      <c r="BB248" s="55"/>
      <c r="BC248" s="35" t="s">
        <v>45</v>
      </c>
      <c r="BD248" s="35"/>
      <c r="BE248" s="35"/>
      <c r="BF248" s="35"/>
      <c r="BG248" s="35"/>
      <c r="BH248" s="35"/>
      <c r="BI248" s="35"/>
      <c r="BJ248" s="35"/>
      <c r="BK248" s="35"/>
      <c r="BL248" s="35"/>
      <c r="BM248" s="35">
        <f t="shared" si="50"/>
        <v>0</v>
      </c>
      <c r="BN248" s="54" t="s">
        <v>347</v>
      </c>
    </row>
    <row r="249" spans="1:67" x14ac:dyDescent="0.2">
      <c r="A249" s="35" t="s">
        <v>285</v>
      </c>
      <c r="C249" s="35" t="s">
        <v>30</v>
      </c>
      <c r="D249" s="35"/>
      <c r="E249" s="35">
        <f t="shared" si="47"/>
        <v>2223505</v>
      </c>
      <c r="F249" s="35"/>
      <c r="G249" s="35">
        <v>89088</v>
      </c>
      <c r="H249" s="35"/>
      <c r="I249" s="35">
        <v>2312593</v>
      </c>
      <c r="J249" s="35"/>
      <c r="K249" s="35">
        <f t="shared" si="48"/>
        <v>269760</v>
      </c>
      <c r="L249" s="35"/>
      <c r="M249" s="35">
        <v>963213</v>
      </c>
      <c r="N249" s="35"/>
      <c r="O249" s="35">
        <v>1232973</v>
      </c>
      <c r="P249" s="35"/>
      <c r="Q249" s="35">
        <v>89088</v>
      </c>
      <c r="R249" s="35"/>
      <c r="S249" s="35">
        <v>5585</v>
      </c>
      <c r="T249" s="35"/>
      <c r="U249" s="35">
        <v>984947</v>
      </c>
      <c r="V249" s="35"/>
      <c r="W249" s="35">
        <f t="shared" ref="W249" si="56">SUM(Q249:U249)</f>
        <v>1079620</v>
      </c>
      <c r="X249" s="35"/>
      <c r="Y249" s="35" t="s">
        <v>285</v>
      </c>
      <c r="Z249" s="55"/>
      <c r="AA249" s="35" t="s">
        <v>30</v>
      </c>
      <c r="AB249" s="35"/>
      <c r="AC249" s="35">
        <v>1844712</v>
      </c>
      <c r="AD249" s="35"/>
      <c r="AE249" s="35">
        <f>1633880-6853</f>
        <v>1627027</v>
      </c>
      <c r="AF249" s="35"/>
      <c r="AG249" s="35">
        <v>6853</v>
      </c>
      <c r="AH249" s="35"/>
      <c r="AI249" s="45">
        <f t="shared" si="46"/>
        <v>210832</v>
      </c>
      <c r="AJ249" s="45"/>
      <c r="AK249" s="35">
        <f>167353-11</f>
        <v>167342</v>
      </c>
      <c r="AL249" s="35"/>
      <c r="AM249" s="35">
        <v>0</v>
      </c>
      <c r="AN249" s="35"/>
      <c r="AO249" s="35">
        <v>0</v>
      </c>
      <c r="AP249" s="35"/>
      <c r="AQ249" s="35">
        <v>0</v>
      </c>
      <c r="AR249" s="35"/>
      <c r="AS249" s="45">
        <f t="shared" si="55"/>
        <v>378174</v>
      </c>
      <c r="AT249" s="45"/>
      <c r="AU249" s="35">
        <v>0</v>
      </c>
      <c r="AV249" s="35"/>
      <c r="AW249" s="35">
        <v>0</v>
      </c>
      <c r="AX249" s="35"/>
      <c r="AY249" s="35">
        <f t="shared" si="49"/>
        <v>1953745</v>
      </c>
      <c r="AZ249" s="35"/>
      <c r="BA249" s="35" t="s">
        <v>285</v>
      </c>
      <c r="BB249" s="55"/>
      <c r="BC249" s="35" t="s">
        <v>30</v>
      </c>
      <c r="BD249" s="35"/>
      <c r="BE249" s="35">
        <f>5079+506</f>
        <v>5585</v>
      </c>
      <c r="BF249" s="35"/>
      <c r="BG249" s="35">
        <v>0</v>
      </c>
      <c r="BH249" s="35"/>
      <c r="BI249" s="35">
        <v>0</v>
      </c>
      <c r="BJ249" s="35"/>
      <c r="BK249" s="35">
        <f>911638+45000+46496+48873</f>
        <v>1052007</v>
      </c>
      <c r="BL249" s="35"/>
      <c r="BM249" s="35">
        <f t="shared" ref="BM249" si="57">SUM(BE249:BK249)</f>
        <v>1057592</v>
      </c>
      <c r="BN249" s="54" t="s">
        <v>347</v>
      </c>
    </row>
    <row r="250" spans="1:67" x14ac:dyDescent="0.2">
      <c r="A250" s="35" t="s">
        <v>287</v>
      </c>
      <c r="B250" s="65"/>
      <c r="C250" s="35" t="s">
        <v>288</v>
      </c>
      <c r="D250" s="35"/>
      <c r="E250" s="35">
        <f t="shared" si="47"/>
        <v>653184</v>
      </c>
      <c r="F250" s="35"/>
      <c r="G250" s="35">
        <v>168512</v>
      </c>
      <c r="H250" s="35"/>
      <c r="I250" s="35">
        <v>821696</v>
      </c>
      <c r="J250" s="35"/>
      <c r="K250" s="35">
        <f t="shared" si="48"/>
        <v>154970</v>
      </c>
      <c r="L250" s="35"/>
      <c r="M250" s="35">
        <v>18131</v>
      </c>
      <c r="N250" s="35"/>
      <c r="O250" s="35">
        <v>173101</v>
      </c>
      <c r="P250" s="35"/>
      <c r="Q250" s="35">
        <v>168512</v>
      </c>
      <c r="R250" s="35"/>
      <c r="S250" s="35">
        <v>0</v>
      </c>
      <c r="T250" s="35"/>
      <c r="U250" s="35">
        <v>480083</v>
      </c>
      <c r="V250" s="35"/>
      <c r="W250" s="35">
        <f t="shared" si="54"/>
        <v>648595</v>
      </c>
      <c r="X250" s="35"/>
      <c r="Y250" s="35" t="s">
        <v>287</v>
      </c>
      <c r="Z250" s="65"/>
      <c r="AA250" s="35" t="s">
        <v>288</v>
      </c>
      <c r="AB250" s="35"/>
      <c r="AC250" s="35">
        <v>1619703</v>
      </c>
      <c r="AD250" s="35"/>
      <c r="AE250" s="35">
        <f>1589405-49508</f>
        <v>1539897</v>
      </c>
      <c r="AF250" s="35"/>
      <c r="AG250" s="35">
        <v>49508</v>
      </c>
      <c r="AH250" s="35"/>
      <c r="AI250" s="45">
        <f t="shared" si="46"/>
        <v>30298</v>
      </c>
      <c r="AJ250" s="45"/>
      <c r="AK250" s="35">
        <v>4467</v>
      </c>
      <c r="AL250" s="35"/>
      <c r="AM250" s="35">
        <v>60895</v>
      </c>
      <c r="AN250" s="35"/>
      <c r="AO250" s="35">
        <v>0</v>
      </c>
      <c r="AP250" s="35"/>
      <c r="AQ250" s="35">
        <v>0</v>
      </c>
      <c r="AR250" s="35"/>
      <c r="AS250" s="45">
        <f t="shared" si="55"/>
        <v>95660</v>
      </c>
      <c r="AT250" s="45"/>
      <c r="AU250" s="35">
        <v>0</v>
      </c>
      <c r="AV250" s="35"/>
      <c r="AW250" s="35">
        <v>0</v>
      </c>
      <c r="AX250" s="35"/>
      <c r="AY250" s="35">
        <f t="shared" si="49"/>
        <v>498214</v>
      </c>
      <c r="AZ250" s="35"/>
      <c r="BA250" s="35" t="s">
        <v>287</v>
      </c>
      <c r="BB250" s="65"/>
      <c r="BC250" s="35" t="s">
        <v>288</v>
      </c>
      <c r="BD250" s="35"/>
      <c r="BE250" s="35">
        <v>0</v>
      </c>
      <c r="BF250" s="35"/>
      <c r="BG250" s="35">
        <v>0</v>
      </c>
      <c r="BH250" s="35"/>
      <c r="BI250" s="35">
        <v>0</v>
      </c>
      <c r="BJ250" s="35"/>
      <c r="BK250" s="35">
        <f>18131+68015</f>
        <v>86146</v>
      </c>
      <c r="BL250" s="35"/>
      <c r="BM250" s="35">
        <f t="shared" si="50"/>
        <v>86146</v>
      </c>
      <c r="BN250" s="54" t="s">
        <v>347</v>
      </c>
    </row>
    <row r="251" spans="1:67" x14ac:dyDescent="0.2"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5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B251" s="5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</row>
    <row r="252" spans="1:67" x14ac:dyDescent="0.2"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5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B252" s="5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</row>
    <row r="253" spans="1:67" x14ac:dyDescent="0.2"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5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B253" s="5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</row>
    <row r="254" spans="1:67" x14ac:dyDescent="0.2"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5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B254" s="5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</row>
    <row r="255" spans="1:67" x14ac:dyDescent="0.2"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5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B255" s="5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</row>
    <row r="256" spans="1:67" x14ac:dyDescent="0.2"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5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B256" s="5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</row>
    <row r="257" spans="5:66" x14ac:dyDescent="0.2"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5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B257" s="5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</row>
    <row r="258" spans="5:66" x14ac:dyDescent="0.2"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5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B258" s="5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</row>
    <row r="259" spans="5:66" x14ac:dyDescent="0.2"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5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B259" s="5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</row>
    <row r="260" spans="5:66" x14ac:dyDescent="0.2"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5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B260" s="5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</row>
    <row r="261" spans="5:66" x14ac:dyDescent="0.2"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5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B261" s="5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</row>
    <row r="262" spans="5:66" x14ac:dyDescent="0.2"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5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B262" s="5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</row>
    <row r="263" spans="5:66" x14ac:dyDescent="0.2"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5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B263" s="5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</row>
    <row r="264" spans="5:66" x14ac:dyDescent="0.2"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5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B264" s="5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</row>
    <row r="265" spans="5:66" x14ac:dyDescent="0.2"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5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B265" s="5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</row>
    <row r="266" spans="5:66" x14ac:dyDescent="0.2"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5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B266" s="5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</row>
    <row r="267" spans="5:66" x14ac:dyDescent="0.2"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5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B267" s="5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</row>
    <row r="268" spans="5:66" x14ac:dyDescent="0.2"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5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B268" s="5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</row>
    <row r="269" spans="5:66" x14ac:dyDescent="0.2"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5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B269" s="5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</row>
    <row r="270" spans="5:66" x14ac:dyDescent="0.2"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Z270" s="5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B270" s="5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</row>
    <row r="271" spans="5:66" x14ac:dyDescent="0.2">
      <c r="Z271" s="55"/>
      <c r="BB271" s="55"/>
      <c r="BE271" s="45"/>
      <c r="BG271" s="45"/>
      <c r="BI271" s="45"/>
      <c r="BK271" s="45"/>
    </row>
    <row r="272" spans="5:66" x14ac:dyDescent="0.2">
      <c r="Z272" s="55"/>
      <c r="BB272" s="55"/>
      <c r="BE272" s="45"/>
      <c r="BG272" s="45"/>
      <c r="BI272" s="45"/>
      <c r="BK272" s="45"/>
    </row>
    <row r="273" spans="26:63" x14ac:dyDescent="0.2">
      <c r="Z273" s="55"/>
      <c r="BB273" s="55"/>
      <c r="BE273" s="45"/>
      <c r="BG273" s="45"/>
      <c r="BI273" s="45"/>
      <c r="BK273" s="45"/>
    </row>
    <row r="274" spans="26:63" x14ac:dyDescent="0.2">
      <c r="Z274" s="55"/>
      <c r="BB274" s="55"/>
      <c r="BE274" s="45"/>
      <c r="BG274" s="45"/>
      <c r="BI274" s="45"/>
      <c r="BK274" s="45"/>
    </row>
    <row r="275" spans="26:63" x14ac:dyDescent="0.2">
      <c r="Z275" s="55"/>
      <c r="BB275" s="55"/>
      <c r="BE275" s="45"/>
      <c r="BG275" s="45"/>
      <c r="BI275" s="45"/>
      <c r="BK275" s="45"/>
    </row>
    <row r="276" spans="26:63" x14ac:dyDescent="0.2">
      <c r="Z276" s="55"/>
      <c r="BB276" s="55"/>
      <c r="BE276" s="45"/>
      <c r="BG276" s="45"/>
      <c r="BI276" s="45"/>
      <c r="BK276" s="45"/>
    </row>
    <row r="277" spans="26:63" x14ac:dyDescent="0.2">
      <c r="Z277" s="55"/>
      <c r="BB277" s="55"/>
      <c r="BE277" s="45"/>
      <c r="BG277" s="45"/>
      <c r="BI277" s="45"/>
      <c r="BK277" s="45"/>
    </row>
    <row r="278" spans="26:63" x14ac:dyDescent="0.2">
      <c r="Z278" s="55"/>
      <c r="BB278" s="55"/>
      <c r="BE278" s="45"/>
      <c r="BG278" s="45"/>
      <c r="BI278" s="45"/>
      <c r="BK278" s="45"/>
    </row>
    <row r="279" spans="26:63" x14ac:dyDescent="0.2">
      <c r="Z279" s="55"/>
      <c r="BB279" s="55"/>
      <c r="BE279" s="45"/>
      <c r="BG279" s="45"/>
      <c r="BI279" s="45"/>
      <c r="BK279" s="45"/>
    </row>
    <row r="280" spans="26:63" x14ac:dyDescent="0.2">
      <c r="Z280" s="55"/>
      <c r="BB280" s="55"/>
      <c r="BE280" s="45"/>
      <c r="BG280" s="45"/>
      <c r="BI280" s="45"/>
      <c r="BK280" s="45"/>
    </row>
    <row r="281" spans="26:63" x14ac:dyDescent="0.2">
      <c r="Z281" s="55"/>
      <c r="BB281" s="55"/>
      <c r="BE281" s="45"/>
      <c r="BG281" s="45"/>
      <c r="BI281" s="45"/>
      <c r="BK281" s="45"/>
    </row>
    <row r="282" spans="26:63" x14ac:dyDescent="0.2">
      <c r="Z282" s="55"/>
      <c r="BB282" s="55"/>
      <c r="BE282" s="45"/>
      <c r="BG282" s="45"/>
      <c r="BI282" s="45"/>
      <c r="BK282" s="45"/>
    </row>
    <row r="283" spans="26:63" x14ac:dyDescent="0.2">
      <c r="Z283" s="55"/>
      <c r="BB283" s="55"/>
      <c r="BE283" s="45"/>
      <c r="BG283" s="45"/>
      <c r="BI283" s="45"/>
      <c r="BK283" s="45"/>
    </row>
    <row r="284" spans="26:63" x14ac:dyDescent="0.2">
      <c r="Z284" s="55"/>
      <c r="BB284" s="55"/>
      <c r="BE284" s="45"/>
      <c r="BG284" s="45"/>
      <c r="BI284" s="45"/>
      <c r="BK284" s="45"/>
    </row>
    <row r="285" spans="26:63" x14ac:dyDescent="0.2">
      <c r="Z285" s="55"/>
      <c r="BB285" s="55"/>
      <c r="BE285" s="45"/>
      <c r="BG285" s="45"/>
      <c r="BI285" s="45"/>
      <c r="BK285" s="45"/>
    </row>
    <row r="286" spans="26:63" x14ac:dyDescent="0.2">
      <c r="Z286" s="55"/>
      <c r="BB286" s="55"/>
      <c r="BE286" s="45"/>
      <c r="BG286" s="45"/>
      <c r="BI286" s="45"/>
      <c r="BK286" s="45"/>
    </row>
    <row r="287" spans="26:63" x14ac:dyDescent="0.2">
      <c r="Z287" s="55"/>
      <c r="BB287" s="55"/>
      <c r="BE287" s="45"/>
      <c r="BG287" s="45"/>
      <c r="BI287" s="45"/>
      <c r="BK287" s="45"/>
    </row>
    <row r="288" spans="26:63" x14ac:dyDescent="0.2">
      <c r="Z288" s="55"/>
      <c r="BB288" s="55"/>
      <c r="BE288" s="45"/>
      <c r="BG288" s="45"/>
      <c r="BI288" s="45"/>
      <c r="BK288" s="45"/>
    </row>
    <row r="289" spans="26:63" x14ac:dyDescent="0.2">
      <c r="Z289" s="55"/>
      <c r="BB289" s="55"/>
      <c r="BE289" s="45"/>
      <c r="BG289" s="45"/>
      <c r="BI289" s="45"/>
      <c r="BK289" s="45"/>
    </row>
    <row r="290" spans="26:63" x14ac:dyDescent="0.2">
      <c r="Z290" s="55"/>
      <c r="BB290" s="55"/>
      <c r="BE290" s="45"/>
      <c r="BG290" s="45"/>
      <c r="BI290" s="45"/>
      <c r="BK290" s="45"/>
    </row>
    <row r="291" spans="26:63" x14ac:dyDescent="0.2">
      <c r="Z291" s="55"/>
      <c r="BB291" s="55"/>
      <c r="BE291" s="45"/>
      <c r="BG291" s="45"/>
      <c r="BI291" s="45"/>
      <c r="BK291" s="45"/>
    </row>
    <row r="292" spans="26:63" x14ac:dyDescent="0.2">
      <c r="Z292" s="55"/>
      <c r="BB292" s="55"/>
      <c r="BE292" s="45"/>
      <c r="BG292" s="45"/>
      <c r="BI292" s="45"/>
      <c r="BK292" s="45"/>
    </row>
    <row r="293" spans="26:63" x14ac:dyDescent="0.2">
      <c r="Z293" s="55"/>
      <c r="BB293" s="55"/>
      <c r="BE293" s="45"/>
      <c r="BG293" s="45"/>
      <c r="BI293" s="45"/>
      <c r="BK293" s="45"/>
    </row>
    <row r="294" spans="26:63" x14ac:dyDescent="0.2">
      <c r="Z294" s="55"/>
      <c r="BB294" s="55"/>
      <c r="BE294" s="45"/>
      <c r="BG294" s="45"/>
      <c r="BI294" s="45"/>
      <c r="BK294" s="45"/>
    </row>
    <row r="295" spans="26:63" x14ac:dyDescent="0.2">
      <c r="Z295" s="55"/>
      <c r="BB295" s="55"/>
      <c r="BE295" s="45"/>
      <c r="BG295" s="45"/>
      <c r="BI295" s="45"/>
      <c r="BK295" s="45"/>
    </row>
    <row r="296" spans="26:63" x14ac:dyDescent="0.2">
      <c r="Z296" s="55"/>
      <c r="BB296" s="55"/>
      <c r="BE296" s="45"/>
      <c r="BG296" s="45"/>
      <c r="BI296" s="45"/>
      <c r="BK296" s="45"/>
    </row>
    <row r="297" spans="26:63" x14ac:dyDescent="0.2">
      <c r="Z297" s="55"/>
      <c r="BB297" s="55"/>
      <c r="BE297" s="45"/>
      <c r="BG297" s="45"/>
      <c r="BI297" s="45"/>
      <c r="BK297" s="45"/>
    </row>
    <row r="298" spans="26:63" x14ac:dyDescent="0.2">
      <c r="Z298" s="55"/>
      <c r="BB298" s="55"/>
      <c r="BE298" s="45"/>
      <c r="BG298" s="45"/>
      <c r="BI298" s="45"/>
      <c r="BK298" s="45"/>
    </row>
    <row r="299" spans="26:63" x14ac:dyDescent="0.2">
      <c r="Z299" s="55"/>
      <c r="BB299" s="55"/>
      <c r="BE299" s="45"/>
      <c r="BG299" s="45"/>
      <c r="BI299" s="45"/>
      <c r="BK299" s="45"/>
    </row>
    <row r="300" spans="26:63" x14ac:dyDescent="0.2">
      <c r="Z300" s="55"/>
      <c r="BB300" s="55"/>
      <c r="BE300" s="45"/>
      <c r="BG300" s="45"/>
      <c r="BI300" s="45"/>
      <c r="BK300" s="45"/>
    </row>
    <row r="301" spans="26:63" x14ac:dyDescent="0.2">
      <c r="Z301" s="55"/>
      <c r="BB301" s="55"/>
      <c r="BE301" s="45"/>
      <c r="BG301" s="45"/>
      <c r="BI301" s="45"/>
      <c r="BK301" s="45"/>
    </row>
    <row r="302" spans="26:63" x14ac:dyDescent="0.2">
      <c r="Z302" s="55"/>
      <c r="BB302" s="55"/>
      <c r="BE302" s="45"/>
      <c r="BG302" s="45"/>
      <c r="BI302" s="45"/>
      <c r="BK302" s="45"/>
    </row>
    <row r="303" spans="26:63" x14ac:dyDescent="0.2">
      <c r="Z303" s="55"/>
      <c r="BB303" s="55"/>
      <c r="BE303" s="45"/>
      <c r="BG303" s="45"/>
      <c r="BI303" s="45"/>
      <c r="BK303" s="45"/>
    </row>
    <row r="304" spans="26:63" x14ac:dyDescent="0.2">
      <c r="Z304" s="55"/>
      <c r="BB304" s="55"/>
      <c r="BE304" s="45"/>
      <c r="BG304" s="45"/>
      <c r="BI304" s="45"/>
      <c r="BK304" s="45"/>
    </row>
    <row r="305" spans="26:63" x14ac:dyDescent="0.2">
      <c r="Z305" s="55"/>
      <c r="BB305" s="55"/>
      <c r="BE305" s="45"/>
      <c r="BG305" s="45"/>
      <c r="BI305" s="45"/>
      <c r="BK305" s="45"/>
    </row>
    <row r="306" spans="26:63" x14ac:dyDescent="0.2">
      <c r="Z306" s="55"/>
      <c r="BB306" s="55"/>
      <c r="BE306" s="45"/>
      <c r="BG306" s="45"/>
      <c r="BI306" s="45"/>
      <c r="BK306" s="45"/>
    </row>
    <row r="307" spans="26:63" x14ac:dyDescent="0.2">
      <c r="Z307" s="55"/>
      <c r="BB307" s="55"/>
      <c r="BE307" s="45"/>
      <c r="BG307" s="45"/>
      <c r="BI307" s="45"/>
      <c r="BK307" s="45"/>
    </row>
    <row r="308" spans="26:63" x14ac:dyDescent="0.2">
      <c r="Z308" s="55"/>
      <c r="BB308" s="55"/>
      <c r="BE308" s="45"/>
      <c r="BG308" s="45"/>
      <c r="BI308" s="45"/>
      <c r="BK308" s="45"/>
    </row>
    <row r="309" spans="26:63" x14ac:dyDescent="0.2">
      <c r="Z309" s="55"/>
      <c r="BB309" s="55"/>
      <c r="BE309" s="45"/>
      <c r="BG309" s="45"/>
      <c r="BI309" s="45"/>
      <c r="BK309" s="45"/>
    </row>
    <row r="310" spans="26:63" x14ac:dyDescent="0.2">
      <c r="Z310" s="55"/>
      <c r="BB310" s="55"/>
      <c r="BE310" s="45"/>
      <c r="BG310" s="45"/>
      <c r="BI310" s="45"/>
      <c r="BK310" s="45"/>
    </row>
    <row r="311" spans="26:63" x14ac:dyDescent="0.2">
      <c r="Z311" s="55"/>
      <c r="BB311" s="55"/>
      <c r="BE311" s="45"/>
      <c r="BG311" s="45"/>
      <c r="BI311" s="45"/>
      <c r="BK311" s="45"/>
    </row>
    <row r="312" spans="26:63" x14ac:dyDescent="0.2">
      <c r="Z312" s="55"/>
      <c r="BB312" s="55"/>
    </row>
    <row r="313" spans="26:63" x14ac:dyDescent="0.2">
      <c r="Z313" s="55"/>
      <c r="BB313" s="55"/>
    </row>
    <row r="314" spans="26:63" x14ac:dyDescent="0.2">
      <c r="Z314" s="55"/>
      <c r="BB314" s="55"/>
    </row>
    <row r="315" spans="26:63" x14ac:dyDescent="0.2">
      <c r="Z315" s="55"/>
      <c r="BB315" s="55"/>
    </row>
  </sheetData>
  <mergeCells count="1">
    <mergeCell ref="Q6:U6"/>
  </mergeCells>
  <pageMargins left="0.7" right="0.7" top="0.75" bottom="0.75" header="0.3" footer="0.3"/>
  <pageSetup scale="73" firstPageNumber="114" orientation="portrait" useFirstPageNumber="1" r:id="rId1"/>
  <headerFooter>
    <oddFooter>&amp;C&amp;P</oddFooter>
  </headerFooter>
  <colBreaks count="2" manualBreakCount="2">
    <brk id="14" min="13" max="249" man="1"/>
    <brk id="38" min="13" max="2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2"/>
  <sheetViews>
    <sheetView view="pageBreakPreview" zoomScale="80" zoomScaleNormal="100" zoomScaleSheetLayoutView="80" workbookViewId="0">
      <pane xSplit="3" ySplit="8" topLeftCell="I9" activePane="bottomRight" state="frozen"/>
      <selection pane="topRight" activeCell="D1" sqref="D1"/>
      <selection pane="bottomLeft" activeCell="A11" sqref="A11"/>
      <selection pane="bottomRight" activeCell="S32" sqref="S32"/>
    </sheetView>
  </sheetViews>
  <sheetFormatPr defaultColWidth="9.140625" defaultRowHeight="12.75" customHeight="1" x14ac:dyDescent="0.2"/>
  <cols>
    <col min="1" max="1" width="23" style="10" customWidth="1"/>
    <col min="2" max="2" width="1.7109375" style="10" customWidth="1"/>
    <col min="3" max="3" width="11" style="10" customWidth="1"/>
    <col min="4" max="4" width="1.7109375" style="10" customWidth="1"/>
    <col min="5" max="5" width="12.42578125" style="10" bestFit="1" customWidth="1"/>
    <col min="6" max="6" width="1.7109375" style="10" customWidth="1"/>
    <col min="7" max="7" width="12.5703125" style="10" customWidth="1"/>
    <col min="8" max="8" width="1.7109375" style="10" customWidth="1"/>
    <col min="9" max="9" width="12.42578125" style="10" bestFit="1" customWidth="1"/>
    <col min="10" max="10" width="2.7109375" style="10" customWidth="1"/>
    <col min="11" max="11" width="12.140625" style="10" bestFit="1" customWidth="1"/>
    <col min="12" max="12" width="1.7109375" style="10" customWidth="1"/>
    <col min="13" max="13" width="13.140625" style="10" bestFit="1" customWidth="1"/>
    <col min="14" max="14" width="1.7109375" style="10" customWidth="1"/>
    <col min="15" max="15" width="11.7109375" style="10" customWidth="1"/>
    <col min="16" max="16" width="1.7109375" style="10" customWidth="1"/>
    <col min="17" max="17" width="11.7109375" style="10" customWidth="1"/>
    <col min="18" max="18" width="1.7109375" style="10" customWidth="1"/>
    <col min="19" max="19" width="11.7109375" style="10" customWidth="1"/>
    <col min="20" max="20" width="1.7109375" style="10" customWidth="1"/>
    <col min="21" max="21" width="11.7109375" style="10" customWidth="1"/>
    <col min="22" max="22" width="1" style="10" customWidth="1"/>
    <col min="23" max="23" width="12.42578125" style="10" customWidth="1"/>
    <col min="24" max="24" width="1.7109375" style="10" customWidth="1"/>
    <col min="25" max="25" width="11.28515625" style="10" bestFit="1" customWidth="1"/>
    <col min="26" max="26" width="1.7109375" style="10" customWidth="1"/>
    <col min="27" max="27" width="13.140625" style="10" bestFit="1" customWidth="1"/>
    <col min="28" max="28" width="2.7109375" style="10" customWidth="1"/>
    <col min="29" max="29" width="13.5703125" style="10" bestFit="1" customWidth="1"/>
    <col min="30" max="30" width="9.5703125" style="10" bestFit="1" customWidth="1"/>
    <col min="31" max="31" width="11" style="10" bestFit="1" customWidth="1"/>
    <col min="32" max="16384" width="9.140625" style="10"/>
  </cols>
  <sheetData>
    <row r="1" spans="1:30" ht="12.75" customHeight="1" x14ac:dyDescent="0.2">
      <c r="A1" s="9" t="s">
        <v>384</v>
      </c>
    </row>
    <row r="2" spans="1:30" ht="12.75" customHeight="1" x14ac:dyDescent="0.2">
      <c r="A2" s="9" t="s">
        <v>501</v>
      </c>
    </row>
    <row r="3" spans="1:30" ht="12.75" customHeight="1" x14ac:dyDescent="0.2">
      <c r="A3" s="9" t="s">
        <v>289</v>
      </c>
    </row>
    <row r="4" spans="1:30" ht="12.75" customHeight="1" x14ac:dyDescent="0.2">
      <c r="A4" s="80" t="s">
        <v>484</v>
      </c>
    </row>
    <row r="5" spans="1:30" ht="12.75" customHeight="1" x14ac:dyDescent="0.2">
      <c r="E5" s="13" t="s">
        <v>291</v>
      </c>
      <c r="F5" s="13"/>
      <c r="G5" s="13"/>
      <c r="H5" s="13"/>
      <c r="I5" s="13"/>
      <c r="K5" s="157" t="s">
        <v>470</v>
      </c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56"/>
      <c r="W5" s="15"/>
      <c r="X5" s="14"/>
      <c r="Y5" s="14"/>
      <c r="Z5" s="14"/>
      <c r="AA5" s="15" t="s">
        <v>425</v>
      </c>
      <c r="AC5" s="15" t="s">
        <v>426</v>
      </c>
    </row>
    <row r="6" spans="1:30" ht="12.75" customHeight="1" x14ac:dyDescent="0.2">
      <c r="G6" s="12" t="s">
        <v>399</v>
      </c>
      <c r="V6" s="19"/>
      <c r="W6" s="18"/>
      <c r="AA6" s="15" t="s">
        <v>444</v>
      </c>
      <c r="AC6" s="15" t="s">
        <v>444</v>
      </c>
    </row>
    <row r="7" spans="1:30" ht="12.75" customHeight="1" x14ac:dyDescent="0.2">
      <c r="A7" s="11"/>
      <c r="C7" s="11"/>
      <c r="D7" s="11"/>
      <c r="E7" s="12" t="s">
        <v>292</v>
      </c>
      <c r="F7" s="12"/>
      <c r="G7" s="12" t="s">
        <v>361</v>
      </c>
      <c r="H7" s="12"/>
      <c r="I7" s="12" t="s">
        <v>4</v>
      </c>
      <c r="K7" s="15" t="s">
        <v>293</v>
      </c>
      <c r="L7" s="15"/>
      <c r="M7" s="15" t="s">
        <v>303</v>
      </c>
      <c r="N7" s="15"/>
      <c r="O7" s="15" t="s">
        <v>304</v>
      </c>
      <c r="P7" s="15"/>
      <c r="Q7" s="15" t="s">
        <v>11</v>
      </c>
      <c r="R7" s="15"/>
      <c r="S7" s="12" t="s">
        <v>295</v>
      </c>
      <c r="T7" s="12"/>
      <c r="U7" s="12"/>
      <c r="V7" s="12"/>
      <c r="W7" s="12" t="s">
        <v>301</v>
      </c>
      <c r="X7" s="12"/>
      <c r="Y7" s="12" t="s">
        <v>328</v>
      </c>
      <c r="Z7" s="12"/>
      <c r="AA7" s="15" t="s">
        <v>445</v>
      </c>
      <c r="AB7" s="19"/>
      <c r="AC7" s="15" t="s">
        <v>445</v>
      </c>
    </row>
    <row r="8" spans="1:30" s="47" customFormat="1" ht="12.75" customHeight="1" x14ac:dyDescent="0.2">
      <c r="A8" s="100" t="s">
        <v>8</v>
      </c>
      <c r="C8" s="100" t="s">
        <v>9</v>
      </c>
      <c r="D8" s="50"/>
      <c r="E8" s="16" t="s">
        <v>297</v>
      </c>
      <c r="F8" s="18"/>
      <c r="G8" s="16" t="s">
        <v>400</v>
      </c>
      <c r="H8" s="18"/>
      <c r="I8" s="16" t="s">
        <v>298</v>
      </c>
      <c r="K8" s="16" t="s">
        <v>423</v>
      </c>
      <c r="L8" s="18"/>
      <c r="M8" s="16" t="s">
        <v>299</v>
      </c>
      <c r="N8" s="18"/>
      <c r="O8" s="16" t="s">
        <v>299</v>
      </c>
      <c r="P8" s="18"/>
      <c r="Q8" s="16" t="s">
        <v>298</v>
      </c>
      <c r="R8" s="18"/>
      <c r="S8" s="16" t="s">
        <v>300</v>
      </c>
      <c r="T8" s="18"/>
      <c r="U8" s="16" t="s">
        <v>294</v>
      </c>
      <c r="V8" s="18"/>
      <c r="W8" s="16" t="s">
        <v>439</v>
      </c>
      <c r="X8" s="18"/>
      <c r="Y8" s="16" t="s">
        <v>443</v>
      </c>
      <c r="Z8" s="18"/>
      <c r="AA8" s="16" t="s">
        <v>446</v>
      </c>
      <c r="AB8" s="18"/>
      <c r="AC8" s="16" t="s">
        <v>446</v>
      </c>
    </row>
    <row r="9" spans="1:30" s="47" customFormat="1" ht="12.75" customHeight="1" x14ac:dyDescent="0.2">
      <c r="A9" s="26"/>
      <c r="C9" s="26"/>
      <c r="D9" s="50"/>
      <c r="E9" s="18"/>
      <c r="F9" s="18"/>
      <c r="G9" s="18"/>
      <c r="H9" s="18"/>
      <c r="I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30" s="46" customFormat="1" ht="12.75" hidden="1" customHeight="1" x14ac:dyDescent="0.2">
      <c r="A10" s="47" t="s">
        <v>12</v>
      </c>
      <c r="B10" s="47"/>
      <c r="C10" s="47" t="s">
        <v>13</v>
      </c>
      <c r="D10" s="47"/>
      <c r="E10" s="46">
        <v>35903456</v>
      </c>
      <c r="G10" s="46">
        <v>17302475</v>
      </c>
      <c r="I10" s="46">
        <v>38778626</v>
      </c>
      <c r="K10" s="46">
        <v>25831020</v>
      </c>
      <c r="M10" s="46">
        <v>134473083</v>
      </c>
      <c r="O10" s="46">
        <v>0</v>
      </c>
      <c r="Q10" s="46">
        <v>51162387</v>
      </c>
      <c r="S10" s="46">
        <v>643612</v>
      </c>
      <c r="U10" s="46">
        <f>16826153+28418459+95999</f>
        <v>45340611</v>
      </c>
      <c r="W10" s="46">
        <v>-529996</v>
      </c>
      <c r="Y10" s="46">
        <v>0</v>
      </c>
      <c r="AA10" s="46">
        <f>SUM(K10:Y10)</f>
        <v>256920717</v>
      </c>
      <c r="AC10" s="46">
        <f t="shared" ref="AC10:AC79" si="0">SUM(E10:Y10)</f>
        <v>348905274</v>
      </c>
    </row>
    <row r="11" spans="1:30" s="46" customFormat="1" ht="12.75" customHeight="1" x14ac:dyDescent="0.2">
      <c r="A11" s="47" t="s">
        <v>14</v>
      </c>
      <c r="B11" s="47"/>
      <c r="C11" s="47" t="s">
        <v>15</v>
      </c>
      <c r="D11" s="47"/>
      <c r="E11" s="46">
        <v>1329295</v>
      </c>
      <c r="G11" s="46">
        <v>2844018</v>
      </c>
      <c r="I11" s="46">
        <v>483045</v>
      </c>
      <c r="K11" s="46">
        <f>790448+69663+69663</f>
        <v>929774</v>
      </c>
      <c r="M11" s="46">
        <f>8133560+676451+966359</f>
        <v>9776370</v>
      </c>
      <c r="O11" s="46">
        <v>0</v>
      </c>
      <c r="Q11" s="46">
        <v>1103878</v>
      </c>
      <c r="S11" s="46">
        <v>8435</v>
      </c>
      <c r="U11" s="46">
        <v>835956</v>
      </c>
      <c r="W11" s="46">
        <v>-200000</v>
      </c>
      <c r="Y11" s="46">
        <v>0</v>
      </c>
      <c r="AA11" s="46">
        <f t="shared" ref="AA11:AA69" si="1">SUM(K11:Y11)</f>
        <v>12454413</v>
      </c>
      <c r="AC11" s="46">
        <f t="shared" si="0"/>
        <v>17110771</v>
      </c>
    </row>
    <row r="12" spans="1:30" s="47" customFormat="1" ht="12.75" customHeight="1" x14ac:dyDescent="0.2">
      <c r="A12" s="47" t="s">
        <v>16</v>
      </c>
      <c r="C12" s="47" t="s">
        <v>17</v>
      </c>
      <c r="E12" s="44">
        <v>629290</v>
      </c>
      <c r="F12" s="44"/>
      <c r="G12" s="44">
        <v>596887</v>
      </c>
      <c r="H12" s="44"/>
      <c r="I12" s="44">
        <v>332017</v>
      </c>
      <c r="J12" s="44"/>
      <c r="K12" s="44">
        <f>895499+201799+244633</f>
        <v>1341931</v>
      </c>
      <c r="L12" s="44"/>
      <c r="M12" s="44">
        <f>3055377+975915</f>
        <v>4031292</v>
      </c>
      <c r="N12" s="44"/>
      <c r="O12" s="44">
        <v>0</v>
      </c>
      <c r="P12" s="44"/>
      <c r="Q12" s="44">
        <v>670001</v>
      </c>
      <c r="R12" s="44"/>
      <c r="S12" s="44">
        <v>89343</v>
      </c>
      <c r="T12" s="44"/>
      <c r="U12" s="44">
        <f>82382+4296</f>
        <v>86678</v>
      </c>
      <c r="V12" s="44"/>
      <c r="W12" s="44">
        <v>0</v>
      </c>
      <c r="X12" s="44"/>
      <c r="Y12" s="44">
        <v>0</v>
      </c>
      <c r="Z12" s="44"/>
      <c r="AA12" s="44">
        <f t="shared" si="1"/>
        <v>6219245</v>
      </c>
      <c r="AB12" s="44"/>
      <c r="AC12" s="44">
        <f t="shared" si="0"/>
        <v>7777439</v>
      </c>
    </row>
    <row r="13" spans="1:30" s="46" customFormat="1" ht="12.75" customHeight="1" x14ac:dyDescent="0.2">
      <c r="A13" s="47" t="s">
        <v>18</v>
      </c>
      <c r="B13" s="47"/>
      <c r="C13" s="47" t="s">
        <v>18</v>
      </c>
      <c r="D13" s="47"/>
      <c r="E13" s="44">
        <v>3676283</v>
      </c>
      <c r="F13" s="44"/>
      <c r="G13" s="44">
        <v>2642624</v>
      </c>
      <c r="H13" s="44"/>
      <c r="I13" s="44">
        <v>513400</v>
      </c>
      <c r="J13" s="44"/>
      <c r="K13" s="44">
        <f>638810+139977+192135+168742</f>
        <v>1139664</v>
      </c>
      <c r="L13" s="44"/>
      <c r="M13" s="44">
        <f>6831867+719881+735614</f>
        <v>8287362</v>
      </c>
      <c r="N13" s="44"/>
      <c r="O13" s="44">
        <v>0</v>
      </c>
      <c r="P13" s="44"/>
      <c r="Q13" s="44">
        <v>1513673</v>
      </c>
      <c r="R13" s="44"/>
      <c r="S13" s="44">
        <v>53567</v>
      </c>
      <c r="T13" s="44"/>
      <c r="U13" s="44">
        <f>89558+195116</f>
        <v>284674</v>
      </c>
      <c r="V13" s="44"/>
      <c r="W13" s="44">
        <v>-135213</v>
      </c>
      <c r="X13" s="44"/>
      <c r="Y13" s="44">
        <v>0</v>
      </c>
      <c r="Z13" s="44"/>
      <c r="AA13" s="44">
        <f t="shared" si="1"/>
        <v>11143727</v>
      </c>
      <c r="AB13" s="44"/>
      <c r="AC13" s="44">
        <f t="shared" si="0"/>
        <v>17976034</v>
      </c>
    </row>
    <row r="14" spans="1:30" s="122" customFormat="1" ht="12.75" hidden="1" customHeight="1" x14ac:dyDescent="0.2">
      <c r="A14" s="121" t="s">
        <v>19</v>
      </c>
      <c r="B14" s="123"/>
      <c r="C14" s="121" t="s">
        <v>19</v>
      </c>
      <c r="D14" s="121"/>
      <c r="E14" s="121">
        <v>1695250</v>
      </c>
      <c r="F14" s="121"/>
      <c r="G14" s="121">
        <v>1123440</v>
      </c>
      <c r="H14" s="121"/>
      <c r="I14" s="121">
        <v>3758972</v>
      </c>
      <c r="J14" s="121"/>
      <c r="K14" s="121">
        <f>967282+579508+412653</f>
        <v>1959443</v>
      </c>
      <c r="L14" s="121"/>
      <c r="M14" s="121">
        <f>5902284+665177</f>
        <v>6567461</v>
      </c>
      <c r="N14" s="121"/>
      <c r="O14" s="121">
        <v>0</v>
      </c>
      <c r="P14" s="121"/>
      <c r="Q14" s="121">
        <v>1127596</v>
      </c>
      <c r="R14" s="121"/>
      <c r="S14" s="121">
        <v>144</v>
      </c>
      <c r="T14" s="121"/>
      <c r="U14" s="121">
        <f>273773+22500+57901</f>
        <v>354174</v>
      </c>
      <c r="V14" s="121"/>
      <c r="W14" s="121">
        <v>22720</v>
      </c>
      <c r="X14" s="121"/>
      <c r="Y14" s="121">
        <v>4749474</v>
      </c>
      <c r="Z14" s="121"/>
      <c r="AA14" s="121">
        <f t="shared" si="1"/>
        <v>14781012</v>
      </c>
      <c r="AB14" s="121"/>
      <c r="AC14" s="121">
        <f t="shared" si="0"/>
        <v>21358674</v>
      </c>
      <c r="AD14" s="121" t="s">
        <v>502</v>
      </c>
    </row>
    <row r="15" spans="1:30" s="47" customFormat="1" ht="12.75" customHeight="1" x14ac:dyDescent="0.2">
      <c r="A15" s="47" t="s">
        <v>20</v>
      </c>
      <c r="C15" s="47" t="s">
        <v>20</v>
      </c>
      <c r="E15" s="44">
        <v>4136096</v>
      </c>
      <c r="F15" s="44"/>
      <c r="G15" s="44">
        <v>1630413</v>
      </c>
      <c r="H15" s="44"/>
      <c r="I15" s="44">
        <v>2848994</v>
      </c>
      <c r="J15" s="44"/>
      <c r="K15" s="44">
        <v>602349</v>
      </c>
      <c r="L15" s="44"/>
      <c r="M15" s="44">
        <f>8262313+570175+1286370</f>
        <v>10118858</v>
      </c>
      <c r="N15" s="44"/>
      <c r="O15" s="44">
        <f>282843+459033</f>
        <v>741876</v>
      </c>
      <c r="P15" s="44"/>
      <c r="Q15" s="44">
        <v>1025450</v>
      </c>
      <c r="R15" s="44"/>
      <c r="S15" s="44">
        <v>143230</v>
      </c>
      <c r="T15" s="44"/>
      <c r="U15" s="44">
        <v>483698</v>
      </c>
      <c r="V15" s="44"/>
      <c r="W15" s="44">
        <v>0</v>
      </c>
      <c r="X15" s="44"/>
      <c r="Y15" s="44">
        <v>0</v>
      </c>
      <c r="Z15" s="44"/>
      <c r="AA15" s="44">
        <f t="shared" si="1"/>
        <v>13115461</v>
      </c>
      <c r="AB15" s="44"/>
      <c r="AC15" s="44">
        <f t="shared" si="0"/>
        <v>21730964</v>
      </c>
    </row>
    <row r="16" spans="1:30" s="47" customFormat="1" ht="12.75" customHeight="1" x14ac:dyDescent="0.2">
      <c r="A16" s="47" t="s">
        <v>21</v>
      </c>
      <c r="C16" s="47" t="s">
        <v>22</v>
      </c>
      <c r="E16" s="44">
        <v>697487</v>
      </c>
      <c r="F16" s="44"/>
      <c r="G16" s="44">
        <v>999928</v>
      </c>
      <c r="H16" s="44"/>
      <c r="I16" s="44">
        <v>3905558</v>
      </c>
      <c r="J16" s="44"/>
      <c r="K16" s="44">
        <f>4214168+404423</f>
        <v>4618591</v>
      </c>
      <c r="L16" s="44"/>
      <c r="M16" s="44">
        <f>9970714+600000</f>
        <v>10570714</v>
      </c>
      <c r="N16" s="44"/>
      <c r="O16" s="44">
        <v>0</v>
      </c>
      <c r="P16" s="44"/>
      <c r="Q16" s="44">
        <v>797423</v>
      </c>
      <c r="R16" s="44"/>
      <c r="S16" s="44">
        <v>103557</v>
      </c>
      <c r="T16" s="44"/>
      <c r="U16" s="44">
        <v>60010</v>
      </c>
      <c r="V16" s="44"/>
      <c r="W16" s="44">
        <v>-162947</v>
      </c>
      <c r="X16" s="44"/>
      <c r="Y16" s="44">
        <v>0</v>
      </c>
      <c r="Z16" s="44"/>
      <c r="AA16" s="44">
        <f t="shared" si="1"/>
        <v>15987348</v>
      </c>
      <c r="AB16" s="44"/>
      <c r="AC16" s="44">
        <f t="shared" si="0"/>
        <v>21590321</v>
      </c>
      <c r="AD16" s="44"/>
    </row>
    <row r="17" spans="1:31" s="47" customFormat="1" ht="12.75" customHeight="1" x14ac:dyDescent="0.2">
      <c r="A17" s="47" t="s">
        <v>23</v>
      </c>
      <c r="C17" s="47" t="s">
        <v>17</v>
      </c>
      <c r="E17" s="44">
        <v>2246499</v>
      </c>
      <c r="F17" s="44"/>
      <c r="G17" s="44">
        <v>1165243</v>
      </c>
      <c r="H17" s="44"/>
      <c r="I17" s="44">
        <v>571326</v>
      </c>
      <c r="J17" s="44"/>
      <c r="K17" s="44">
        <f>1566237+1228341+629793+293924+74421+568618</f>
        <v>4361334</v>
      </c>
      <c r="L17" s="44"/>
      <c r="M17" s="44">
        <f>5478107+143118+4164144+1413615</f>
        <v>11198984</v>
      </c>
      <c r="N17" s="44"/>
      <c r="O17" s="44">
        <v>1701068</v>
      </c>
      <c r="P17" s="44"/>
      <c r="Q17" s="44">
        <v>1223337</v>
      </c>
      <c r="R17" s="44"/>
      <c r="S17" s="44">
        <v>64712</v>
      </c>
      <c r="T17" s="44"/>
      <c r="U17" s="44">
        <f>453527</f>
        <v>453527</v>
      </c>
      <c r="V17" s="44"/>
      <c r="W17" s="44">
        <v>-18228</v>
      </c>
      <c r="X17" s="44"/>
      <c r="Y17" s="44">
        <v>-9944692</v>
      </c>
      <c r="Z17" s="44"/>
      <c r="AA17" s="44">
        <f t="shared" si="1"/>
        <v>9040042</v>
      </c>
      <c r="AB17" s="44"/>
      <c r="AC17" s="44">
        <f t="shared" si="0"/>
        <v>13023110</v>
      </c>
    </row>
    <row r="18" spans="1:31" s="47" customFormat="1" ht="12.75" customHeight="1" x14ac:dyDescent="0.2">
      <c r="A18" s="47" t="s">
        <v>24</v>
      </c>
      <c r="C18" s="47" t="s">
        <v>17</v>
      </c>
      <c r="E18" s="44">
        <v>1890041</v>
      </c>
      <c r="F18" s="44"/>
      <c r="G18" s="44">
        <v>956515</v>
      </c>
      <c r="H18" s="44"/>
      <c r="I18" s="44">
        <v>769020</v>
      </c>
      <c r="J18" s="44"/>
      <c r="K18" s="44">
        <v>4913620</v>
      </c>
      <c r="L18" s="44"/>
      <c r="M18" s="44">
        <v>9001318</v>
      </c>
      <c r="N18" s="44"/>
      <c r="O18" s="44">
        <v>0</v>
      </c>
      <c r="P18" s="44"/>
      <c r="Q18" s="44">
        <v>2026080</v>
      </c>
      <c r="R18" s="44"/>
      <c r="S18" s="44">
        <v>259795</v>
      </c>
      <c r="T18" s="44"/>
      <c r="U18" s="44">
        <f>37061+28696</f>
        <v>65757</v>
      </c>
      <c r="V18" s="44"/>
      <c r="W18" s="44">
        <v>4137</v>
      </c>
      <c r="X18" s="44"/>
      <c r="Y18" s="44">
        <v>0</v>
      </c>
      <c r="Z18" s="44"/>
      <c r="AA18" s="44">
        <f t="shared" ref="AA18" si="2">SUM(K18:Y18)</f>
        <v>16270707</v>
      </c>
      <c r="AB18" s="44"/>
      <c r="AC18" s="44">
        <f t="shared" ref="AC18" si="3">SUM(E18:Y18)</f>
        <v>19886283</v>
      </c>
    </row>
    <row r="19" spans="1:31" s="47" customFormat="1" ht="12.75" customHeight="1" x14ac:dyDescent="0.2">
      <c r="A19" s="47" t="s">
        <v>25</v>
      </c>
      <c r="C19" s="47" t="s">
        <v>13</v>
      </c>
      <c r="E19" s="44">
        <v>3308801</v>
      </c>
      <c r="F19" s="44"/>
      <c r="G19" s="44">
        <v>3863176</v>
      </c>
      <c r="H19" s="44"/>
      <c r="I19" s="44">
        <v>459731</v>
      </c>
      <c r="J19" s="44"/>
      <c r="K19" s="44">
        <f>1023447+264636+105855+105855</f>
        <v>1499793</v>
      </c>
      <c r="L19" s="44"/>
      <c r="M19" s="44">
        <v>12086007</v>
      </c>
      <c r="N19" s="44"/>
      <c r="O19" s="44">
        <v>0</v>
      </c>
      <c r="P19" s="44"/>
      <c r="Q19" s="44">
        <v>2322927</v>
      </c>
      <c r="R19" s="44"/>
      <c r="S19" s="44">
        <v>39742</v>
      </c>
      <c r="T19" s="44"/>
      <c r="U19" s="44">
        <v>304492</v>
      </c>
      <c r="V19" s="44"/>
      <c r="W19" s="44">
        <v>0</v>
      </c>
      <c r="X19" s="44"/>
      <c r="Y19" s="44">
        <v>0</v>
      </c>
      <c r="Z19" s="44"/>
      <c r="AA19" s="44">
        <f t="shared" si="1"/>
        <v>16252961</v>
      </c>
      <c r="AB19" s="44"/>
      <c r="AC19" s="44">
        <f t="shared" si="0"/>
        <v>23884669</v>
      </c>
    </row>
    <row r="20" spans="1:31" s="47" customFormat="1" ht="12.75" customHeight="1" x14ac:dyDescent="0.2">
      <c r="A20" s="47" t="s">
        <v>26</v>
      </c>
      <c r="C20" s="47" t="s">
        <v>27</v>
      </c>
      <c r="E20" s="44">
        <v>1382023</v>
      </c>
      <c r="F20" s="44"/>
      <c r="G20" s="44">
        <v>762219</v>
      </c>
      <c r="H20" s="44"/>
      <c r="I20" s="44">
        <v>1264918</v>
      </c>
      <c r="J20" s="44"/>
      <c r="K20" s="44">
        <f>3499070+628673+208263+124956+124956+1610588</f>
        <v>6196506</v>
      </c>
      <c r="L20" s="44"/>
      <c r="M20" s="44">
        <f>5042769+106416+171661</f>
        <v>5320846</v>
      </c>
      <c r="N20" s="44"/>
      <c r="O20" s="44">
        <v>0</v>
      </c>
      <c r="P20" s="44"/>
      <c r="Q20" s="44">
        <v>2247736</v>
      </c>
      <c r="R20" s="44"/>
      <c r="S20" s="44">
        <v>104429</v>
      </c>
      <c r="T20" s="44"/>
      <c r="U20" s="44">
        <v>75886</v>
      </c>
      <c r="V20" s="44"/>
      <c r="W20" s="44">
        <v>-1163220</v>
      </c>
      <c r="X20" s="44"/>
      <c r="Y20" s="44">
        <v>0</v>
      </c>
      <c r="Z20" s="44"/>
      <c r="AA20" s="44">
        <f t="shared" si="1"/>
        <v>12782183</v>
      </c>
      <c r="AB20" s="44"/>
      <c r="AC20" s="44">
        <f t="shared" si="0"/>
        <v>16191343</v>
      </c>
      <c r="AD20" s="44"/>
    </row>
    <row r="21" spans="1:31" s="47" customFormat="1" ht="12.75" customHeight="1" x14ac:dyDescent="0.2">
      <c r="A21" s="47" t="s">
        <v>28</v>
      </c>
      <c r="C21" s="47" t="s">
        <v>27</v>
      </c>
      <c r="E21" s="44">
        <v>4401623</v>
      </c>
      <c r="F21" s="44"/>
      <c r="G21" s="44">
        <v>807577</v>
      </c>
      <c r="H21" s="44"/>
      <c r="I21" s="44">
        <v>1250000</v>
      </c>
      <c r="J21" s="44"/>
      <c r="K21" s="44">
        <f>2563866+209099</f>
        <v>2772965</v>
      </c>
      <c r="L21" s="44"/>
      <c r="M21" s="44">
        <v>25680596</v>
      </c>
      <c r="N21" s="44"/>
      <c r="O21" s="44">
        <f>1264247+3107091</f>
        <v>4371338</v>
      </c>
      <c r="P21" s="44"/>
      <c r="Q21" s="44">
        <v>670301</v>
      </c>
      <c r="R21" s="44"/>
      <c r="S21" s="44">
        <v>235120</v>
      </c>
      <c r="T21" s="44"/>
      <c r="U21" s="44">
        <v>342389</v>
      </c>
      <c r="V21" s="44"/>
      <c r="W21" s="44">
        <v>0</v>
      </c>
      <c r="X21" s="44"/>
      <c r="Y21" s="44">
        <v>0</v>
      </c>
      <c r="Z21" s="44"/>
      <c r="AA21" s="44">
        <f t="shared" si="1"/>
        <v>34072709</v>
      </c>
      <c r="AB21" s="44"/>
      <c r="AC21" s="44">
        <f t="shared" si="0"/>
        <v>40531909</v>
      </c>
      <c r="AD21" s="44"/>
    </row>
    <row r="22" spans="1:31" s="47" customFormat="1" ht="12.75" customHeight="1" x14ac:dyDescent="0.2">
      <c r="A22" s="47" t="s">
        <v>29</v>
      </c>
      <c r="C22" s="47" t="s">
        <v>30</v>
      </c>
      <c r="E22" s="44">
        <v>2434427</v>
      </c>
      <c r="F22" s="44"/>
      <c r="G22" s="44">
        <v>4990467</v>
      </c>
      <c r="H22" s="44"/>
      <c r="I22" s="44">
        <v>2782936</v>
      </c>
      <c r="J22" s="44"/>
      <c r="K22" s="44">
        <f>1328825+6295101+3584752+308186</f>
        <v>11516864</v>
      </c>
      <c r="L22" s="44"/>
      <c r="M22" s="44">
        <v>0</v>
      </c>
      <c r="N22" s="44"/>
      <c r="O22" s="44">
        <v>485458</v>
      </c>
      <c r="P22" s="44"/>
      <c r="Q22" s="44">
        <v>2081094</v>
      </c>
      <c r="R22" s="44"/>
      <c r="S22" s="44">
        <v>333322</v>
      </c>
      <c r="T22" s="44"/>
      <c r="U22" s="44">
        <v>261999</v>
      </c>
      <c r="V22" s="44"/>
      <c r="W22" s="44">
        <v>-948751</v>
      </c>
      <c r="X22" s="44"/>
      <c r="Y22" s="44">
        <v>0</v>
      </c>
      <c r="Z22" s="44"/>
      <c r="AA22" s="44">
        <f t="shared" si="1"/>
        <v>13729986</v>
      </c>
      <c r="AB22" s="44"/>
      <c r="AC22" s="44">
        <f t="shared" si="0"/>
        <v>23937816</v>
      </c>
      <c r="AD22" s="44"/>
    </row>
    <row r="23" spans="1:31" s="47" customFormat="1" ht="12.75" customHeight="1" x14ac:dyDescent="0.2">
      <c r="A23" s="47" t="s">
        <v>31</v>
      </c>
      <c r="C23" s="47" t="s">
        <v>27</v>
      </c>
      <c r="E23" s="44">
        <v>3376682</v>
      </c>
      <c r="F23" s="44"/>
      <c r="G23" s="44">
        <v>2171358</v>
      </c>
      <c r="H23" s="44"/>
      <c r="I23" s="44">
        <v>97583</v>
      </c>
      <c r="J23" s="44"/>
      <c r="K23" s="44">
        <f>2263682+32714+3003234</f>
        <v>5299630</v>
      </c>
      <c r="L23" s="44"/>
      <c r="M23" s="44">
        <f>9277242+680703</f>
        <v>9957945</v>
      </c>
      <c r="N23" s="44"/>
      <c r="O23" s="44">
        <v>0</v>
      </c>
      <c r="P23" s="44"/>
      <c r="Q23" s="44">
        <v>1131551</v>
      </c>
      <c r="R23" s="44"/>
      <c r="S23" s="44">
        <v>108763</v>
      </c>
      <c r="T23" s="44"/>
      <c r="U23" s="44">
        <f>17041+413756</f>
        <v>430797</v>
      </c>
      <c r="V23" s="44"/>
      <c r="W23" s="44">
        <v>0</v>
      </c>
      <c r="X23" s="44"/>
      <c r="Y23" s="44">
        <v>0</v>
      </c>
      <c r="Z23" s="44"/>
      <c r="AA23" s="44">
        <f t="shared" si="1"/>
        <v>16928686</v>
      </c>
      <c r="AB23" s="44"/>
      <c r="AC23" s="44">
        <f t="shared" si="0"/>
        <v>22574309</v>
      </c>
    </row>
    <row r="24" spans="1:31" s="47" customFormat="1" ht="12.75" customHeight="1" x14ac:dyDescent="0.2">
      <c r="A24" s="47" t="s">
        <v>32</v>
      </c>
      <c r="C24" s="47" t="s">
        <v>27</v>
      </c>
      <c r="E24" s="44">
        <v>4318774</v>
      </c>
      <c r="F24" s="44"/>
      <c r="G24" s="44">
        <v>148839</v>
      </c>
      <c r="H24" s="44"/>
      <c r="I24" s="44">
        <v>944184</v>
      </c>
      <c r="J24" s="44"/>
      <c r="K24" s="44">
        <f>1363070+3173270+507814+507814</f>
        <v>5551968</v>
      </c>
      <c r="L24" s="44"/>
      <c r="M24" s="44">
        <v>7861087</v>
      </c>
      <c r="N24" s="44"/>
      <c r="O24" s="44">
        <v>0</v>
      </c>
      <c r="P24" s="44"/>
      <c r="Q24" s="44">
        <v>1764088</v>
      </c>
      <c r="R24" s="44"/>
      <c r="S24" s="44">
        <v>1006</v>
      </c>
      <c r="T24" s="44"/>
      <c r="U24" s="44">
        <v>19421</v>
      </c>
      <c r="V24" s="44"/>
      <c r="W24" s="44">
        <v>-363407</v>
      </c>
      <c r="X24" s="44"/>
      <c r="Y24" s="44">
        <v>0</v>
      </c>
      <c r="Z24" s="44"/>
      <c r="AA24" s="44">
        <f t="shared" si="1"/>
        <v>14834163</v>
      </c>
      <c r="AB24" s="44"/>
      <c r="AC24" s="44">
        <f t="shared" si="0"/>
        <v>20245960</v>
      </c>
    </row>
    <row r="25" spans="1:31" s="47" customFormat="1" ht="12.75" customHeight="1" x14ac:dyDescent="0.2">
      <c r="A25" s="47" t="s">
        <v>34</v>
      </c>
      <c r="C25" s="47" t="s">
        <v>30</v>
      </c>
      <c r="E25" s="44">
        <v>167837</v>
      </c>
      <c r="F25" s="44"/>
      <c r="G25" s="44">
        <v>427275</v>
      </c>
      <c r="H25" s="44"/>
      <c r="I25" s="44">
        <v>462366</v>
      </c>
      <c r="J25" s="44"/>
      <c r="K25" s="44">
        <v>2594631</v>
      </c>
      <c r="L25" s="44"/>
      <c r="M25" s="44">
        <v>0</v>
      </c>
      <c r="N25" s="44"/>
      <c r="O25" s="44">
        <v>20737</v>
      </c>
      <c r="P25" s="44"/>
      <c r="Q25" s="44">
        <v>710125</v>
      </c>
      <c r="R25" s="44"/>
      <c r="S25" s="44">
        <v>9658</v>
      </c>
      <c r="T25" s="44"/>
      <c r="U25" s="44">
        <v>63510</v>
      </c>
      <c r="V25" s="44"/>
      <c r="W25" s="44">
        <v>0</v>
      </c>
      <c r="X25" s="44"/>
      <c r="Y25" s="44">
        <v>0</v>
      </c>
      <c r="Z25" s="44"/>
      <c r="AA25" s="44">
        <f t="shared" si="1"/>
        <v>3398661</v>
      </c>
      <c r="AB25" s="44"/>
      <c r="AC25" s="44">
        <f t="shared" si="0"/>
        <v>4456139</v>
      </c>
    </row>
    <row r="26" spans="1:31" s="47" customFormat="1" ht="12.75" customHeight="1" x14ac:dyDescent="0.2">
      <c r="A26" s="47" t="s">
        <v>35</v>
      </c>
      <c r="C26" s="47" t="s">
        <v>36</v>
      </c>
      <c r="E26" s="44">
        <v>846238</v>
      </c>
      <c r="F26" s="44"/>
      <c r="G26" s="44">
        <v>1306986</v>
      </c>
      <c r="H26" s="44"/>
      <c r="I26" s="44">
        <v>156571</v>
      </c>
      <c r="J26" s="44"/>
      <c r="K26" s="44">
        <v>585841</v>
      </c>
      <c r="L26" s="44"/>
      <c r="M26" s="44">
        <v>4903345</v>
      </c>
      <c r="N26" s="44"/>
      <c r="O26" s="44">
        <f>49235+115023</f>
        <v>164258</v>
      </c>
      <c r="P26" s="44"/>
      <c r="Q26" s="44">
        <v>986991</v>
      </c>
      <c r="R26" s="44"/>
      <c r="S26" s="44">
        <v>44483</v>
      </c>
      <c r="T26" s="44"/>
      <c r="U26" s="44">
        <v>139029</v>
      </c>
      <c r="V26" s="44"/>
      <c r="W26" s="44">
        <v>-231000</v>
      </c>
      <c r="X26" s="44"/>
      <c r="Y26" s="44">
        <v>0</v>
      </c>
      <c r="Z26" s="44"/>
      <c r="AA26" s="44">
        <f t="shared" si="1"/>
        <v>6592947</v>
      </c>
      <c r="AB26" s="44"/>
      <c r="AC26" s="44">
        <f t="shared" si="0"/>
        <v>8902742</v>
      </c>
    </row>
    <row r="27" spans="1:31" s="47" customFormat="1" ht="12.75" customHeight="1" x14ac:dyDescent="0.2">
      <c r="A27" s="47" t="s">
        <v>37</v>
      </c>
      <c r="C27" s="47" t="s">
        <v>38</v>
      </c>
      <c r="E27" s="44">
        <v>511578</v>
      </c>
      <c r="F27" s="44"/>
      <c r="G27" s="44">
        <v>407184</v>
      </c>
      <c r="H27" s="44"/>
      <c r="I27" s="44">
        <v>139566</v>
      </c>
      <c r="J27" s="44"/>
      <c r="K27" s="44">
        <v>723630</v>
      </c>
      <c r="L27" s="44"/>
      <c r="M27" s="44">
        <v>3418696</v>
      </c>
      <c r="N27" s="44"/>
      <c r="O27" s="44">
        <v>0</v>
      </c>
      <c r="P27" s="44"/>
      <c r="Q27" s="44">
        <v>918928</v>
      </c>
      <c r="R27" s="44"/>
      <c r="S27" s="44">
        <v>34841</v>
      </c>
      <c r="T27" s="44"/>
      <c r="U27" s="44">
        <v>161498</v>
      </c>
      <c r="V27" s="44"/>
      <c r="W27" s="44">
        <v>-395</v>
      </c>
      <c r="X27" s="44"/>
      <c r="Y27" s="44">
        <v>0</v>
      </c>
      <c r="Z27" s="44"/>
      <c r="AA27" s="44">
        <f t="shared" si="1"/>
        <v>5257198</v>
      </c>
      <c r="AB27" s="44"/>
      <c r="AC27" s="44">
        <f t="shared" si="0"/>
        <v>6315526</v>
      </c>
    </row>
    <row r="28" spans="1:31" s="47" customFormat="1" ht="12.75" customHeight="1" x14ac:dyDescent="0.2">
      <c r="A28" s="47" t="s">
        <v>39</v>
      </c>
      <c r="C28" s="47" t="s">
        <v>40</v>
      </c>
      <c r="E28" s="44">
        <v>1102440</v>
      </c>
      <c r="F28" s="44"/>
      <c r="G28" s="44">
        <v>644047</v>
      </c>
      <c r="H28" s="44"/>
      <c r="I28" s="44">
        <v>0</v>
      </c>
      <c r="J28" s="44"/>
      <c r="K28" s="44">
        <v>272647</v>
      </c>
      <c r="L28" s="44"/>
      <c r="M28" s="44">
        <v>1256092</v>
      </c>
      <c r="N28" s="44"/>
      <c r="O28" s="44">
        <v>122900</v>
      </c>
      <c r="P28" s="44"/>
      <c r="Q28" s="44">
        <v>221455</v>
      </c>
      <c r="R28" s="44"/>
      <c r="S28" s="44">
        <v>23849</v>
      </c>
      <c r="T28" s="44"/>
      <c r="U28" s="44">
        <f>8041+69728</f>
        <v>77769</v>
      </c>
      <c r="V28" s="44"/>
      <c r="W28" s="44">
        <v>0</v>
      </c>
      <c r="X28" s="44"/>
      <c r="Y28" s="44">
        <v>0</v>
      </c>
      <c r="Z28" s="44"/>
      <c r="AA28" s="44">
        <f t="shared" si="1"/>
        <v>1974712</v>
      </c>
      <c r="AB28" s="44"/>
      <c r="AC28" s="44">
        <f t="shared" si="0"/>
        <v>3721199</v>
      </c>
    </row>
    <row r="29" spans="1:31" s="47" customFormat="1" ht="12.75" customHeight="1" x14ac:dyDescent="0.2">
      <c r="A29" s="47" t="s">
        <v>41</v>
      </c>
      <c r="C29" s="47" t="s">
        <v>27</v>
      </c>
      <c r="E29" s="44">
        <v>4265634</v>
      </c>
      <c r="F29" s="44"/>
      <c r="G29" s="44">
        <v>898340</v>
      </c>
      <c r="H29" s="44"/>
      <c r="I29" s="44">
        <v>725879</v>
      </c>
      <c r="J29" s="44"/>
      <c r="K29" s="44">
        <f>1669355+763850+1630487</f>
        <v>4063692</v>
      </c>
      <c r="L29" s="44"/>
      <c r="M29" s="44">
        <v>10601210</v>
      </c>
      <c r="N29" s="44"/>
      <c r="O29" s="44">
        <v>260819</v>
      </c>
      <c r="P29" s="44"/>
      <c r="Q29" s="44">
        <v>1675190</v>
      </c>
      <c r="R29" s="44"/>
      <c r="S29" s="44">
        <v>137585</v>
      </c>
      <c r="T29" s="44"/>
      <c r="U29" s="44">
        <v>94120</v>
      </c>
      <c r="V29" s="44"/>
      <c r="W29" s="44">
        <v>-4175433</v>
      </c>
      <c r="X29" s="44"/>
      <c r="Y29" s="44">
        <v>0</v>
      </c>
      <c r="Z29" s="44"/>
      <c r="AA29" s="44">
        <f t="shared" si="1"/>
        <v>12657183</v>
      </c>
      <c r="AB29" s="44"/>
      <c r="AC29" s="44">
        <f t="shared" si="0"/>
        <v>18547036</v>
      </c>
    </row>
    <row r="30" spans="1:31" s="47" customFormat="1" ht="12.75" customHeight="1" x14ac:dyDescent="0.2">
      <c r="A30" s="47" t="s">
        <v>42</v>
      </c>
      <c r="C30" s="47" t="s">
        <v>43</v>
      </c>
      <c r="E30" s="44">
        <v>1244742</v>
      </c>
      <c r="F30" s="44"/>
      <c r="G30" s="44">
        <v>826924</v>
      </c>
      <c r="H30" s="44"/>
      <c r="I30" s="44">
        <v>267942</v>
      </c>
      <c r="J30" s="44"/>
      <c r="K30" s="44">
        <f>636121+706200+362080</f>
        <v>1704401</v>
      </c>
      <c r="L30" s="44"/>
      <c r="M30" s="44">
        <v>6866287</v>
      </c>
      <c r="N30" s="44"/>
      <c r="O30" s="44">
        <f>183380+284122</f>
        <v>467502</v>
      </c>
      <c r="P30" s="44"/>
      <c r="Q30" s="44">
        <v>1256987</v>
      </c>
      <c r="R30" s="44"/>
      <c r="S30" s="44">
        <v>185486</v>
      </c>
      <c r="T30" s="44"/>
      <c r="U30" s="44">
        <v>18738</v>
      </c>
      <c r="V30" s="44"/>
      <c r="W30" s="44">
        <v>-2283141</v>
      </c>
      <c r="X30" s="44"/>
      <c r="Y30" s="44">
        <v>0</v>
      </c>
      <c r="Z30" s="44"/>
      <c r="AA30" s="44">
        <f t="shared" si="1"/>
        <v>8216260</v>
      </c>
      <c r="AB30" s="44"/>
      <c r="AC30" s="44">
        <f t="shared" si="0"/>
        <v>10555868</v>
      </c>
    </row>
    <row r="31" spans="1:31" s="47" customFormat="1" ht="12.75" customHeight="1" x14ac:dyDescent="0.2">
      <c r="A31" s="47" t="s">
        <v>44</v>
      </c>
      <c r="C31" s="47" t="s">
        <v>45</v>
      </c>
      <c r="E31" s="44">
        <v>1473013</v>
      </c>
      <c r="F31" s="44"/>
      <c r="G31" s="44">
        <v>965315</v>
      </c>
      <c r="H31" s="44"/>
      <c r="I31" s="44">
        <v>668490</v>
      </c>
      <c r="J31" s="44"/>
      <c r="K31" s="44">
        <f>2090590+1042031</f>
        <v>3132621</v>
      </c>
      <c r="L31" s="44"/>
      <c r="M31" s="44">
        <v>30159819</v>
      </c>
      <c r="N31" s="44"/>
      <c r="O31" s="44">
        <v>927172</v>
      </c>
      <c r="P31" s="44"/>
      <c r="Q31" s="44">
        <v>1451654</v>
      </c>
      <c r="R31" s="44"/>
      <c r="S31" s="44">
        <v>18069</v>
      </c>
      <c r="T31" s="44"/>
      <c r="U31" s="44">
        <v>948821</v>
      </c>
      <c r="V31" s="44"/>
      <c r="W31" s="44">
        <v>-928903</v>
      </c>
      <c r="X31" s="44"/>
      <c r="Y31" s="44">
        <v>0</v>
      </c>
      <c r="Z31" s="44"/>
      <c r="AA31" s="44">
        <f t="shared" si="1"/>
        <v>35709253</v>
      </c>
      <c r="AB31" s="44"/>
      <c r="AC31" s="44">
        <f t="shared" si="0"/>
        <v>38816071</v>
      </c>
    </row>
    <row r="32" spans="1:31" s="47" customFormat="1" ht="12.75" customHeight="1" x14ac:dyDescent="0.2">
      <c r="A32" s="47" t="s">
        <v>46</v>
      </c>
      <c r="C32" s="47" t="s">
        <v>47</v>
      </c>
      <c r="E32" s="44">
        <v>3979701</v>
      </c>
      <c r="F32" s="44"/>
      <c r="G32" s="44">
        <v>2678854</v>
      </c>
      <c r="H32" s="44"/>
      <c r="I32" s="44">
        <v>799275</v>
      </c>
      <c r="J32" s="44"/>
      <c r="K32" s="44">
        <f>1635563+639292</f>
        <v>2274855</v>
      </c>
      <c r="L32" s="44"/>
      <c r="M32" s="44">
        <f>5869645+391269+3521690+3913055+1565315</f>
        <v>15260974</v>
      </c>
      <c r="N32" s="44"/>
      <c r="O32" s="44">
        <f>2081408+301114</f>
        <v>2382522</v>
      </c>
      <c r="P32" s="44"/>
      <c r="Q32" s="44">
        <v>1691216</v>
      </c>
      <c r="R32" s="44"/>
      <c r="S32" s="44">
        <v>204051</v>
      </c>
      <c r="T32" s="44"/>
      <c r="U32" s="44">
        <v>250519</v>
      </c>
      <c r="V32" s="44"/>
      <c r="W32" s="44">
        <v>-2954658</v>
      </c>
      <c r="X32" s="44"/>
      <c r="Y32" s="44">
        <v>0</v>
      </c>
      <c r="Z32" s="44"/>
      <c r="AA32" s="44">
        <f t="shared" si="1"/>
        <v>19109479</v>
      </c>
      <c r="AB32" s="44"/>
      <c r="AC32" s="44">
        <f t="shared" si="0"/>
        <v>26567309</v>
      </c>
      <c r="AE32" s="44"/>
    </row>
    <row r="33" spans="1:30" s="47" customFormat="1" ht="12.75" customHeight="1" x14ac:dyDescent="0.2">
      <c r="A33" s="47" t="s">
        <v>48</v>
      </c>
      <c r="C33" s="47" t="s">
        <v>27</v>
      </c>
      <c r="E33" s="44">
        <v>2001338</v>
      </c>
      <c r="F33" s="44"/>
      <c r="G33" s="44">
        <v>1078256</v>
      </c>
      <c r="H33" s="44"/>
      <c r="I33" s="44">
        <v>279119</v>
      </c>
      <c r="J33" s="44"/>
      <c r="K33" s="44">
        <f>1814714+1757630+517013+155104+211</f>
        <v>4244672</v>
      </c>
      <c r="L33" s="44"/>
      <c r="M33" s="44">
        <f>13246409+2280000</f>
        <v>15526409</v>
      </c>
      <c r="N33" s="44"/>
      <c r="O33" s="44">
        <v>0</v>
      </c>
      <c r="P33" s="44"/>
      <c r="Q33" s="44">
        <v>1130958</v>
      </c>
      <c r="R33" s="44"/>
      <c r="S33" s="44">
        <v>306830</v>
      </c>
      <c r="T33" s="44"/>
      <c r="U33" s="44">
        <f>14939+648973</f>
        <v>663912</v>
      </c>
      <c r="V33" s="44"/>
      <c r="W33" s="44">
        <v>0</v>
      </c>
      <c r="X33" s="44"/>
      <c r="Y33" s="44">
        <v>0</v>
      </c>
      <c r="Z33" s="44"/>
      <c r="AA33" s="44">
        <f t="shared" si="1"/>
        <v>21872781</v>
      </c>
      <c r="AB33" s="44"/>
      <c r="AC33" s="44">
        <f t="shared" si="0"/>
        <v>25231494</v>
      </c>
    </row>
    <row r="34" spans="1:30" s="47" customFormat="1" ht="12.75" customHeight="1" x14ac:dyDescent="0.2">
      <c r="A34" s="47" t="s">
        <v>49</v>
      </c>
      <c r="C34" s="47" t="s">
        <v>27</v>
      </c>
      <c r="E34" s="44">
        <v>3740614</v>
      </c>
      <c r="F34" s="44"/>
      <c r="G34" s="44">
        <v>979511</v>
      </c>
      <c r="H34" s="44"/>
      <c r="I34" s="44">
        <v>849894</v>
      </c>
      <c r="J34" s="44"/>
      <c r="K34" s="44">
        <f>1470931+1988882+54673</f>
        <v>3514486</v>
      </c>
      <c r="L34" s="44"/>
      <c r="M34" s="44">
        <f>8231239+1961108+570430</f>
        <v>10762777</v>
      </c>
      <c r="N34" s="44"/>
      <c r="O34" s="44">
        <v>392</v>
      </c>
      <c r="P34" s="44"/>
      <c r="Q34" s="44">
        <v>1307707</v>
      </c>
      <c r="R34" s="44"/>
      <c r="S34" s="44">
        <v>9825</v>
      </c>
      <c r="T34" s="44"/>
      <c r="U34" s="44">
        <v>197370</v>
      </c>
      <c r="V34" s="44"/>
      <c r="W34" s="44">
        <v>0</v>
      </c>
      <c r="X34" s="44"/>
      <c r="Y34" s="44">
        <v>0</v>
      </c>
      <c r="Z34" s="44"/>
      <c r="AA34" s="44">
        <f t="shared" si="1"/>
        <v>15792557</v>
      </c>
      <c r="AB34" s="44"/>
      <c r="AC34" s="44">
        <f t="shared" si="0"/>
        <v>21362576</v>
      </c>
    </row>
    <row r="35" spans="1:30" s="47" customFormat="1" ht="12.75" customHeight="1" x14ac:dyDescent="0.2">
      <c r="A35" s="47" t="s">
        <v>50</v>
      </c>
      <c r="C35" s="47" t="s">
        <v>27</v>
      </c>
      <c r="E35" s="44">
        <v>3365532</v>
      </c>
      <c r="F35" s="44"/>
      <c r="G35" s="44">
        <v>961013</v>
      </c>
      <c r="H35" s="44"/>
      <c r="I35" s="44">
        <v>1877545</v>
      </c>
      <c r="J35" s="44"/>
      <c r="K35" s="44">
        <f>1654337+339905</f>
        <v>1994242</v>
      </c>
      <c r="L35" s="44"/>
      <c r="M35" s="44">
        <f>15750185+2051072</f>
        <v>17801257</v>
      </c>
      <c r="N35" s="44"/>
      <c r="O35" s="44">
        <v>0</v>
      </c>
      <c r="P35" s="44"/>
      <c r="Q35" s="44">
        <v>1393561</v>
      </c>
      <c r="R35" s="44"/>
      <c r="S35" s="44">
        <v>4702</v>
      </c>
      <c r="T35" s="44"/>
      <c r="U35" s="44">
        <v>2428</v>
      </c>
      <c r="V35" s="44"/>
      <c r="W35" s="44">
        <v>0</v>
      </c>
      <c r="X35" s="44"/>
      <c r="Y35" s="44">
        <v>0</v>
      </c>
      <c r="Z35" s="44"/>
      <c r="AA35" s="44">
        <f t="shared" si="1"/>
        <v>21196190</v>
      </c>
      <c r="AB35" s="44"/>
      <c r="AC35" s="44">
        <f t="shared" si="0"/>
        <v>27400280</v>
      </c>
    </row>
    <row r="36" spans="1:30" s="47" customFormat="1" ht="12.75" customHeight="1" x14ac:dyDescent="0.2">
      <c r="A36" s="47" t="s">
        <v>51</v>
      </c>
      <c r="C36" s="47" t="s">
        <v>27</v>
      </c>
      <c r="E36" s="44">
        <v>1831683</v>
      </c>
      <c r="F36" s="44"/>
      <c r="G36" s="44">
        <v>1106131</v>
      </c>
      <c r="H36" s="44"/>
      <c r="I36" s="44">
        <v>434258</v>
      </c>
      <c r="J36" s="44"/>
      <c r="K36" s="44">
        <f>642734+124163+307511+343337+298553+38584</f>
        <v>1754882</v>
      </c>
      <c r="L36" s="44"/>
      <c r="M36" s="44">
        <f>12463632+296719+298895+1730787</f>
        <v>14790033</v>
      </c>
      <c r="N36" s="44"/>
      <c r="O36" s="44">
        <v>300522</v>
      </c>
      <c r="P36" s="44"/>
      <c r="Q36" s="44">
        <v>1058307</v>
      </c>
      <c r="R36" s="44"/>
      <c r="S36" s="44">
        <v>31083</v>
      </c>
      <c r="T36" s="44"/>
      <c r="U36" s="44">
        <f>43705+115572</f>
        <v>159277</v>
      </c>
      <c r="V36" s="44"/>
      <c r="W36" s="44">
        <v>0</v>
      </c>
      <c r="X36" s="44"/>
      <c r="Y36" s="44">
        <v>0</v>
      </c>
      <c r="Z36" s="44"/>
      <c r="AA36" s="44">
        <f t="shared" si="1"/>
        <v>18094104</v>
      </c>
      <c r="AB36" s="44"/>
      <c r="AC36" s="44">
        <f t="shared" si="0"/>
        <v>21466176</v>
      </c>
    </row>
    <row r="37" spans="1:30" s="47" customFormat="1" ht="12.75" customHeight="1" x14ac:dyDescent="0.2">
      <c r="A37" s="47" t="s">
        <v>462</v>
      </c>
      <c r="C37" s="47" t="s">
        <v>66</v>
      </c>
      <c r="E37" s="44">
        <v>1104968</v>
      </c>
      <c r="F37" s="44"/>
      <c r="G37" s="44">
        <v>583483</v>
      </c>
      <c r="H37" s="44"/>
      <c r="I37" s="44">
        <v>539388</v>
      </c>
      <c r="J37" s="44"/>
      <c r="K37" s="44">
        <v>166058</v>
      </c>
      <c r="L37" s="44"/>
      <c r="M37" s="44">
        <v>2549295</v>
      </c>
      <c r="N37" s="44"/>
      <c r="O37" s="44">
        <v>0</v>
      </c>
      <c r="P37" s="44"/>
      <c r="Q37" s="44">
        <v>526246</v>
      </c>
      <c r="R37" s="44"/>
      <c r="S37" s="44">
        <v>11307</v>
      </c>
      <c r="T37" s="44"/>
      <c r="U37" s="44">
        <v>9082</v>
      </c>
      <c r="V37" s="44"/>
      <c r="W37" s="44">
        <v>-122066</v>
      </c>
      <c r="X37" s="44"/>
      <c r="Y37" s="44">
        <v>0</v>
      </c>
      <c r="Z37" s="44"/>
      <c r="AA37" s="44">
        <f t="shared" si="1"/>
        <v>3139922</v>
      </c>
      <c r="AB37" s="44"/>
      <c r="AC37" s="44">
        <f t="shared" si="0"/>
        <v>5367761</v>
      </c>
    </row>
    <row r="38" spans="1:30" s="47" customFormat="1" ht="12.75" customHeight="1" x14ac:dyDescent="0.2">
      <c r="A38" s="47" t="s">
        <v>52</v>
      </c>
      <c r="C38" s="47" t="s">
        <v>53</v>
      </c>
      <c r="E38" s="44">
        <v>3585155</v>
      </c>
      <c r="F38" s="44"/>
      <c r="G38" s="44">
        <v>2289557</v>
      </c>
      <c r="H38" s="44"/>
      <c r="I38" s="44">
        <v>1724921</v>
      </c>
      <c r="J38" s="44"/>
      <c r="K38" s="44">
        <f>1418940+191812</f>
        <v>1610752</v>
      </c>
      <c r="L38" s="44"/>
      <c r="M38" s="44">
        <f>3208310+72224+458449+3293225+844635+6129986+132191+431108</f>
        <v>14570128</v>
      </c>
      <c r="N38" s="44"/>
      <c r="O38" s="44">
        <v>0</v>
      </c>
      <c r="P38" s="44"/>
      <c r="Q38" s="44">
        <v>1381304</v>
      </c>
      <c r="R38" s="44"/>
      <c r="S38" s="44">
        <v>35458</v>
      </c>
      <c r="T38" s="44"/>
      <c r="U38" s="44">
        <v>70552</v>
      </c>
      <c r="V38" s="44"/>
      <c r="W38" s="44">
        <v>0</v>
      </c>
      <c r="X38" s="44"/>
      <c r="Y38" s="44">
        <v>0</v>
      </c>
      <c r="Z38" s="44"/>
      <c r="AA38" s="44">
        <f t="shared" si="1"/>
        <v>17668194</v>
      </c>
      <c r="AB38" s="44"/>
      <c r="AC38" s="44">
        <f t="shared" si="0"/>
        <v>25267827</v>
      </c>
    </row>
    <row r="39" spans="1:30" s="47" customFormat="1" ht="12.75" customHeight="1" x14ac:dyDescent="0.2">
      <c r="A39" s="47" t="s">
        <v>54</v>
      </c>
      <c r="C39" s="47" t="s">
        <v>55</v>
      </c>
      <c r="E39" s="44">
        <v>995983</v>
      </c>
      <c r="F39" s="44"/>
      <c r="G39" s="44">
        <v>850041</v>
      </c>
      <c r="H39" s="44"/>
      <c r="I39" s="44">
        <v>161092</v>
      </c>
      <c r="J39" s="44"/>
      <c r="K39" s="44">
        <v>435217</v>
      </c>
      <c r="L39" s="44"/>
      <c r="M39" s="44">
        <v>6383087</v>
      </c>
      <c r="N39" s="44"/>
      <c r="O39" s="44">
        <v>785763</v>
      </c>
      <c r="P39" s="44"/>
      <c r="Q39" s="44">
        <v>671663</v>
      </c>
      <c r="R39" s="44"/>
      <c r="S39" s="44">
        <v>13331</v>
      </c>
      <c r="T39" s="44"/>
      <c r="U39" s="44">
        <f>527604+21818</f>
        <v>549422</v>
      </c>
      <c r="V39" s="44"/>
      <c r="W39" s="44">
        <v>-487028</v>
      </c>
      <c r="X39" s="44"/>
      <c r="Y39" s="44">
        <v>0</v>
      </c>
      <c r="Z39" s="44"/>
      <c r="AA39" s="44">
        <f t="shared" si="1"/>
        <v>8351455</v>
      </c>
      <c r="AB39" s="44"/>
      <c r="AC39" s="44">
        <f t="shared" si="0"/>
        <v>10358571</v>
      </c>
    </row>
    <row r="40" spans="1:30" s="47" customFormat="1" ht="12.75" customHeight="1" x14ac:dyDescent="0.2">
      <c r="A40" s="47" t="s">
        <v>56</v>
      </c>
      <c r="C40" s="47" t="s">
        <v>57</v>
      </c>
      <c r="E40" s="44">
        <v>541305</v>
      </c>
      <c r="F40" s="44"/>
      <c r="G40" s="44">
        <v>839099</v>
      </c>
      <c r="H40" s="44"/>
      <c r="I40" s="44">
        <v>18800</v>
      </c>
      <c r="J40" s="44"/>
      <c r="K40" s="44">
        <f>496394+89980</f>
        <v>586374</v>
      </c>
      <c r="L40" s="44"/>
      <c r="M40" s="44">
        <f>2659596+1329798</f>
        <v>3989394</v>
      </c>
      <c r="N40" s="44"/>
      <c r="O40" s="44">
        <f>34334+139093</f>
        <v>173427</v>
      </c>
      <c r="P40" s="44"/>
      <c r="Q40" s="44">
        <v>589985</v>
      </c>
      <c r="R40" s="44"/>
      <c r="S40" s="44">
        <v>24170</v>
      </c>
      <c r="T40" s="44"/>
      <c r="U40" s="44">
        <v>183259</v>
      </c>
      <c r="V40" s="44"/>
      <c r="W40" s="44">
        <v>3000</v>
      </c>
      <c r="X40" s="44"/>
      <c r="Y40" s="44">
        <v>0</v>
      </c>
      <c r="Z40" s="44"/>
      <c r="AA40" s="44">
        <f t="shared" si="1"/>
        <v>5549609</v>
      </c>
      <c r="AB40" s="44"/>
      <c r="AC40" s="44">
        <f t="shared" si="0"/>
        <v>6948813</v>
      </c>
    </row>
    <row r="41" spans="1:30" s="47" customFormat="1" ht="12.75" customHeight="1" x14ac:dyDescent="0.2">
      <c r="A41" s="47" t="s">
        <v>58</v>
      </c>
      <c r="C41" s="47" t="s">
        <v>59</v>
      </c>
      <c r="E41" s="44">
        <v>1821334</v>
      </c>
      <c r="F41" s="44"/>
      <c r="G41" s="44">
        <v>1550978</v>
      </c>
      <c r="H41" s="44"/>
      <c r="I41" s="44">
        <v>3454919</v>
      </c>
      <c r="J41" s="44"/>
      <c r="K41" s="44">
        <f>284206+1144844</f>
        <v>1429050</v>
      </c>
      <c r="L41" s="44"/>
      <c r="M41" s="44">
        <f>4692508+1364738</f>
        <v>6057246</v>
      </c>
      <c r="N41" s="44"/>
      <c r="O41" s="44">
        <v>0</v>
      </c>
      <c r="P41" s="44"/>
      <c r="Q41" s="44">
        <v>845491</v>
      </c>
      <c r="R41" s="44"/>
      <c r="S41" s="44">
        <v>37289</v>
      </c>
      <c r="T41" s="44"/>
      <c r="U41" s="44">
        <v>69867</v>
      </c>
      <c r="V41" s="44"/>
      <c r="W41" s="44">
        <v>0</v>
      </c>
      <c r="X41" s="44"/>
      <c r="Y41" s="44">
        <v>0</v>
      </c>
      <c r="Z41" s="44"/>
      <c r="AA41" s="44">
        <f t="shared" si="1"/>
        <v>8438943</v>
      </c>
      <c r="AB41" s="44"/>
      <c r="AC41" s="44">
        <f t="shared" si="0"/>
        <v>15266174</v>
      </c>
    </row>
    <row r="42" spans="1:30" s="47" customFormat="1" ht="12.75" customHeight="1" x14ac:dyDescent="0.2">
      <c r="A42" s="47" t="s">
        <v>476</v>
      </c>
      <c r="C42" s="47" t="s">
        <v>15</v>
      </c>
      <c r="E42" s="44">
        <v>189246</v>
      </c>
      <c r="F42" s="44"/>
      <c r="G42" s="44">
        <v>348692</v>
      </c>
      <c r="H42" s="44"/>
      <c r="I42" s="44">
        <v>459472</v>
      </c>
      <c r="J42" s="44"/>
      <c r="K42" s="44">
        <f>194529+93374</f>
        <v>287903</v>
      </c>
      <c r="L42" s="44"/>
      <c r="M42" s="44">
        <f>1999600+136525</f>
        <v>2136125</v>
      </c>
      <c r="N42" s="44"/>
      <c r="O42" s="44">
        <v>0</v>
      </c>
      <c r="P42" s="44"/>
      <c r="Q42" s="44">
        <v>307238</v>
      </c>
      <c r="R42" s="44"/>
      <c r="S42" s="44">
        <v>102</v>
      </c>
      <c r="T42" s="44"/>
      <c r="U42" s="44">
        <v>75290</v>
      </c>
      <c r="V42" s="44"/>
      <c r="W42" s="44">
        <v>-60000</v>
      </c>
      <c r="X42" s="44"/>
      <c r="Y42" s="44">
        <v>0</v>
      </c>
      <c r="Z42" s="44"/>
      <c r="AA42" s="44">
        <f t="shared" si="1"/>
        <v>2746658</v>
      </c>
      <c r="AB42" s="44"/>
      <c r="AC42" s="44">
        <f t="shared" si="0"/>
        <v>3744068</v>
      </c>
    </row>
    <row r="43" spans="1:30" s="47" customFormat="1" ht="12.75" customHeight="1" x14ac:dyDescent="0.2">
      <c r="A43" s="44" t="s">
        <v>504</v>
      </c>
      <c r="C43" s="44" t="s">
        <v>43</v>
      </c>
      <c r="E43" s="44">
        <v>731272</v>
      </c>
      <c r="F43" s="44"/>
      <c r="G43" s="44">
        <v>361378</v>
      </c>
      <c r="H43" s="44"/>
      <c r="I43" s="44">
        <v>1148853</v>
      </c>
      <c r="J43" s="44"/>
      <c r="K43" s="44">
        <v>374788</v>
      </c>
      <c r="L43" s="44"/>
      <c r="M43" s="44">
        <v>3973124</v>
      </c>
      <c r="N43" s="44"/>
      <c r="O43" s="44">
        <f>60825+215295</f>
        <v>276120</v>
      </c>
      <c r="P43" s="44"/>
      <c r="Q43" s="44">
        <v>404116</v>
      </c>
      <c r="R43" s="44"/>
      <c r="S43" s="44">
        <v>128869</v>
      </c>
      <c r="T43" s="44"/>
      <c r="U43" s="44">
        <v>97413</v>
      </c>
      <c r="V43" s="44"/>
      <c r="W43" s="44">
        <v>-3095</v>
      </c>
      <c r="X43" s="44"/>
      <c r="Y43" s="44">
        <v>0</v>
      </c>
      <c r="Z43" s="44"/>
      <c r="AA43" s="44">
        <f t="shared" ref="AA43" si="4">SUM(K43:Y43)</f>
        <v>5251335</v>
      </c>
      <c r="AB43" s="44"/>
      <c r="AC43" s="44">
        <f t="shared" ref="AC43" si="5">SUM(E43:Y43)</f>
        <v>7492838</v>
      </c>
    </row>
    <row r="44" spans="1:30" s="47" customFormat="1" ht="12.75" customHeight="1" x14ac:dyDescent="0.2">
      <c r="A44" s="47" t="s">
        <v>60</v>
      </c>
      <c r="C44" s="47" t="s">
        <v>61</v>
      </c>
      <c r="E44" s="44">
        <v>520686</v>
      </c>
      <c r="F44" s="44"/>
      <c r="G44" s="44">
        <v>573690</v>
      </c>
      <c r="H44" s="44"/>
      <c r="I44" s="44">
        <v>228894</v>
      </c>
      <c r="J44" s="44"/>
      <c r="K44" s="44">
        <f>368070+122155</f>
        <v>490225</v>
      </c>
      <c r="L44" s="44"/>
      <c r="M44" s="44">
        <v>2504409</v>
      </c>
      <c r="N44" s="44"/>
      <c r="O44" s="44">
        <v>0</v>
      </c>
      <c r="P44" s="44"/>
      <c r="Q44" s="44">
        <v>426873</v>
      </c>
      <c r="R44" s="44"/>
      <c r="S44" s="44">
        <v>12137</v>
      </c>
      <c r="T44" s="44"/>
      <c r="U44" s="44">
        <f>49928+16764-86175</f>
        <v>-19483</v>
      </c>
      <c r="V44" s="44"/>
      <c r="W44" s="44">
        <v>1526</v>
      </c>
      <c r="X44" s="44"/>
      <c r="Y44" s="44">
        <v>0</v>
      </c>
      <c r="Z44" s="44"/>
      <c r="AA44" s="44">
        <f t="shared" si="1"/>
        <v>3415687</v>
      </c>
      <c r="AB44" s="44"/>
      <c r="AC44" s="44">
        <f t="shared" si="0"/>
        <v>4738957</v>
      </c>
    </row>
    <row r="45" spans="1:30" s="47" customFormat="1" ht="12.75" hidden="1" customHeight="1" x14ac:dyDescent="0.2">
      <c r="A45" s="47" t="s">
        <v>62</v>
      </c>
      <c r="C45" s="47" t="s">
        <v>15</v>
      </c>
      <c r="E45" s="44">
        <v>13848288</v>
      </c>
      <c r="F45" s="44"/>
      <c r="G45" s="44">
        <v>11296786</v>
      </c>
      <c r="H45" s="44"/>
      <c r="I45" s="44">
        <v>5146994</v>
      </c>
      <c r="J45" s="44"/>
      <c r="K45" s="44">
        <v>2691214</v>
      </c>
      <c r="L45" s="44"/>
      <c r="M45" s="44">
        <v>42597239</v>
      </c>
      <c r="N45" s="44"/>
      <c r="O45" s="44">
        <v>0</v>
      </c>
      <c r="P45" s="44"/>
      <c r="Q45" s="44">
        <v>9021156</v>
      </c>
      <c r="R45" s="44"/>
      <c r="S45" s="44">
        <v>88038</v>
      </c>
      <c r="T45" s="44"/>
      <c r="U45" s="44">
        <f>6412177+17398</f>
        <v>6429575</v>
      </c>
      <c r="V45" s="44"/>
      <c r="W45" s="44">
        <v>0</v>
      </c>
      <c r="X45" s="44"/>
      <c r="Y45" s="44">
        <v>0</v>
      </c>
      <c r="Z45" s="44"/>
      <c r="AA45" s="44">
        <f t="shared" si="1"/>
        <v>60827222</v>
      </c>
      <c r="AB45" s="44"/>
      <c r="AC45" s="44">
        <f t="shared" si="0"/>
        <v>91119290</v>
      </c>
      <c r="AD45" s="121" t="s">
        <v>503</v>
      </c>
    </row>
    <row r="46" spans="1:30" s="122" customFormat="1" ht="12.75" hidden="1" customHeight="1" x14ac:dyDescent="0.2">
      <c r="A46" s="122" t="s">
        <v>485</v>
      </c>
      <c r="C46" s="122" t="s">
        <v>111</v>
      </c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>
        <f t="shared" si="1"/>
        <v>0</v>
      </c>
      <c r="AB46" s="121"/>
      <c r="AC46" s="121">
        <f t="shared" si="0"/>
        <v>0</v>
      </c>
      <c r="AD46" s="121" t="s">
        <v>505</v>
      </c>
    </row>
    <row r="47" spans="1:30" s="47" customFormat="1" ht="12.75" customHeight="1" x14ac:dyDescent="0.2">
      <c r="A47" s="47" t="s">
        <v>63</v>
      </c>
      <c r="C47" s="47" t="s">
        <v>64</v>
      </c>
      <c r="E47" s="44">
        <v>1054928</v>
      </c>
      <c r="F47" s="44"/>
      <c r="G47" s="44">
        <v>732477</v>
      </c>
      <c r="H47" s="44"/>
      <c r="I47" s="44">
        <v>1909853</v>
      </c>
      <c r="J47" s="44"/>
      <c r="K47" s="44">
        <f>313797+47071+47071</f>
        <v>407939</v>
      </c>
      <c r="L47" s="44"/>
      <c r="M47" s="44">
        <v>3979624</v>
      </c>
      <c r="N47" s="44"/>
      <c r="O47" s="44">
        <f>876567+557698</f>
        <v>1434265</v>
      </c>
      <c r="P47" s="44"/>
      <c r="Q47" s="44">
        <v>603773</v>
      </c>
      <c r="R47" s="44"/>
      <c r="S47" s="44">
        <v>89126</v>
      </c>
      <c r="T47" s="44"/>
      <c r="U47" s="44">
        <f>849442+102548</f>
        <v>951990</v>
      </c>
      <c r="V47" s="44"/>
      <c r="W47" s="44">
        <v>78948</v>
      </c>
      <c r="X47" s="44"/>
      <c r="Y47" s="44">
        <v>0</v>
      </c>
      <c r="Z47" s="44"/>
      <c r="AA47" s="44">
        <f t="shared" si="1"/>
        <v>7545665</v>
      </c>
      <c r="AB47" s="44"/>
      <c r="AC47" s="44">
        <f t="shared" si="0"/>
        <v>11242923</v>
      </c>
    </row>
    <row r="48" spans="1:30" s="47" customFormat="1" ht="12.75" customHeight="1" x14ac:dyDescent="0.2">
      <c r="A48" s="47" t="s">
        <v>65</v>
      </c>
      <c r="C48" s="47" t="s">
        <v>66</v>
      </c>
      <c r="E48" s="44">
        <v>750459</v>
      </c>
      <c r="F48" s="44"/>
      <c r="G48" s="44">
        <v>1339391</v>
      </c>
      <c r="H48" s="44"/>
      <c r="I48" s="44">
        <v>722417</v>
      </c>
      <c r="J48" s="44"/>
      <c r="K48" s="44">
        <v>1552250</v>
      </c>
      <c r="L48" s="44"/>
      <c r="M48" s="44">
        <v>12109247</v>
      </c>
      <c r="N48" s="44"/>
      <c r="O48" s="44">
        <v>0</v>
      </c>
      <c r="P48" s="44"/>
      <c r="Q48" s="44">
        <v>2499558</v>
      </c>
      <c r="R48" s="44"/>
      <c r="S48" s="44">
        <v>169851</v>
      </c>
      <c r="T48" s="44"/>
      <c r="U48" s="44">
        <v>350675</v>
      </c>
      <c r="V48" s="44"/>
      <c r="W48" s="44">
        <v>-2364000</v>
      </c>
      <c r="X48" s="44"/>
      <c r="Y48" s="44">
        <v>0</v>
      </c>
      <c r="Z48" s="44"/>
      <c r="AA48" s="44">
        <f t="shared" si="1"/>
        <v>14317581</v>
      </c>
      <c r="AB48" s="44"/>
      <c r="AC48" s="44">
        <f t="shared" si="0"/>
        <v>17129848</v>
      </c>
    </row>
    <row r="49" spans="1:29" s="47" customFormat="1" ht="12.75" customHeight="1" x14ac:dyDescent="0.2">
      <c r="A49" s="47" t="s">
        <v>67</v>
      </c>
      <c r="C49" s="47" t="s">
        <v>375</v>
      </c>
      <c r="E49" s="44">
        <v>2071971</v>
      </c>
      <c r="F49" s="44"/>
      <c r="G49" s="44">
        <v>549022</v>
      </c>
      <c r="H49" s="44"/>
      <c r="I49" s="44">
        <v>500000</v>
      </c>
      <c r="J49" s="44"/>
      <c r="K49" s="44">
        <f>402817+732731</f>
        <v>1135548</v>
      </c>
      <c r="L49" s="44"/>
      <c r="M49" s="44">
        <v>5266161</v>
      </c>
      <c r="N49" s="44"/>
      <c r="O49" s="44">
        <v>0</v>
      </c>
      <c r="P49" s="44"/>
      <c r="Q49" s="44">
        <v>270334</v>
      </c>
      <c r="R49" s="44"/>
      <c r="S49" s="44">
        <v>32829</v>
      </c>
      <c r="T49" s="44"/>
      <c r="U49" s="44">
        <f>1325+266401</f>
        <v>267726</v>
      </c>
      <c r="V49" s="44"/>
      <c r="W49" s="44">
        <v>-580998</v>
      </c>
      <c r="X49" s="44"/>
      <c r="Y49" s="44">
        <v>0</v>
      </c>
      <c r="Z49" s="44"/>
      <c r="AA49" s="44">
        <f t="shared" si="1"/>
        <v>6391600</v>
      </c>
      <c r="AB49" s="44"/>
      <c r="AC49" s="44">
        <f t="shared" si="0"/>
        <v>9512593</v>
      </c>
    </row>
    <row r="50" spans="1:29" s="47" customFormat="1" ht="12.75" customHeight="1" x14ac:dyDescent="0.2">
      <c r="A50" s="47" t="s">
        <v>68</v>
      </c>
      <c r="C50" s="47" t="s">
        <v>45</v>
      </c>
      <c r="E50" s="44">
        <v>426301</v>
      </c>
      <c r="F50" s="44"/>
      <c r="G50" s="44">
        <v>495451</v>
      </c>
      <c r="H50" s="44"/>
      <c r="I50" s="44">
        <v>251381</v>
      </c>
      <c r="J50" s="44"/>
      <c r="K50" s="44">
        <f>1669128+144039</f>
        <v>1813167</v>
      </c>
      <c r="L50" s="44"/>
      <c r="M50" s="44">
        <v>1624562</v>
      </c>
      <c r="N50" s="44"/>
      <c r="O50" s="44">
        <v>71443</v>
      </c>
      <c r="P50" s="44"/>
      <c r="Q50" s="44">
        <v>679043</v>
      </c>
      <c r="R50" s="44"/>
      <c r="S50" s="44">
        <v>2182</v>
      </c>
      <c r="T50" s="44"/>
      <c r="U50" s="44">
        <v>37615</v>
      </c>
      <c r="V50" s="44"/>
      <c r="W50" s="44">
        <v>0</v>
      </c>
      <c r="X50" s="44"/>
      <c r="Y50" s="44">
        <v>0</v>
      </c>
      <c r="Z50" s="44"/>
      <c r="AA50" s="44">
        <f t="shared" si="1"/>
        <v>4228012</v>
      </c>
      <c r="AB50" s="44"/>
      <c r="AC50" s="44">
        <f t="shared" si="0"/>
        <v>5401145</v>
      </c>
    </row>
    <row r="51" spans="1:29" s="47" customFormat="1" ht="12.75" customHeight="1" x14ac:dyDescent="0.2">
      <c r="A51" s="47" t="s">
        <v>69</v>
      </c>
      <c r="C51" s="47" t="s">
        <v>70</v>
      </c>
      <c r="E51" s="44">
        <v>5637987</v>
      </c>
      <c r="F51" s="44"/>
      <c r="G51" s="44">
        <v>4271961</v>
      </c>
      <c r="H51" s="44"/>
      <c r="I51" s="44">
        <v>336199</v>
      </c>
      <c r="J51" s="44"/>
      <c r="K51" s="44">
        <f>899306+216144</f>
        <v>1115450</v>
      </c>
      <c r="L51" s="44"/>
      <c r="M51" s="44">
        <f>9348023+679854+849806</f>
        <v>10877683</v>
      </c>
      <c r="N51" s="44"/>
      <c r="O51" s="44">
        <v>207975</v>
      </c>
      <c r="P51" s="44"/>
      <c r="Q51" s="44">
        <v>1937176</v>
      </c>
      <c r="R51" s="44"/>
      <c r="S51" s="44">
        <v>50035</v>
      </c>
      <c r="T51" s="44"/>
      <c r="U51" s="44">
        <v>341810</v>
      </c>
      <c r="V51" s="44"/>
      <c r="W51" s="44">
        <v>-14352</v>
      </c>
      <c r="X51" s="44"/>
      <c r="Y51" s="44">
        <v>0</v>
      </c>
      <c r="Z51" s="44"/>
      <c r="AA51" s="44">
        <f t="shared" si="1"/>
        <v>14515777</v>
      </c>
      <c r="AB51" s="44"/>
      <c r="AC51" s="44">
        <f t="shared" si="0"/>
        <v>24761924</v>
      </c>
    </row>
    <row r="52" spans="1:29" s="47" customFormat="1" ht="12.75" customHeight="1" x14ac:dyDescent="0.2">
      <c r="A52" s="47" t="s">
        <v>71</v>
      </c>
      <c r="C52" s="47" t="s">
        <v>45</v>
      </c>
      <c r="E52" s="44">
        <v>105907000</v>
      </c>
      <c r="F52" s="44"/>
      <c r="G52" s="44">
        <v>66024000</v>
      </c>
      <c r="H52" s="44"/>
      <c r="I52" s="44">
        <v>27012000</v>
      </c>
      <c r="J52" s="44"/>
      <c r="K52" s="44">
        <v>53335000</v>
      </c>
      <c r="L52" s="44"/>
      <c r="M52" s="44">
        <v>325089000</v>
      </c>
      <c r="N52" s="44"/>
      <c r="O52" s="44">
        <f>4450000+60326000+2270000</f>
        <v>67046000</v>
      </c>
      <c r="P52" s="44"/>
      <c r="Q52" s="44">
        <v>0</v>
      </c>
      <c r="R52" s="44"/>
      <c r="S52" s="44">
        <v>9407000</v>
      </c>
      <c r="T52" s="44"/>
      <c r="U52" s="44">
        <v>42756000</v>
      </c>
      <c r="V52" s="44"/>
      <c r="W52" s="44">
        <v>-571000</v>
      </c>
      <c r="X52" s="44"/>
      <c r="Y52" s="44">
        <v>14000000</v>
      </c>
      <c r="Z52" s="44"/>
      <c r="AA52" s="44">
        <f t="shared" si="1"/>
        <v>511062000</v>
      </c>
      <c r="AB52" s="44"/>
      <c r="AC52" s="44">
        <f t="shared" si="0"/>
        <v>710005000</v>
      </c>
    </row>
    <row r="53" spans="1:29" s="47" customFormat="1" ht="12.75" customHeight="1" x14ac:dyDescent="0.2">
      <c r="A53" s="47" t="s">
        <v>463</v>
      </c>
      <c r="C53" s="47" t="s">
        <v>464</v>
      </c>
      <c r="E53" s="44">
        <v>1719328</v>
      </c>
      <c r="F53" s="44"/>
      <c r="G53" s="44">
        <v>925333</v>
      </c>
      <c r="H53" s="44"/>
      <c r="I53" s="44">
        <v>349</v>
      </c>
      <c r="J53" s="44"/>
      <c r="K53" s="44">
        <f>769345+120418</f>
        <v>889763</v>
      </c>
      <c r="L53" s="44"/>
      <c r="M53" s="44">
        <f>1851204+1739241+299050+856946</f>
        <v>4746441</v>
      </c>
      <c r="N53" s="44"/>
      <c r="O53" s="44">
        <v>261245</v>
      </c>
      <c r="P53" s="44"/>
      <c r="Q53" s="44">
        <v>1859815</v>
      </c>
      <c r="R53" s="44"/>
      <c r="S53" s="44">
        <v>95828</v>
      </c>
      <c r="T53" s="44"/>
      <c r="U53" s="44">
        <f>10000+203422</f>
        <v>213422</v>
      </c>
      <c r="V53" s="44"/>
      <c r="W53" s="44">
        <v>0</v>
      </c>
      <c r="X53" s="44"/>
      <c r="Y53" s="44">
        <v>0</v>
      </c>
      <c r="Z53" s="44"/>
      <c r="AA53" s="44">
        <f t="shared" si="1"/>
        <v>8066514</v>
      </c>
      <c r="AB53" s="44"/>
      <c r="AC53" s="44">
        <f t="shared" si="0"/>
        <v>10711524</v>
      </c>
    </row>
    <row r="54" spans="1:29" s="47" customFormat="1" ht="12.75" customHeight="1" x14ac:dyDescent="0.2">
      <c r="A54" s="47" t="s">
        <v>72</v>
      </c>
      <c r="C54" s="47" t="s">
        <v>66</v>
      </c>
      <c r="E54" s="44">
        <v>1149237</v>
      </c>
      <c r="F54" s="44"/>
      <c r="G54" s="44">
        <v>1567345</v>
      </c>
      <c r="H54" s="44"/>
      <c r="I54" s="44">
        <v>1231631</v>
      </c>
      <c r="J54" s="44"/>
      <c r="K54" s="44">
        <f>368775+1217195+798572+179062</f>
        <v>2563604</v>
      </c>
      <c r="L54" s="44"/>
      <c r="M54" s="44">
        <f>1422784+704294</f>
        <v>2127078</v>
      </c>
      <c r="N54" s="44"/>
      <c r="O54" s="44">
        <f>224968+187734</f>
        <v>412702</v>
      </c>
      <c r="P54" s="44"/>
      <c r="Q54" s="44">
        <v>1043924</v>
      </c>
      <c r="R54" s="44"/>
      <c r="S54" s="44">
        <v>10657</v>
      </c>
      <c r="T54" s="44"/>
      <c r="U54" s="44">
        <f>4121+84781</f>
        <v>88902</v>
      </c>
      <c r="V54" s="44"/>
      <c r="W54" s="44">
        <v>-201193</v>
      </c>
      <c r="X54" s="44"/>
      <c r="Y54" s="44">
        <v>0</v>
      </c>
      <c r="Z54" s="44"/>
      <c r="AA54" s="44">
        <f t="shared" si="1"/>
        <v>6045674</v>
      </c>
      <c r="AB54" s="44"/>
      <c r="AC54" s="44">
        <f t="shared" si="0"/>
        <v>9993887</v>
      </c>
    </row>
    <row r="55" spans="1:29" s="47" customFormat="1" ht="12.75" customHeight="1" x14ac:dyDescent="0.2">
      <c r="A55" s="47" t="s">
        <v>73</v>
      </c>
      <c r="C55" s="47" t="s">
        <v>27</v>
      </c>
      <c r="E55" s="44">
        <v>84681000</v>
      </c>
      <c r="F55" s="44"/>
      <c r="G55" s="44">
        <v>135355000</v>
      </c>
      <c r="H55" s="44"/>
      <c r="I55" s="44">
        <v>14005000</v>
      </c>
      <c r="J55" s="44"/>
      <c r="K55" s="44">
        <v>63839000</v>
      </c>
      <c r="L55" s="44"/>
      <c r="M55" s="44">
        <v>311492000</v>
      </c>
      <c r="N55" s="44"/>
      <c r="O55" s="44">
        <v>27312000</v>
      </c>
      <c r="P55" s="44"/>
      <c r="Q55" s="44">
        <f>19558000+43821000</f>
        <v>63379000</v>
      </c>
      <c r="R55" s="44"/>
      <c r="S55" s="44">
        <v>97000</v>
      </c>
      <c r="T55" s="44"/>
      <c r="U55" s="44">
        <v>19086000</v>
      </c>
      <c r="V55" s="44"/>
      <c r="W55" s="44">
        <v>-2031000</v>
      </c>
      <c r="X55" s="44"/>
      <c r="Y55" s="44">
        <v>0</v>
      </c>
      <c r="Z55" s="44"/>
      <c r="AA55" s="44">
        <f t="shared" si="1"/>
        <v>483174000</v>
      </c>
      <c r="AB55" s="44"/>
      <c r="AC55" s="44">
        <f t="shared" si="0"/>
        <v>717215000</v>
      </c>
    </row>
    <row r="56" spans="1:29" s="47" customFormat="1" ht="12.75" customHeight="1" x14ac:dyDescent="0.2">
      <c r="A56" s="47" t="s">
        <v>74</v>
      </c>
      <c r="C56" s="47" t="s">
        <v>27</v>
      </c>
      <c r="E56" s="44">
        <v>12259889</v>
      </c>
      <c r="F56" s="44"/>
      <c r="G56" s="44">
        <v>4953832</v>
      </c>
      <c r="H56" s="44"/>
      <c r="I56" s="44">
        <v>0</v>
      </c>
      <c r="J56" s="44"/>
      <c r="K56" s="44">
        <f>6955676+238627+238627+2306722+556794</f>
        <v>10296446</v>
      </c>
      <c r="L56" s="44"/>
      <c r="M56" s="44">
        <v>24162250</v>
      </c>
      <c r="N56" s="44"/>
      <c r="O56" s="44">
        <f>273716+565476+141241</f>
        <v>980433</v>
      </c>
      <c r="P56" s="44"/>
      <c r="Q56" s="44">
        <v>4919000</v>
      </c>
      <c r="R56" s="44"/>
      <c r="S56" s="44">
        <v>127999</v>
      </c>
      <c r="T56" s="44"/>
      <c r="U56" s="44">
        <v>1694674</v>
      </c>
      <c r="V56" s="44"/>
      <c r="W56" s="44">
        <v>14385</v>
      </c>
      <c r="X56" s="44"/>
      <c r="Y56" s="44">
        <v>0</v>
      </c>
      <c r="Z56" s="44"/>
      <c r="AA56" s="44">
        <f t="shared" si="1"/>
        <v>42195187</v>
      </c>
      <c r="AB56" s="44"/>
      <c r="AC56" s="44">
        <f t="shared" si="0"/>
        <v>59408908</v>
      </c>
    </row>
    <row r="57" spans="1:29" s="47" customFormat="1" ht="12.75" customHeight="1" x14ac:dyDescent="0.2">
      <c r="A57" s="47" t="s">
        <v>75</v>
      </c>
      <c r="C57" s="47" t="s">
        <v>76</v>
      </c>
      <c r="E57" s="44">
        <v>386638</v>
      </c>
      <c r="F57" s="44"/>
      <c r="G57" s="44">
        <v>426231</v>
      </c>
      <c r="H57" s="44"/>
      <c r="I57" s="44">
        <v>194809</v>
      </c>
      <c r="J57" s="44"/>
      <c r="K57" s="44">
        <f>274582+28335</f>
        <v>302917</v>
      </c>
      <c r="L57" s="44"/>
      <c r="M57" s="44">
        <f>2719301+967457</f>
        <v>3686758</v>
      </c>
      <c r="N57" s="44"/>
      <c r="O57" s="44">
        <v>257802</v>
      </c>
      <c r="P57" s="44"/>
      <c r="Q57" s="44">
        <v>293673</v>
      </c>
      <c r="R57" s="44"/>
      <c r="S57" s="44">
        <v>43801</v>
      </c>
      <c r="T57" s="44"/>
      <c r="U57" s="44">
        <v>167129</v>
      </c>
      <c r="V57" s="44"/>
      <c r="W57" s="44">
        <v>-13044</v>
      </c>
      <c r="X57" s="44"/>
      <c r="Y57" s="44">
        <v>0</v>
      </c>
      <c r="Z57" s="44"/>
      <c r="AA57" s="44">
        <f t="shared" si="1"/>
        <v>4739036</v>
      </c>
      <c r="AB57" s="44"/>
      <c r="AC57" s="44">
        <f t="shared" si="0"/>
        <v>5746714</v>
      </c>
    </row>
    <row r="58" spans="1:29" s="47" customFormat="1" ht="12.75" hidden="1" customHeight="1" x14ac:dyDescent="0.2">
      <c r="A58" s="47" t="s">
        <v>77</v>
      </c>
      <c r="C58" s="47" t="s">
        <v>43</v>
      </c>
      <c r="E58" s="44">
        <v>142089000</v>
      </c>
      <c r="F58" s="44"/>
      <c r="G58" s="44">
        <v>195358000</v>
      </c>
      <c r="H58" s="44"/>
      <c r="I58" s="44">
        <v>53792000</v>
      </c>
      <c r="J58" s="44"/>
      <c r="K58" s="44">
        <v>48297000</v>
      </c>
      <c r="L58" s="44"/>
      <c r="M58" s="44">
        <v>679878000</v>
      </c>
      <c r="N58" s="44"/>
      <c r="O58" s="44">
        <f>15027000+3148000</f>
        <v>18175000</v>
      </c>
      <c r="P58" s="44"/>
      <c r="Q58" s="44">
        <v>48768000</v>
      </c>
      <c r="R58" s="44"/>
      <c r="S58" s="44">
        <v>5166000</v>
      </c>
      <c r="T58" s="44"/>
      <c r="U58" s="44">
        <f>25096000+2186000</f>
        <v>27282000</v>
      </c>
      <c r="V58" s="44"/>
      <c r="W58" s="44">
        <v>-1716000</v>
      </c>
      <c r="X58" s="44"/>
      <c r="Y58" s="44">
        <v>0</v>
      </c>
      <c r="Z58" s="44"/>
      <c r="AA58" s="44">
        <f t="shared" si="1"/>
        <v>825850000</v>
      </c>
      <c r="AB58" s="44"/>
      <c r="AC58" s="44">
        <f t="shared" si="0"/>
        <v>1217089000</v>
      </c>
    </row>
    <row r="59" spans="1:29" s="47" customFormat="1" ht="12.75" customHeight="1" x14ac:dyDescent="0.2">
      <c r="A59" s="47" t="s">
        <v>94</v>
      </c>
      <c r="C59" s="47" t="s">
        <v>94</v>
      </c>
      <c r="E59" s="44">
        <v>446992</v>
      </c>
      <c r="F59" s="44"/>
      <c r="G59" s="44">
        <v>390354</v>
      </c>
      <c r="H59" s="44"/>
      <c r="I59" s="44">
        <v>47364</v>
      </c>
      <c r="J59" s="44"/>
      <c r="K59" s="44">
        <f>284733+73027+265319</f>
        <v>623079</v>
      </c>
      <c r="L59" s="44"/>
      <c r="M59" s="44">
        <v>1868374</v>
      </c>
      <c r="N59" s="44"/>
      <c r="O59" s="44">
        <v>46955</v>
      </c>
      <c r="P59" s="44"/>
      <c r="Q59" s="44">
        <v>720070</v>
      </c>
      <c r="R59" s="44"/>
      <c r="S59" s="44">
        <v>21305</v>
      </c>
      <c r="T59" s="44"/>
      <c r="U59" s="44">
        <v>122728</v>
      </c>
      <c r="V59" s="44"/>
      <c r="W59" s="44">
        <v>0</v>
      </c>
      <c r="X59" s="44"/>
      <c r="Y59" s="44">
        <v>0</v>
      </c>
      <c r="Z59" s="44"/>
      <c r="AA59" s="44">
        <f t="shared" si="1"/>
        <v>3402511</v>
      </c>
      <c r="AB59" s="44"/>
      <c r="AC59" s="44">
        <f t="shared" si="0"/>
        <v>4287221</v>
      </c>
    </row>
    <row r="60" spans="1:29" s="47" customFormat="1" ht="12.75" customHeight="1" x14ac:dyDescent="0.2">
      <c r="A60" s="47" t="s">
        <v>78</v>
      </c>
      <c r="C60" s="47" t="s">
        <v>19</v>
      </c>
      <c r="E60" s="44">
        <v>1078214</v>
      </c>
      <c r="F60" s="44"/>
      <c r="G60" s="44">
        <v>1013952</v>
      </c>
      <c r="H60" s="44"/>
      <c r="I60" s="44">
        <v>426285</v>
      </c>
      <c r="J60" s="44"/>
      <c r="K60" s="44">
        <f>355721+146123+756686</f>
        <v>1258530</v>
      </c>
      <c r="L60" s="44"/>
      <c r="M60" s="44">
        <f>2028347+274515+458270+48613</f>
        <v>2809745</v>
      </c>
      <c r="N60" s="44"/>
      <c r="O60" s="44">
        <f>18744+130915</f>
        <v>149659</v>
      </c>
      <c r="P60" s="44"/>
      <c r="Q60" s="44">
        <v>675631</v>
      </c>
      <c r="R60" s="44"/>
      <c r="S60" s="44">
        <v>2935</v>
      </c>
      <c r="T60" s="44"/>
      <c r="U60" s="44">
        <f>20056+84221</f>
        <v>104277</v>
      </c>
      <c r="V60" s="44"/>
      <c r="W60" s="44">
        <v>0</v>
      </c>
      <c r="X60" s="44"/>
      <c r="Y60" s="44">
        <v>0</v>
      </c>
      <c r="Z60" s="44"/>
      <c r="AA60" s="44">
        <f t="shared" si="1"/>
        <v>5000777</v>
      </c>
      <c r="AB60" s="44"/>
      <c r="AC60" s="44">
        <f t="shared" si="0"/>
        <v>7519228</v>
      </c>
    </row>
    <row r="61" spans="1:29" s="47" customFormat="1" ht="12.75" customHeight="1" x14ac:dyDescent="0.2">
      <c r="A61" s="47" t="s">
        <v>79</v>
      </c>
      <c r="C61" s="47" t="s">
        <v>80</v>
      </c>
      <c r="E61" s="44">
        <v>469500</v>
      </c>
      <c r="F61" s="44"/>
      <c r="G61" s="44">
        <v>754641</v>
      </c>
      <c r="H61" s="44"/>
      <c r="I61" s="44">
        <v>277120</v>
      </c>
      <c r="J61" s="44"/>
      <c r="K61" s="44">
        <f>476774+811155+803892</f>
        <v>2091821</v>
      </c>
      <c r="L61" s="44"/>
      <c r="M61" s="44">
        <v>0</v>
      </c>
      <c r="N61" s="44"/>
      <c r="O61" s="44">
        <v>0</v>
      </c>
      <c r="P61" s="44"/>
      <c r="Q61" s="44">
        <v>363656</v>
      </c>
      <c r="R61" s="44"/>
      <c r="S61" s="44">
        <v>16157</v>
      </c>
      <c r="T61" s="44"/>
      <c r="U61" s="44">
        <f>7005+42222</f>
        <v>49227</v>
      </c>
      <c r="V61" s="44"/>
      <c r="W61" s="44">
        <v>0</v>
      </c>
      <c r="X61" s="44"/>
      <c r="Y61" s="44">
        <v>0</v>
      </c>
      <c r="Z61" s="44"/>
      <c r="AA61" s="44">
        <f t="shared" si="1"/>
        <v>2520861</v>
      </c>
      <c r="AB61" s="44"/>
      <c r="AC61" s="44">
        <f t="shared" si="0"/>
        <v>4022122</v>
      </c>
    </row>
    <row r="62" spans="1:29" s="47" customFormat="1" ht="12.75" customHeight="1" x14ac:dyDescent="0.2">
      <c r="A62" s="47" t="s">
        <v>81</v>
      </c>
      <c r="C62" s="47" t="s">
        <v>81</v>
      </c>
      <c r="E62" s="44">
        <v>1388167</v>
      </c>
      <c r="F62" s="44"/>
      <c r="G62" s="44">
        <v>1081592</v>
      </c>
      <c r="H62" s="44"/>
      <c r="I62" s="44">
        <v>15850</v>
      </c>
      <c r="J62" s="44"/>
      <c r="K62" s="44">
        <f>393324+47389</f>
        <v>440713</v>
      </c>
      <c r="L62" s="44"/>
      <c r="M62" s="44">
        <f>2120476+1014019+37973+372511+38362+473068</f>
        <v>4056409</v>
      </c>
      <c r="N62" s="44"/>
      <c r="O62" s="44">
        <f>13514+67356+37541+123111</f>
        <v>241522</v>
      </c>
      <c r="P62" s="44"/>
      <c r="Q62" s="44">
        <v>810231</v>
      </c>
      <c r="R62" s="44"/>
      <c r="S62" s="44">
        <v>16432</v>
      </c>
      <c r="T62" s="44"/>
      <c r="U62" s="44">
        <v>117559</v>
      </c>
      <c r="V62" s="44"/>
      <c r="W62" s="44">
        <v>0</v>
      </c>
      <c r="X62" s="44"/>
      <c r="Y62" s="44">
        <v>0</v>
      </c>
      <c r="Z62" s="44"/>
      <c r="AA62" s="44">
        <f t="shared" si="1"/>
        <v>5682866</v>
      </c>
      <c r="AB62" s="44"/>
      <c r="AC62" s="44">
        <f t="shared" si="0"/>
        <v>8168475</v>
      </c>
    </row>
    <row r="63" spans="1:29" s="122" customFormat="1" ht="12.75" hidden="1" customHeight="1" x14ac:dyDescent="0.2">
      <c r="A63" s="122" t="s">
        <v>465</v>
      </c>
      <c r="C63" s="122" t="s">
        <v>57</v>
      </c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>
        <f t="shared" si="1"/>
        <v>0</v>
      </c>
      <c r="AB63" s="121"/>
      <c r="AC63" s="121">
        <f t="shared" si="0"/>
        <v>0</v>
      </c>
    </row>
    <row r="64" spans="1:29" s="47" customFormat="1" ht="12.75" customHeight="1" x14ac:dyDescent="0.2">
      <c r="A64" s="47" t="s">
        <v>82</v>
      </c>
      <c r="C64" s="47" t="s">
        <v>13</v>
      </c>
      <c r="E64" s="44">
        <v>7339735</v>
      </c>
      <c r="F64" s="44"/>
      <c r="G64" s="44">
        <v>2957809</v>
      </c>
      <c r="H64" s="44"/>
      <c r="I64" s="44">
        <v>3438815</v>
      </c>
      <c r="J64" s="44"/>
      <c r="K64" s="44">
        <f>9965744+831460</f>
        <v>10797204</v>
      </c>
      <c r="L64" s="44"/>
      <c r="M64" s="44">
        <f>11727223+1497013+5488423</f>
        <v>18712659</v>
      </c>
      <c r="N64" s="44"/>
      <c r="O64" s="44">
        <v>0</v>
      </c>
      <c r="P64" s="44"/>
      <c r="Q64" s="44">
        <v>4028813</v>
      </c>
      <c r="R64" s="44"/>
      <c r="S64" s="44">
        <v>299015</v>
      </c>
      <c r="T64" s="44"/>
      <c r="U64" s="44">
        <v>0</v>
      </c>
      <c r="V64" s="44"/>
      <c r="W64" s="44">
        <v>-2127130</v>
      </c>
      <c r="X64" s="44"/>
      <c r="Y64" s="44">
        <v>0</v>
      </c>
      <c r="Z64" s="44"/>
      <c r="AA64" s="44">
        <f t="shared" si="1"/>
        <v>31710561</v>
      </c>
      <c r="AB64" s="44"/>
      <c r="AC64" s="44">
        <f t="shared" si="0"/>
        <v>45446920</v>
      </c>
    </row>
    <row r="65" spans="1:32" s="47" customFormat="1" ht="12.75" customHeight="1" x14ac:dyDescent="0.2">
      <c r="A65" s="47" t="s">
        <v>83</v>
      </c>
      <c r="C65" s="47" t="s">
        <v>66</v>
      </c>
      <c r="E65" s="44">
        <v>36604606</v>
      </c>
      <c r="F65" s="44"/>
      <c r="G65" s="44">
        <v>35387609</v>
      </c>
      <c r="H65" s="44"/>
      <c r="I65" s="44">
        <v>12849894</v>
      </c>
      <c r="J65" s="44"/>
      <c r="K65" s="44">
        <f>10158293+8700128+514880</f>
        <v>19373301</v>
      </c>
      <c r="L65" s="44"/>
      <c r="M65" s="44">
        <v>100129761</v>
      </c>
      <c r="N65" s="44"/>
      <c r="O65" s="44">
        <v>669323</v>
      </c>
      <c r="P65" s="44"/>
      <c r="Q65" s="44">
        <v>19159472</v>
      </c>
      <c r="R65" s="44"/>
      <c r="S65" s="44">
        <v>1945150</v>
      </c>
      <c r="T65" s="44"/>
      <c r="U65" s="44">
        <v>1199153</v>
      </c>
      <c r="V65" s="44"/>
      <c r="W65" s="44">
        <v>368339</v>
      </c>
      <c r="X65" s="44"/>
      <c r="Y65" s="44">
        <v>0</v>
      </c>
      <c r="Z65" s="44"/>
      <c r="AA65" s="44">
        <f t="shared" si="1"/>
        <v>142844499</v>
      </c>
      <c r="AB65" s="44"/>
      <c r="AC65" s="44">
        <f t="shared" si="0"/>
        <v>227686608</v>
      </c>
    </row>
    <row r="66" spans="1:32" s="47" customFormat="1" ht="12.75" customHeight="1" x14ac:dyDescent="0.2">
      <c r="A66" s="47" t="s">
        <v>84</v>
      </c>
      <c r="C66" s="47" t="s">
        <v>45</v>
      </c>
      <c r="E66" s="44">
        <v>219785</v>
      </c>
      <c r="F66" s="44"/>
      <c r="G66" s="44">
        <v>26885</v>
      </c>
      <c r="H66" s="44"/>
      <c r="I66" s="44">
        <v>316153</v>
      </c>
      <c r="J66" s="44"/>
      <c r="K66" s="44">
        <f>961003+27967</f>
        <v>988970</v>
      </c>
      <c r="L66" s="44"/>
      <c r="M66" s="44">
        <v>1159107</v>
      </c>
      <c r="N66" s="44"/>
      <c r="O66" s="44">
        <v>0</v>
      </c>
      <c r="P66" s="44"/>
      <c r="Q66" s="44">
        <v>601879</v>
      </c>
      <c r="R66" s="44"/>
      <c r="S66" s="44">
        <v>3916</v>
      </c>
      <c r="T66" s="44"/>
      <c r="U66" s="44">
        <v>0</v>
      </c>
      <c r="V66" s="44"/>
      <c r="W66" s="44">
        <v>0</v>
      </c>
      <c r="X66" s="44"/>
      <c r="Y66" s="44">
        <v>0</v>
      </c>
      <c r="Z66" s="44"/>
      <c r="AA66" s="44">
        <f t="shared" si="1"/>
        <v>2753872</v>
      </c>
      <c r="AB66" s="44"/>
      <c r="AC66" s="44">
        <f t="shared" si="0"/>
        <v>3316695</v>
      </c>
    </row>
    <row r="67" spans="1:32" s="47" customFormat="1" ht="12.75" customHeight="1" x14ac:dyDescent="0.2">
      <c r="A67" s="47" t="s">
        <v>85</v>
      </c>
      <c r="C67" s="47" t="s">
        <v>85</v>
      </c>
      <c r="E67" s="44">
        <v>1724204</v>
      </c>
      <c r="F67" s="44"/>
      <c r="G67" s="44">
        <v>1863347</v>
      </c>
      <c r="H67" s="44"/>
      <c r="I67" s="44">
        <v>1056917</v>
      </c>
      <c r="J67" s="44"/>
      <c r="K67" s="44">
        <f>521650+365707</f>
        <v>887357</v>
      </c>
      <c r="L67" s="44"/>
      <c r="M67" s="44">
        <f>5295582+21871+1312258</f>
        <v>6629711</v>
      </c>
      <c r="N67" s="44"/>
      <c r="O67" s="44">
        <v>82256</v>
      </c>
      <c r="P67" s="44"/>
      <c r="Q67" s="44">
        <v>1028494</v>
      </c>
      <c r="R67" s="44"/>
      <c r="S67" s="44">
        <v>19885</v>
      </c>
      <c r="T67" s="44"/>
      <c r="U67" s="44">
        <v>101646</v>
      </c>
      <c r="V67" s="44"/>
      <c r="W67" s="44">
        <v>-50409</v>
      </c>
      <c r="X67" s="44"/>
      <c r="Y67" s="44">
        <v>0</v>
      </c>
      <c r="Z67" s="44"/>
      <c r="AA67" s="44">
        <f t="shared" si="1"/>
        <v>8698940</v>
      </c>
      <c r="AB67" s="44"/>
      <c r="AC67" s="44">
        <f t="shared" si="0"/>
        <v>13343408</v>
      </c>
    </row>
    <row r="68" spans="1:32" s="47" customFormat="1" ht="12.75" customHeight="1" x14ac:dyDescent="0.2">
      <c r="A68" s="47" t="s">
        <v>86</v>
      </c>
      <c r="C68" s="47" t="s">
        <v>86</v>
      </c>
      <c r="E68" s="44">
        <v>6321240</v>
      </c>
      <c r="F68" s="44"/>
      <c r="G68" s="44">
        <v>402615</v>
      </c>
      <c r="H68" s="44"/>
      <c r="I68" s="44">
        <v>3710470</v>
      </c>
      <c r="J68" s="44"/>
      <c r="K68" s="44">
        <f>1286633+399008</f>
        <v>1685641</v>
      </c>
      <c r="L68" s="44"/>
      <c r="M68" s="44">
        <f>10137638+6922042+1498426</f>
        <v>18558106</v>
      </c>
      <c r="N68" s="44"/>
      <c r="O68" s="44">
        <f>51455+669138</f>
        <v>720593</v>
      </c>
      <c r="P68" s="44"/>
      <c r="Q68" s="44">
        <v>2021199</v>
      </c>
      <c r="R68" s="44"/>
      <c r="S68" s="44">
        <v>173744</v>
      </c>
      <c r="T68" s="44"/>
      <c r="U68" s="44">
        <f>12345+317683+616648</f>
        <v>946676</v>
      </c>
      <c r="V68" s="44"/>
      <c r="W68" s="44">
        <v>-605175</v>
      </c>
      <c r="X68" s="44"/>
      <c r="Y68" s="44">
        <v>0</v>
      </c>
      <c r="Z68" s="44"/>
      <c r="AA68" s="44">
        <f t="shared" si="1"/>
        <v>23500784</v>
      </c>
      <c r="AB68" s="44"/>
      <c r="AC68" s="44">
        <f t="shared" si="0"/>
        <v>33935109</v>
      </c>
    </row>
    <row r="69" spans="1:32" s="47" customFormat="1" ht="12.75" customHeight="1" x14ac:dyDescent="0.2">
      <c r="A69" s="46" t="s">
        <v>87</v>
      </c>
      <c r="B69" s="46"/>
      <c r="C69" s="46" t="s">
        <v>88</v>
      </c>
      <c r="D69" s="46"/>
      <c r="E69" s="44">
        <v>613826</v>
      </c>
      <c r="F69" s="44"/>
      <c r="G69" s="44">
        <v>361445</v>
      </c>
      <c r="H69" s="44"/>
      <c r="I69" s="44">
        <v>69494</v>
      </c>
      <c r="J69" s="44"/>
      <c r="K69" s="44">
        <f>298612+50420</f>
        <v>349032</v>
      </c>
      <c r="L69" s="44"/>
      <c r="M69" s="44">
        <f>1640429+758311</f>
        <v>2398740</v>
      </c>
      <c r="N69" s="44"/>
      <c r="O69" s="44">
        <v>0</v>
      </c>
      <c r="P69" s="44"/>
      <c r="Q69" s="44">
        <v>370993</v>
      </c>
      <c r="R69" s="44"/>
      <c r="S69" s="44">
        <v>18555</v>
      </c>
      <c r="T69" s="44"/>
      <c r="U69" s="44">
        <v>33476</v>
      </c>
      <c r="V69" s="44"/>
      <c r="W69" s="44">
        <v>-760000</v>
      </c>
      <c r="X69" s="44"/>
      <c r="Y69" s="44">
        <v>0</v>
      </c>
      <c r="Z69" s="44"/>
      <c r="AA69" s="44">
        <f t="shared" si="1"/>
        <v>2410796</v>
      </c>
      <c r="AB69" s="44"/>
      <c r="AC69" s="44">
        <f t="shared" si="0"/>
        <v>3455561</v>
      </c>
    </row>
    <row r="70" spans="1:32" s="47" customFormat="1" ht="12.75" customHeight="1" x14ac:dyDescent="0.2">
      <c r="A70" s="47" t="s">
        <v>394</v>
      </c>
      <c r="C70" s="47" t="s">
        <v>89</v>
      </c>
      <c r="E70" s="44">
        <v>1298859</v>
      </c>
      <c r="F70" s="44"/>
      <c r="G70" s="44">
        <v>696723</v>
      </c>
      <c r="H70" s="44"/>
      <c r="I70" s="44">
        <v>1265114</v>
      </c>
      <c r="J70" s="44"/>
      <c r="K70" s="44">
        <f>756066+143431</f>
        <v>899497</v>
      </c>
      <c r="L70" s="44"/>
      <c r="M70" s="44">
        <f>4018591+522226+348053+405322+1283425</f>
        <v>6577617</v>
      </c>
      <c r="N70" s="44"/>
      <c r="O70" s="44">
        <v>0</v>
      </c>
      <c r="P70" s="44"/>
      <c r="Q70" s="44">
        <v>1768255</v>
      </c>
      <c r="R70" s="44"/>
      <c r="S70" s="44">
        <v>61496</v>
      </c>
      <c r="T70" s="44"/>
      <c r="U70" s="44">
        <v>267158</v>
      </c>
      <c r="V70" s="44"/>
      <c r="W70" s="44">
        <v>0</v>
      </c>
      <c r="X70" s="44"/>
      <c r="Y70" s="44">
        <v>0</v>
      </c>
      <c r="Z70" s="44"/>
      <c r="AA70" s="44">
        <f t="shared" ref="AA70" si="6">SUM(K70:Y70)</f>
        <v>9574023</v>
      </c>
      <c r="AB70" s="44"/>
      <c r="AC70" s="44">
        <f t="shared" si="0"/>
        <v>12834719</v>
      </c>
      <c r="AD70" s="46"/>
      <c r="AE70" s="46"/>
      <c r="AF70" s="46"/>
    </row>
    <row r="71" spans="1:32" s="47" customFormat="1" ht="12.75" hidden="1" customHeight="1" x14ac:dyDescent="0.2">
      <c r="A71" s="47" t="s">
        <v>90</v>
      </c>
      <c r="C71" s="47" t="s">
        <v>43</v>
      </c>
      <c r="E71" s="44">
        <v>10407292</v>
      </c>
      <c r="F71" s="44"/>
      <c r="G71" s="44">
        <v>2375056</v>
      </c>
      <c r="H71" s="44"/>
      <c r="I71" s="44">
        <v>3325990</v>
      </c>
      <c r="J71" s="44"/>
      <c r="K71" s="44">
        <f>2549456+642653+445481+295</f>
        <v>3637885</v>
      </c>
      <c r="L71" s="44"/>
      <c r="M71" s="44">
        <f>50706552+17645082</f>
        <v>68351634</v>
      </c>
      <c r="N71" s="44"/>
      <c r="O71" s="44">
        <f>1694259+911537</f>
        <v>2605796</v>
      </c>
      <c r="P71" s="44"/>
      <c r="Q71" s="44">
        <v>922821</v>
      </c>
      <c r="R71" s="44"/>
      <c r="S71" s="44">
        <v>1257833</v>
      </c>
      <c r="T71" s="44"/>
      <c r="U71" s="44">
        <f>652668+7222000</f>
        <v>7874668</v>
      </c>
      <c r="V71" s="44"/>
      <c r="W71" s="44">
        <v>-121502</v>
      </c>
      <c r="X71" s="44"/>
      <c r="Y71" s="44">
        <v>0</v>
      </c>
      <c r="Z71" s="44"/>
      <c r="AA71" s="44">
        <f t="shared" ref="AA71:AA132" si="7">SUM(K71:Y71)</f>
        <v>84529135</v>
      </c>
      <c r="AB71" s="44"/>
      <c r="AC71" s="44">
        <f t="shared" si="0"/>
        <v>100637473</v>
      </c>
    </row>
    <row r="72" spans="1:32" s="47" customFormat="1" ht="12.75" customHeight="1" x14ac:dyDescent="0.2">
      <c r="A72" s="47" t="s">
        <v>488</v>
      </c>
      <c r="C72" s="47" t="s">
        <v>27</v>
      </c>
      <c r="E72" s="44">
        <v>2759411</v>
      </c>
      <c r="F72" s="44"/>
      <c r="G72" s="44">
        <v>3392523</v>
      </c>
      <c r="H72" s="44"/>
      <c r="I72" s="44">
        <v>0</v>
      </c>
      <c r="J72" s="44"/>
      <c r="K72" s="44">
        <f>1821345+72703+10904+10904</f>
        <v>1915856</v>
      </c>
      <c r="L72" s="44"/>
      <c r="M72" s="44">
        <v>6993059</v>
      </c>
      <c r="N72" s="44"/>
      <c r="O72" s="44">
        <v>8536</v>
      </c>
      <c r="P72" s="44"/>
      <c r="Q72" s="44">
        <v>3708016</v>
      </c>
      <c r="R72" s="44"/>
      <c r="S72" s="44">
        <v>22</v>
      </c>
      <c r="T72" s="44"/>
      <c r="U72" s="44">
        <v>819985</v>
      </c>
      <c r="V72" s="44"/>
      <c r="W72" s="44">
        <v>16610</v>
      </c>
      <c r="X72" s="44"/>
      <c r="Y72" s="44">
        <v>0</v>
      </c>
      <c r="Z72" s="44"/>
      <c r="AA72" s="44">
        <f t="shared" si="7"/>
        <v>13462084</v>
      </c>
      <c r="AB72" s="44"/>
      <c r="AC72" s="44">
        <f t="shared" si="0"/>
        <v>19614018</v>
      </c>
    </row>
    <row r="73" spans="1:32" s="47" customFormat="1" ht="12.75" customHeight="1" x14ac:dyDescent="0.2">
      <c r="A73" s="47" t="s">
        <v>471</v>
      </c>
      <c r="B73" s="46"/>
      <c r="C73" s="46"/>
      <c r="D73" s="46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8" t="s">
        <v>484</v>
      </c>
    </row>
    <row r="74" spans="1:32" s="47" customFormat="1" ht="12.75" customHeight="1" x14ac:dyDescent="0.2">
      <c r="A74" s="44" t="s">
        <v>93</v>
      </c>
      <c r="C74" s="44" t="s">
        <v>94</v>
      </c>
      <c r="E74" s="46">
        <v>844116</v>
      </c>
      <c r="F74" s="46"/>
      <c r="G74" s="46">
        <v>1652279</v>
      </c>
      <c r="H74" s="46"/>
      <c r="I74" s="46">
        <v>1091292</v>
      </c>
      <c r="J74" s="46"/>
      <c r="K74" s="46">
        <f>221131+489465+64405+60323</f>
        <v>835324</v>
      </c>
      <c r="L74" s="46"/>
      <c r="M74" s="46">
        <f>2575682+6611+207840</f>
        <v>2790133</v>
      </c>
      <c r="N74" s="46"/>
      <c r="O74" s="46">
        <v>0</v>
      </c>
      <c r="P74" s="46"/>
      <c r="Q74" s="46">
        <v>290701</v>
      </c>
      <c r="R74" s="46"/>
      <c r="S74" s="46">
        <v>1492</v>
      </c>
      <c r="T74" s="46"/>
      <c r="U74" s="46">
        <v>72809</v>
      </c>
      <c r="V74" s="46"/>
      <c r="W74" s="46">
        <v>0</v>
      </c>
      <c r="X74" s="46"/>
      <c r="Y74" s="46">
        <v>0</v>
      </c>
      <c r="Z74" s="46"/>
      <c r="AA74" s="46">
        <f t="shared" si="7"/>
        <v>3990459</v>
      </c>
      <c r="AB74" s="46"/>
      <c r="AC74" s="46">
        <f t="shared" si="0"/>
        <v>7578146</v>
      </c>
    </row>
    <row r="75" spans="1:32" s="46" customFormat="1" ht="12.75" customHeight="1" x14ac:dyDescent="0.2">
      <c r="A75" s="46" t="s">
        <v>95</v>
      </c>
      <c r="C75" s="46" t="s">
        <v>94</v>
      </c>
      <c r="E75" s="44">
        <v>479503</v>
      </c>
      <c r="F75" s="44"/>
      <c r="G75" s="44">
        <v>326359</v>
      </c>
      <c r="H75" s="44"/>
      <c r="I75" s="44">
        <v>0</v>
      </c>
      <c r="J75" s="44"/>
      <c r="K75" s="44">
        <f>119675+364041</f>
        <v>483716</v>
      </c>
      <c r="L75" s="44"/>
      <c r="M75" s="44">
        <v>853290</v>
      </c>
      <c r="N75" s="44"/>
      <c r="O75" s="44">
        <v>440</v>
      </c>
      <c r="P75" s="44"/>
      <c r="Q75" s="44">
        <v>210187</v>
      </c>
      <c r="R75" s="44"/>
      <c r="S75" s="44">
        <v>1059</v>
      </c>
      <c r="T75" s="44"/>
      <c r="U75" s="44">
        <v>230476</v>
      </c>
      <c r="V75" s="44"/>
      <c r="W75" s="44">
        <v>0</v>
      </c>
      <c r="X75" s="44"/>
      <c r="Y75" s="44">
        <v>0</v>
      </c>
      <c r="Z75" s="44"/>
      <c r="AA75" s="44">
        <f t="shared" si="7"/>
        <v>1779168</v>
      </c>
      <c r="AB75" s="44"/>
      <c r="AC75" s="44">
        <f t="shared" si="0"/>
        <v>2585030</v>
      </c>
    </row>
    <row r="76" spans="1:32" s="47" customFormat="1" ht="12.75" customHeight="1" x14ac:dyDescent="0.2">
      <c r="A76" s="47" t="s">
        <v>91</v>
      </c>
      <c r="C76" s="47" t="s">
        <v>92</v>
      </c>
      <c r="E76" s="44">
        <v>3109016</v>
      </c>
      <c r="F76" s="44"/>
      <c r="G76" s="44">
        <v>1378022</v>
      </c>
      <c r="H76" s="44"/>
      <c r="I76" s="44">
        <v>483776</v>
      </c>
      <c r="J76" s="44"/>
      <c r="K76" s="44">
        <f>1328862+192068+137187+137187+153420+823842</f>
        <v>2772566</v>
      </c>
      <c r="L76" s="44"/>
      <c r="M76" s="44">
        <v>6087202</v>
      </c>
      <c r="N76" s="44"/>
      <c r="O76" s="44">
        <f>86940+266889</f>
        <v>353829</v>
      </c>
      <c r="P76" s="44"/>
      <c r="Q76" s="44">
        <v>2227974</v>
      </c>
      <c r="R76" s="44"/>
      <c r="S76" s="44">
        <v>5153</v>
      </c>
      <c r="T76" s="44"/>
      <c r="U76" s="44">
        <v>108128</v>
      </c>
      <c r="V76" s="44"/>
      <c r="W76" s="44">
        <v>0</v>
      </c>
      <c r="X76" s="44"/>
      <c r="Y76" s="44">
        <v>0</v>
      </c>
      <c r="Z76" s="44"/>
      <c r="AA76" s="44">
        <f t="shared" si="7"/>
        <v>11554852</v>
      </c>
      <c r="AB76" s="44"/>
      <c r="AC76" s="44">
        <f t="shared" si="0"/>
        <v>16525666</v>
      </c>
    </row>
    <row r="77" spans="1:32" s="47" customFormat="1" ht="12.75" customHeight="1" x14ac:dyDescent="0.2">
      <c r="A77" s="47" t="s">
        <v>96</v>
      </c>
      <c r="C77" s="47" t="s">
        <v>97</v>
      </c>
      <c r="E77" s="44">
        <v>1755607</v>
      </c>
      <c r="F77" s="44"/>
      <c r="G77" s="44">
        <v>257360</v>
      </c>
      <c r="H77" s="44"/>
      <c r="I77" s="44">
        <v>310138</v>
      </c>
      <c r="J77" s="44"/>
      <c r="K77" s="44">
        <f>530350+35066+137040</f>
        <v>702456</v>
      </c>
      <c r="L77" s="44"/>
      <c r="M77" s="44">
        <v>3505100</v>
      </c>
      <c r="N77" s="44"/>
      <c r="O77" s="44">
        <v>0</v>
      </c>
      <c r="P77" s="44"/>
      <c r="Q77" s="44">
        <v>1069494</v>
      </c>
      <c r="R77" s="44"/>
      <c r="S77" s="44">
        <v>9390</v>
      </c>
      <c r="T77" s="44"/>
      <c r="U77" s="44">
        <f>450+127006</f>
        <v>127456</v>
      </c>
      <c r="V77" s="44"/>
      <c r="W77" s="44">
        <v>0</v>
      </c>
      <c r="X77" s="44"/>
      <c r="Y77" s="44">
        <v>0</v>
      </c>
      <c r="Z77" s="44"/>
      <c r="AA77" s="44">
        <f t="shared" si="7"/>
        <v>5413896</v>
      </c>
      <c r="AB77" s="44"/>
      <c r="AC77" s="44">
        <f t="shared" si="0"/>
        <v>7737001</v>
      </c>
    </row>
    <row r="78" spans="1:32" s="47" customFormat="1" ht="12.75" customHeight="1" x14ac:dyDescent="0.2">
      <c r="A78" s="47" t="s">
        <v>98</v>
      </c>
      <c r="C78" s="47" t="s">
        <v>17</v>
      </c>
      <c r="E78" s="44">
        <v>4061784</v>
      </c>
      <c r="F78" s="44"/>
      <c r="G78" s="44">
        <v>5772703</v>
      </c>
      <c r="H78" s="44"/>
      <c r="I78" s="44">
        <v>1465219</v>
      </c>
      <c r="J78" s="44"/>
      <c r="K78" s="44">
        <v>3357482</v>
      </c>
      <c r="L78" s="44"/>
      <c r="M78" s="44">
        <v>21983833</v>
      </c>
      <c r="N78" s="44"/>
      <c r="O78" s="44">
        <f>2761232+738367</f>
        <v>3499599</v>
      </c>
      <c r="P78" s="44"/>
      <c r="Q78" s="44">
        <v>5115757</v>
      </c>
      <c r="R78" s="44"/>
      <c r="S78" s="44">
        <v>18474</v>
      </c>
      <c r="T78" s="44"/>
      <c r="U78" s="44">
        <v>27711</v>
      </c>
      <c r="V78" s="44"/>
      <c r="W78" s="44">
        <v>0</v>
      </c>
      <c r="X78" s="44"/>
      <c r="Y78" s="44">
        <v>0</v>
      </c>
      <c r="Z78" s="44"/>
      <c r="AA78" s="44">
        <f t="shared" si="7"/>
        <v>34002856</v>
      </c>
      <c r="AB78" s="44"/>
      <c r="AC78" s="44">
        <f t="shared" si="0"/>
        <v>45302562</v>
      </c>
    </row>
    <row r="79" spans="1:32" s="47" customFormat="1" ht="12.75" customHeight="1" x14ac:dyDescent="0.2">
      <c r="A79" s="47" t="s">
        <v>99</v>
      </c>
      <c r="C79" s="47" t="s">
        <v>66</v>
      </c>
      <c r="E79" s="44">
        <v>1572117</v>
      </c>
      <c r="F79" s="44"/>
      <c r="G79" s="44">
        <v>894159</v>
      </c>
      <c r="H79" s="44"/>
      <c r="I79" s="44">
        <v>377761</v>
      </c>
      <c r="J79" s="44"/>
      <c r="K79" s="44">
        <f>849520+464641+206618+71069</f>
        <v>1591848</v>
      </c>
      <c r="L79" s="44"/>
      <c r="M79" s="44">
        <v>5765227</v>
      </c>
      <c r="N79" s="44"/>
      <c r="O79" s="44">
        <v>376806</v>
      </c>
      <c r="P79" s="44"/>
      <c r="Q79" s="44">
        <v>806904</v>
      </c>
      <c r="R79" s="44"/>
      <c r="S79" s="44">
        <v>185679</v>
      </c>
      <c r="T79" s="44"/>
      <c r="U79" s="44">
        <v>48649</v>
      </c>
      <c r="V79" s="44"/>
      <c r="W79" s="44">
        <v>0</v>
      </c>
      <c r="X79" s="44"/>
      <c r="Y79" s="44">
        <v>0</v>
      </c>
      <c r="Z79" s="44"/>
      <c r="AA79" s="44">
        <f t="shared" si="7"/>
        <v>8775113</v>
      </c>
      <c r="AB79" s="44"/>
      <c r="AC79" s="44">
        <f t="shared" si="0"/>
        <v>11619150</v>
      </c>
    </row>
    <row r="80" spans="1:32" s="47" customFormat="1" ht="12.75" customHeight="1" x14ac:dyDescent="0.2">
      <c r="A80" s="47" t="s">
        <v>100</v>
      </c>
      <c r="C80" s="47" t="s">
        <v>27</v>
      </c>
      <c r="E80" s="44">
        <v>12417104</v>
      </c>
      <c r="F80" s="44"/>
      <c r="G80" s="44">
        <v>4748466</v>
      </c>
      <c r="H80" s="44"/>
      <c r="I80" s="44">
        <v>1605671</v>
      </c>
      <c r="J80" s="44"/>
      <c r="K80" s="44">
        <v>4940319</v>
      </c>
      <c r="L80" s="44"/>
      <c r="M80" s="44">
        <v>24315337</v>
      </c>
      <c r="N80" s="44"/>
      <c r="O80" s="44">
        <v>179400</v>
      </c>
      <c r="P80" s="44"/>
      <c r="Q80" s="44">
        <v>4458718</v>
      </c>
      <c r="R80" s="44"/>
      <c r="S80" s="44">
        <v>94986</v>
      </c>
      <c r="T80" s="44"/>
      <c r="U80" s="44">
        <f>1082783+67597</f>
        <v>1150380</v>
      </c>
      <c r="V80" s="44"/>
      <c r="W80" s="44">
        <v>420923</v>
      </c>
      <c r="X80" s="44"/>
      <c r="Y80" s="44">
        <v>0</v>
      </c>
      <c r="Z80" s="44"/>
      <c r="AA80" s="44">
        <f t="shared" si="7"/>
        <v>35560063</v>
      </c>
      <c r="AB80" s="44"/>
      <c r="AC80" s="44">
        <f t="shared" ref="AC80:AC132" si="8">SUM(E80:Y80)</f>
        <v>54331304</v>
      </c>
    </row>
    <row r="81" spans="1:29" s="47" customFormat="1" ht="12.75" customHeight="1" x14ac:dyDescent="0.2">
      <c r="A81" s="47" t="s">
        <v>101</v>
      </c>
      <c r="C81" s="47" t="s">
        <v>30</v>
      </c>
      <c r="E81" s="44">
        <v>6967761</v>
      </c>
      <c r="F81" s="44"/>
      <c r="G81" s="44">
        <v>3119605</v>
      </c>
      <c r="H81" s="44"/>
      <c r="I81" s="44">
        <v>3224212</v>
      </c>
      <c r="J81" s="44"/>
      <c r="K81" s="44">
        <f>1551379+545417+340974+114364+124253</f>
        <v>2676387</v>
      </c>
      <c r="L81" s="44"/>
      <c r="M81" s="44">
        <f>7759131+1946526+1946525</f>
        <v>11652182</v>
      </c>
      <c r="N81" s="44"/>
      <c r="O81" s="44">
        <f>810109+332269</f>
        <v>1142378</v>
      </c>
      <c r="P81" s="44"/>
      <c r="Q81" s="44">
        <v>1890415</v>
      </c>
      <c r="R81" s="44"/>
      <c r="S81" s="44">
        <v>135217</v>
      </c>
      <c r="T81" s="44"/>
      <c r="U81" s="44">
        <v>501046</v>
      </c>
      <c r="V81" s="44"/>
      <c r="W81" s="44">
        <v>0</v>
      </c>
      <c r="X81" s="44"/>
      <c r="Y81" s="44">
        <v>0</v>
      </c>
      <c r="Z81" s="44"/>
      <c r="AA81" s="44">
        <f t="shared" si="7"/>
        <v>17997625</v>
      </c>
      <c r="AB81" s="44"/>
      <c r="AC81" s="44">
        <f t="shared" si="8"/>
        <v>31309203</v>
      </c>
    </row>
    <row r="82" spans="1:29" s="47" customFormat="1" ht="12.75" customHeight="1" x14ac:dyDescent="0.2">
      <c r="A82" s="47" t="s">
        <v>102</v>
      </c>
      <c r="C82" s="47" t="s">
        <v>103</v>
      </c>
      <c r="E82" s="44">
        <v>4301850</v>
      </c>
      <c r="F82" s="44"/>
      <c r="G82" s="44">
        <v>3614620</v>
      </c>
      <c r="H82" s="44"/>
      <c r="I82" s="44">
        <v>3115434</v>
      </c>
      <c r="J82" s="44"/>
      <c r="K82" s="44">
        <f>1474934+3595787</f>
        <v>5070721</v>
      </c>
      <c r="L82" s="44"/>
      <c r="M82" s="44">
        <v>23652942</v>
      </c>
      <c r="N82" s="44"/>
      <c r="O82" s="44">
        <v>0</v>
      </c>
      <c r="P82" s="44"/>
      <c r="Q82" s="44">
        <v>2412622</v>
      </c>
      <c r="R82" s="44"/>
      <c r="S82" s="44">
        <v>177580</v>
      </c>
      <c r="T82" s="44"/>
      <c r="U82" s="44">
        <v>642837</v>
      </c>
      <c r="V82" s="44"/>
      <c r="W82" s="44">
        <v>-440000</v>
      </c>
      <c r="X82" s="44"/>
      <c r="Y82" s="44">
        <v>0</v>
      </c>
      <c r="Z82" s="44"/>
      <c r="AA82" s="44">
        <f t="shared" si="7"/>
        <v>31516702</v>
      </c>
      <c r="AB82" s="44"/>
      <c r="AC82" s="44">
        <f t="shared" si="8"/>
        <v>42548606</v>
      </c>
    </row>
    <row r="83" spans="1:29" s="47" customFormat="1" ht="12.75" customHeight="1" x14ac:dyDescent="0.2">
      <c r="A83" s="47" t="s">
        <v>104</v>
      </c>
      <c r="C83" s="47" t="s">
        <v>13</v>
      </c>
      <c r="E83" s="44">
        <v>940055</v>
      </c>
      <c r="F83" s="44"/>
      <c r="G83" s="44">
        <v>408162</v>
      </c>
      <c r="H83" s="44"/>
      <c r="I83" s="44">
        <v>84370</v>
      </c>
      <c r="J83" s="44"/>
      <c r="K83" s="44">
        <f>898810+190600</f>
        <v>1089410</v>
      </c>
      <c r="L83" s="44"/>
      <c r="M83" s="44">
        <f>7049819+2222253</f>
        <v>9272072</v>
      </c>
      <c r="N83" s="44"/>
      <c r="O83" s="44">
        <v>2846855</v>
      </c>
      <c r="P83" s="44"/>
      <c r="Q83" s="44">
        <v>1363207</v>
      </c>
      <c r="R83" s="44"/>
      <c r="S83" s="44">
        <v>25129</v>
      </c>
      <c r="T83" s="44"/>
      <c r="U83" s="44">
        <v>86260</v>
      </c>
      <c r="V83" s="44"/>
      <c r="W83" s="44">
        <v>0</v>
      </c>
      <c r="X83" s="44"/>
      <c r="Y83" s="44">
        <v>0</v>
      </c>
      <c r="Z83" s="44"/>
      <c r="AA83" s="44">
        <f t="shared" si="7"/>
        <v>14682933</v>
      </c>
      <c r="AB83" s="44"/>
      <c r="AC83" s="44">
        <f t="shared" si="8"/>
        <v>16115520</v>
      </c>
    </row>
    <row r="84" spans="1:29" s="47" customFormat="1" ht="12.75" customHeight="1" x14ac:dyDescent="0.2">
      <c r="A84" s="47" t="s">
        <v>105</v>
      </c>
      <c r="C84" s="47" t="s">
        <v>27</v>
      </c>
      <c r="E84" s="44">
        <v>3016012</v>
      </c>
      <c r="F84" s="44"/>
      <c r="G84" s="44">
        <v>709728</v>
      </c>
      <c r="H84" s="44"/>
      <c r="I84" s="44">
        <v>0</v>
      </c>
      <c r="J84" s="44"/>
      <c r="K84" s="44">
        <f>2587238+273454+314313+204675+255230</f>
        <v>3634910</v>
      </c>
      <c r="L84" s="44"/>
      <c r="M84" s="44">
        <f>4905042+972520+1945166</f>
        <v>7822728</v>
      </c>
      <c r="N84" s="44"/>
      <c r="O84" s="44">
        <v>289816</v>
      </c>
      <c r="P84" s="44"/>
      <c r="Q84" s="44">
        <v>1878667</v>
      </c>
      <c r="R84" s="44"/>
      <c r="S84" s="44">
        <v>2640</v>
      </c>
      <c r="T84" s="44"/>
      <c r="U84" s="44">
        <f>21857+53081+217178</f>
        <v>292116</v>
      </c>
      <c r="V84" s="44"/>
      <c r="W84" s="44">
        <v>-56823</v>
      </c>
      <c r="X84" s="44"/>
      <c r="Y84" s="44">
        <v>0</v>
      </c>
      <c r="Z84" s="44"/>
      <c r="AA84" s="44">
        <f t="shared" si="7"/>
        <v>13864054</v>
      </c>
      <c r="AB84" s="44"/>
      <c r="AC84" s="44">
        <f t="shared" si="8"/>
        <v>17589794</v>
      </c>
    </row>
    <row r="85" spans="1:29" s="47" customFormat="1" ht="12.75" customHeight="1" x14ac:dyDescent="0.2">
      <c r="A85" s="47" t="s">
        <v>106</v>
      </c>
      <c r="C85" s="47" t="s">
        <v>107</v>
      </c>
      <c r="E85" s="44">
        <v>3873791</v>
      </c>
      <c r="F85" s="44"/>
      <c r="G85" s="44">
        <v>3784840</v>
      </c>
      <c r="H85" s="44"/>
      <c r="I85" s="44">
        <v>2299329</v>
      </c>
      <c r="J85" s="44"/>
      <c r="K85" s="44">
        <f>2349758+441702</f>
        <v>2791460</v>
      </c>
      <c r="L85" s="44"/>
      <c r="M85" s="44">
        <v>20703206</v>
      </c>
      <c r="N85" s="44"/>
      <c r="O85" s="44">
        <v>0</v>
      </c>
      <c r="P85" s="44"/>
      <c r="Q85" s="44">
        <v>2793218</v>
      </c>
      <c r="R85" s="44"/>
      <c r="S85" s="44">
        <v>70011</v>
      </c>
      <c r="T85" s="44"/>
      <c r="U85" s="44">
        <f>70551-28750+479571</f>
        <v>521372</v>
      </c>
      <c r="V85" s="44"/>
      <c r="W85" s="44">
        <v>-317416</v>
      </c>
      <c r="X85" s="44"/>
      <c r="Y85" s="44">
        <v>0</v>
      </c>
      <c r="Z85" s="44"/>
      <c r="AA85" s="44">
        <f t="shared" si="7"/>
        <v>26561851</v>
      </c>
      <c r="AB85" s="44"/>
      <c r="AC85" s="44">
        <f t="shared" si="8"/>
        <v>36519811</v>
      </c>
    </row>
    <row r="86" spans="1:29" s="47" customFormat="1" ht="12.75" customHeight="1" x14ac:dyDescent="0.2">
      <c r="A86" s="47" t="s">
        <v>108</v>
      </c>
      <c r="C86" s="47" t="s">
        <v>45</v>
      </c>
      <c r="E86" s="44">
        <v>2848877</v>
      </c>
      <c r="F86" s="44"/>
      <c r="G86" s="44">
        <v>1140458</v>
      </c>
      <c r="H86" s="44"/>
      <c r="I86" s="44">
        <v>90890</v>
      </c>
      <c r="J86" s="44"/>
      <c r="K86" s="44">
        <f>1570985+3599310</f>
        <v>5170295</v>
      </c>
      <c r="L86" s="44"/>
      <c r="M86" s="44">
        <v>7327007</v>
      </c>
      <c r="N86" s="44"/>
      <c r="O86" s="44">
        <v>1698478</v>
      </c>
      <c r="P86" s="44"/>
      <c r="Q86" s="44">
        <v>646210</v>
      </c>
      <c r="R86" s="44"/>
      <c r="S86" s="44">
        <v>134255</v>
      </c>
      <c r="T86" s="44"/>
      <c r="U86" s="44">
        <v>238262</v>
      </c>
      <c r="V86" s="44"/>
      <c r="W86" s="44">
        <v>0</v>
      </c>
      <c r="X86" s="44"/>
      <c r="Y86" s="44">
        <v>0</v>
      </c>
      <c r="Z86" s="44"/>
      <c r="AA86" s="44">
        <f t="shared" si="7"/>
        <v>15214507</v>
      </c>
      <c r="AB86" s="44"/>
      <c r="AC86" s="44">
        <f t="shared" si="8"/>
        <v>19294732</v>
      </c>
    </row>
    <row r="87" spans="1:29" s="44" customFormat="1" ht="12.75" customHeight="1" x14ac:dyDescent="0.2">
      <c r="A87" s="44" t="s">
        <v>109</v>
      </c>
      <c r="C87" s="44" t="s">
        <v>110</v>
      </c>
      <c r="E87" s="44">
        <v>618767</v>
      </c>
      <c r="G87" s="44">
        <v>1646445</v>
      </c>
      <c r="I87" s="44">
        <v>7459</v>
      </c>
      <c r="K87" s="44">
        <f>769191+138131</f>
        <v>907322</v>
      </c>
      <c r="M87" s="44">
        <v>4396820</v>
      </c>
      <c r="O87" s="44">
        <v>0</v>
      </c>
      <c r="Q87" s="44">
        <v>474660</v>
      </c>
      <c r="S87" s="44">
        <v>47642</v>
      </c>
      <c r="U87" s="44">
        <f>154464+426623</f>
        <v>581087</v>
      </c>
      <c r="W87" s="44">
        <v>-1302</v>
      </c>
      <c r="Y87" s="44">
        <v>0</v>
      </c>
      <c r="AA87" s="44">
        <f t="shared" si="7"/>
        <v>6406229</v>
      </c>
      <c r="AC87" s="44">
        <f t="shared" si="8"/>
        <v>8678900</v>
      </c>
    </row>
    <row r="88" spans="1:29" s="47" customFormat="1" ht="12.75" customHeight="1" x14ac:dyDescent="0.2">
      <c r="A88" s="47" t="s">
        <v>43</v>
      </c>
      <c r="C88" s="47" t="s">
        <v>111</v>
      </c>
      <c r="E88" s="44">
        <v>897397</v>
      </c>
      <c r="F88" s="44"/>
      <c r="G88" s="44">
        <v>1082600</v>
      </c>
      <c r="H88" s="44"/>
      <c r="I88" s="44">
        <v>1076702</v>
      </c>
      <c r="J88" s="44"/>
      <c r="K88" s="44">
        <f>381481+560031+158099</f>
        <v>1099611</v>
      </c>
      <c r="L88" s="44"/>
      <c r="M88" s="44">
        <v>5902578</v>
      </c>
      <c r="N88" s="44"/>
      <c r="O88" s="44">
        <f>186011+192413</f>
        <v>378424</v>
      </c>
      <c r="P88" s="44"/>
      <c r="Q88" s="44">
        <v>574395</v>
      </c>
      <c r="R88" s="44"/>
      <c r="S88" s="44">
        <v>44891</v>
      </c>
      <c r="T88" s="44"/>
      <c r="U88" s="44">
        <f>11+124598</f>
        <v>124609</v>
      </c>
      <c r="V88" s="44"/>
      <c r="W88" s="44">
        <v>120000</v>
      </c>
      <c r="X88" s="44"/>
      <c r="Y88" s="44">
        <v>0</v>
      </c>
      <c r="Z88" s="44"/>
      <c r="AA88" s="44">
        <f t="shared" si="7"/>
        <v>8244508</v>
      </c>
      <c r="AB88" s="44"/>
      <c r="AC88" s="44">
        <f t="shared" si="8"/>
        <v>11301207</v>
      </c>
    </row>
    <row r="89" spans="1:29" s="47" customFormat="1" ht="12.75" customHeight="1" x14ac:dyDescent="0.2">
      <c r="A89" s="47" t="s">
        <v>112</v>
      </c>
      <c r="C89" s="47" t="s">
        <v>76</v>
      </c>
      <c r="E89" s="44">
        <v>1028013</v>
      </c>
      <c r="F89" s="44"/>
      <c r="G89" s="44">
        <v>1187120</v>
      </c>
      <c r="H89" s="44"/>
      <c r="I89" s="44">
        <v>1094265</v>
      </c>
      <c r="J89" s="44"/>
      <c r="K89" s="44">
        <f>823352+87020+87020</f>
        <v>997392</v>
      </c>
      <c r="L89" s="44"/>
      <c r="M89" s="44">
        <v>7073674</v>
      </c>
      <c r="N89" s="44"/>
      <c r="O89" s="44">
        <v>0</v>
      </c>
      <c r="P89" s="44"/>
      <c r="Q89" s="44">
        <v>949469</v>
      </c>
      <c r="R89" s="44"/>
      <c r="S89" s="44">
        <v>100801</v>
      </c>
      <c r="T89" s="44"/>
      <c r="U89" s="44">
        <v>241449</v>
      </c>
      <c r="V89" s="44"/>
      <c r="W89" s="44">
        <v>-673109</v>
      </c>
      <c r="X89" s="44"/>
      <c r="Y89" s="44">
        <v>0</v>
      </c>
      <c r="Z89" s="44"/>
      <c r="AA89" s="44">
        <f t="shared" si="7"/>
        <v>8689676</v>
      </c>
      <c r="AB89" s="44"/>
      <c r="AC89" s="44">
        <f t="shared" si="8"/>
        <v>11999074</v>
      </c>
    </row>
    <row r="90" spans="1:29" s="47" customFormat="1" ht="12.75" customHeight="1" x14ac:dyDescent="0.2">
      <c r="A90" s="47" t="s">
        <v>113</v>
      </c>
      <c r="C90" s="47" t="s">
        <v>43</v>
      </c>
      <c r="E90" s="44">
        <v>4529515</v>
      </c>
      <c r="F90" s="44"/>
      <c r="G90" s="44">
        <v>1748552</v>
      </c>
      <c r="H90" s="44"/>
      <c r="I90" s="44">
        <v>3012432</v>
      </c>
      <c r="J90" s="44"/>
      <c r="K90" s="44">
        <f>1532042+260652+260359</f>
        <v>2053053</v>
      </c>
      <c r="L90" s="44"/>
      <c r="M90" s="44">
        <v>14415698</v>
      </c>
      <c r="N90" s="44"/>
      <c r="O90" s="44">
        <f>1002203+421791</f>
        <v>1423994</v>
      </c>
      <c r="P90" s="44"/>
      <c r="Q90" s="44">
        <v>1991744</v>
      </c>
      <c r="R90" s="44"/>
      <c r="S90" s="44">
        <v>653169</v>
      </c>
      <c r="T90" s="44"/>
      <c r="U90" s="44">
        <f>178767+540512</f>
        <v>719279</v>
      </c>
      <c r="V90" s="44"/>
      <c r="W90" s="44">
        <v>-20000</v>
      </c>
      <c r="X90" s="44"/>
      <c r="Y90" s="44">
        <v>0</v>
      </c>
      <c r="Z90" s="44"/>
      <c r="AA90" s="44">
        <f t="shared" si="7"/>
        <v>21236937</v>
      </c>
      <c r="AB90" s="44"/>
      <c r="AC90" s="44">
        <f t="shared" si="8"/>
        <v>30527436</v>
      </c>
    </row>
    <row r="91" spans="1:29" s="47" customFormat="1" ht="12.75" customHeight="1" x14ac:dyDescent="0.2">
      <c r="A91" s="47" t="s">
        <v>489</v>
      </c>
      <c r="C91" s="47" t="s">
        <v>57</v>
      </c>
      <c r="E91" s="44">
        <v>1496727</v>
      </c>
      <c r="F91" s="44"/>
      <c r="G91" s="44">
        <v>805902</v>
      </c>
      <c r="H91" s="44"/>
      <c r="I91" s="44">
        <v>121073</v>
      </c>
      <c r="J91" s="44"/>
      <c r="K91" s="44">
        <f>345547+62930</f>
        <v>408477</v>
      </c>
      <c r="L91" s="44"/>
      <c r="M91" s="44">
        <f>2227063+1983661+243353</f>
        <v>4454077</v>
      </c>
      <c r="N91" s="44"/>
      <c r="O91" s="44">
        <f>471432+123497</f>
        <v>594929</v>
      </c>
      <c r="P91" s="44"/>
      <c r="Q91" s="44">
        <v>506561</v>
      </c>
      <c r="R91" s="44"/>
      <c r="S91" s="44">
        <v>25483</v>
      </c>
      <c r="T91" s="44"/>
      <c r="U91" s="44">
        <v>458808</v>
      </c>
      <c r="V91" s="44"/>
      <c r="W91" s="44">
        <v>28309</v>
      </c>
      <c r="X91" s="44"/>
      <c r="Y91" s="44">
        <v>0</v>
      </c>
      <c r="Z91" s="44"/>
      <c r="AA91" s="44">
        <f t="shared" si="7"/>
        <v>6476644</v>
      </c>
      <c r="AB91" s="44"/>
      <c r="AC91" s="44">
        <f t="shared" si="8"/>
        <v>8900346</v>
      </c>
    </row>
    <row r="92" spans="1:29" s="47" customFormat="1" ht="12.75" customHeight="1" x14ac:dyDescent="0.2">
      <c r="A92" s="47" t="s">
        <v>114</v>
      </c>
      <c r="C92" s="47" t="s">
        <v>27</v>
      </c>
      <c r="E92" s="44">
        <v>6038628</v>
      </c>
      <c r="F92" s="44"/>
      <c r="G92" s="44">
        <v>1265561</v>
      </c>
      <c r="H92" s="44"/>
      <c r="I92" s="44">
        <v>185155</v>
      </c>
      <c r="J92" s="44"/>
      <c r="K92" s="44">
        <f>8730652+549832+143435+143435+1740337+478113</f>
        <v>11785804</v>
      </c>
      <c r="L92" s="44"/>
      <c r="M92" s="44">
        <f>7999607+591005+689506+603130</f>
        <v>9883248</v>
      </c>
      <c r="N92" s="44"/>
      <c r="O92" s="44">
        <f>162130+283779</f>
        <v>445909</v>
      </c>
      <c r="P92" s="44"/>
      <c r="Q92" s="44">
        <v>3860491</v>
      </c>
      <c r="R92" s="44"/>
      <c r="S92" s="44">
        <v>4684</v>
      </c>
      <c r="T92" s="44"/>
      <c r="U92" s="44">
        <v>1276320</v>
      </c>
      <c r="V92" s="44"/>
      <c r="W92" s="44">
        <v>0</v>
      </c>
      <c r="X92" s="44"/>
      <c r="Y92" s="44">
        <v>0</v>
      </c>
      <c r="Z92" s="44"/>
      <c r="AA92" s="44">
        <f t="shared" si="7"/>
        <v>27256456</v>
      </c>
      <c r="AB92" s="44"/>
      <c r="AC92" s="44">
        <f t="shared" si="8"/>
        <v>34745800</v>
      </c>
    </row>
    <row r="93" spans="1:29" s="47" customFormat="1" ht="12.75" customHeight="1" x14ac:dyDescent="0.2">
      <c r="A93" s="47" t="s">
        <v>115</v>
      </c>
      <c r="C93" s="47" t="s">
        <v>19</v>
      </c>
      <c r="E93" s="44">
        <v>729033</v>
      </c>
      <c r="F93" s="44"/>
      <c r="G93" s="44">
        <v>1465840</v>
      </c>
      <c r="H93" s="44"/>
      <c r="I93" s="44">
        <v>1249456</v>
      </c>
      <c r="J93" s="44"/>
      <c r="K93" s="44">
        <f>336889+178204</f>
        <v>515093</v>
      </c>
      <c r="L93" s="44"/>
      <c r="M93" s="44">
        <v>2665809</v>
      </c>
      <c r="N93" s="44"/>
      <c r="O93" s="44">
        <v>68435</v>
      </c>
      <c r="P93" s="44"/>
      <c r="Q93" s="44">
        <v>332251</v>
      </c>
      <c r="R93" s="44"/>
      <c r="S93" s="44">
        <v>8858</v>
      </c>
      <c r="T93" s="44"/>
      <c r="U93" s="44">
        <v>73168</v>
      </c>
      <c r="V93" s="44"/>
      <c r="W93" s="44">
        <v>-96477</v>
      </c>
      <c r="X93" s="44"/>
      <c r="Y93" s="44">
        <v>0</v>
      </c>
      <c r="Z93" s="44"/>
      <c r="AA93" s="44">
        <f t="shared" si="7"/>
        <v>3567137</v>
      </c>
      <c r="AB93" s="44"/>
      <c r="AC93" s="44">
        <f t="shared" si="8"/>
        <v>7011466</v>
      </c>
    </row>
    <row r="94" spans="1:29" s="47" customFormat="1" ht="12.75" customHeight="1" x14ac:dyDescent="0.2">
      <c r="A94" s="47" t="s">
        <v>116</v>
      </c>
      <c r="C94" s="47" t="s">
        <v>80</v>
      </c>
      <c r="E94" s="44">
        <v>1445995</v>
      </c>
      <c r="F94" s="44"/>
      <c r="G94" s="44">
        <v>1523483</v>
      </c>
      <c r="H94" s="44"/>
      <c r="I94" s="44">
        <v>40000</v>
      </c>
      <c r="J94" s="44"/>
      <c r="K94" s="44">
        <f>250071+422410+353128+36701+22633+201206</f>
        <v>1286149</v>
      </c>
      <c r="L94" s="44"/>
      <c r="M94" s="44">
        <f>3149659+438925</f>
        <v>3588584</v>
      </c>
      <c r="N94" s="44"/>
      <c r="O94" s="44">
        <v>0</v>
      </c>
      <c r="P94" s="44"/>
      <c r="Q94" s="44">
        <v>351153</v>
      </c>
      <c r="R94" s="44"/>
      <c r="S94" s="44">
        <v>1508</v>
      </c>
      <c r="T94" s="44"/>
      <c r="U94" s="44">
        <v>171112</v>
      </c>
      <c r="V94" s="44"/>
      <c r="W94" s="44">
        <v>0</v>
      </c>
      <c r="X94" s="44"/>
      <c r="Y94" s="44">
        <v>0</v>
      </c>
      <c r="Z94" s="44"/>
      <c r="AA94" s="44">
        <f t="shared" si="7"/>
        <v>5398506</v>
      </c>
      <c r="AB94" s="44"/>
      <c r="AC94" s="44">
        <f t="shared" si="8"/>
        <v>8407984</v>
      </c>
    </row>
    <row r="95" spans="1:29" s="47" customFormat="1" ht="12.75" customHeight="1" x14ac:dyDescent="0.2">
      <c r="A95" s="47" t="s">
        <v>117</v>
      </c>
      <c r="C95" s="47" t="s">
        <v>43</v>
      </c>
      <c r="E95" s="44">
        <v>1512244</v>
      </c>
      <c r="F95" s="44"/>
      <c r="G95" s="44">
        <v>445306</v>
      </c>
      <c r="H95" s="44"/>
      <c r="I95" s="44">
        <v>1809543</v>
      </c>
      <c r="J95" s="44"/>
      <c r="K95" s="44">
        <f>1462403+125388</f>
        <v>1587791</v>
      </c>
      <c r="L95" s="44"/>
      <c r="M95" s="44">
        <f>5629193+296273</f>
        <v>5925466</v>
      </c>
      <c r="N95" s="44"/>
      <c r="O95" s="44">
        <v>207056</v>
      </c>
      <c r="P95" s="44"/>
      <c r="Q95" s="44">
        <v>892128</v>
      </c>
      <c r="R95" s="44"/>
      <c r="S95" s="44">
        <v>132081</v>
      </c>
      <c r="T95" s="44"/>
      <c r="U95" s="44">
        <f>103058+83614</f>
        <v>186672</v>
      </c>
      <c r="V95" s="44"/>
      <c r="W95" s="44">
        <v>0</v>
      </c>
      <c r="X95" s="44"/>
      <c r="Y95" s="44">
        <v>0</v>
      </c>
      <c r="Z95" s="44"/>
      <c r="AA95" s="44">
        <f t="shared" si="7"/>
        <v>8931194</v>
      </c>
      <c r="AB95" s="44"/>
      <c r="AC95" s="44">
        <f t="shared" si="8"/>
        <v>12698287</v>
      </c>
    </row>
    <row r="96" spans="1:29" s="47" customFormat="1" ht="12.75" customHeight="1" x14ac:dyDescent="0.2">
      <c r="A96" s="47" t="s">
        <v>118</v>
      </c>
      <c r="C96" s="47" t="s">
        <v>13</v>
      </c>
      <c r="E96" s="44">
        <v>1501008</v>
      </c>
      <c r="F96" s="44"/>
      <c r="G96" s="44">
        <v>2450258</v>
      </c>
      <c r="H96" s="44"/>
      <c r="I96" s="44">
        <v>1148178</v>
      </c>
      <c r="J96" s="44"/>
      <c r="K96" s="44">
        <f>1417259+121845</f>
        <v>1539104</v>
      </c>
      <c r="L96" s="44"/>
      <c r="M96" s="44">
        <f>17106974+1261428</f>
        <v>18368402</v>
      </c>
      <c r="N96" s="44"/>
      <c r="O96" s="44">
        <f>461015+968459</f>
        <v>1429474</v>
      </c>
      <c r="P96" s="44"/>
      <c r="Q96" s="44">
        <v>1797616</v>
      </c>
      <c r="R96" s="44"/>
      <c r="S96" s="44">
        <v>731445</v>
      </c>
      <c r="T96" s="44"/>
      <c r="U96" s="44">
        <v>995985</v>
      </c>
      <c r="V96" s="44"/>
      <c r="W96" s="44">
        <v>0</v>
      </c>
      <c r="X96" s="44"/>
      <c r="Y96" s="44">
        <v>0</v>
      </c>
      <c r="Z96" s="44"/>
      <c r="AA96" s="44">
        <f t="shared" si="7"/>
        <v>24862026</v>
      </c>
      <c r="AB96" s="44"/>
      <c r="AC96" s="44">
        <f t="shared" si="8"/>
        <v>29961470</v>
      </c>
    </row>
    <row r="97" spans="1:29" s="47" customFormat="1" ht="12.75" customHeight="1" x14ac:dyDescent="0.2">
      <c r="A97" s="47" t="s">
        <v>120</v>
      </c>
      <c r="C97" s="47" t="s">
        <v>121</v>
      </c>
      <c r="E97" s="44">
        <v>537797</v>
      </c>
      <c r="F97" s="44"/>
      <c r="G97" s="44">
        <v>1917169</v>
      </c>
      <c r="H97" s="44"/>
      <c r="I97" s="44">
        <v>0</v>
      </c>
      <c r="J97" s="44"/>
      <c r="K97" s="44">
        <f>1223943+153187</f>
        <v>1377130</v>
      </c>
      <c r="L97" s="44"/>
      <c r="M97" s="44">
        <v>5717695</v>
      </c>
      <c r="N97" s="44"/>
      <c r="O97" s="44">
        <v>229929</v>
      </c>
      <c r="P97" s="44"/>
      <c r="Q97" s="44">
        <v>948403</v>
      </c>
      <c r="R97" s="44"/>
      <c r="S97" s="44">
        <v>2011</v>
      </c>
      <c r="T97" s="44"/>
      <c r="U97" s="44">
        <v>133027</v>
      </c>
      <c r="V97" s="44"/>
      <c r="W97" s="44">
        <v>-16805</v>
      </c>
      <c r="X97" s="44"/>
      <c r="Y97" s="44">
        <v>224149</v>
      </c>
      <c r="Z97" s="44"/>
      <c r="AA97" s="44">
        <f t="shared" si="7"/>
        <v>8615539</v>
      </c>
      <c r="AB97" s="44"/>
      <c r="AC97" s="44">
        <f t="shared" si="8"/>
        <v>11070505</v>
      </c>
    </row>
    <row r="98" spans="1:29" s="47" customFormat="1" ht="12.75" customHeight="1" x14ac:dyDescent="0.2">
      <c r="A98" s="47" t="s">
        <v>122</v>
      </c>
      <c r="C98" s="47" t="s">
        <v>43</v>
      </c>
      <c r="E98" s="44">
        <v>2424041</v>
      </c>
      <c r="F98" s="44"/>
      <c r="G98" s="44">
        <v>2151053</v>
      </c>
      <c r="H98" s="44"/>
      <c r="I98" s="44">
        <v>14025253</v>
      </c>
      <c r="J98" s="44"/>
      <c r="K98" s="44">
        <f>914945+837166+1053861</f>
        <v>2805972</v>
      </c>
      <c r="L98" s="44"/>
      <c r="M98" s="44">
        <v>19436382</v>
      </c>
      <c r="N98" s="44"/>
      <c r="O98" s="44">
        <f>4424227+1202117</f>
        <v>5626344</v>
      </c>
      <c r="P98" s="44"/>
      <c r="Q98" s="44">
        <v>2711904</v>
      </c>
      <c r="R98" s="44"/>
      <c r="S98" s="44">
        <v>807467</v>
      </c>
      <c r="T98" s="44"/>
      <c r="U98" s="44">
        <v>142931</v>
      </c>
      <c r="V98" s="44"/>
      <c r="W98" s="44">
        <v>0</v>
      </c>
      <c r="X98" s="44"/>
      <c r="Y98" s="44">
        <v>0</v>
      </c>
      <c r="Z98" s="44"/>
      <c r="AA98" s="44">
        <f t="shared" si="7"/>
        <v>31531000</v>
      </c>
      <c r="AB98" s="44"/>
      <c r="AC98" s="44">
        <f t="shared" si="8"/>
        <v>50131347</v>
      </c>
    </row>
    <row r="99" spans="1:29" s="47" customFormat="1" ht="12.75" customHeight="1" x14ac:dyDescent="0.2">
      <c r="A99" s="35" t="s">
        <v>507</v>
      </c>
      <c r="B99" s="51"/>
      <c r="C99" s="35" t="s">
        <v>43</v>
      </c>
      <c r="E99" s="44">
        <v>2469024</v>
      </c>
      <c r="F99" s="44"/>
      <c r="G99" s="44">
        <v>581718</v>
      </c>
      <c r="H99" s="44"/>
      <c r="I99" s="44">
        <v>0</v>
      </c>
      <c r="J99" s="44"/>
      <c r="K99" s="44">
        <v>260288</v>
      </c>
      <c r="L99" s="44"/>
      <c r="M99" s="44">
        <f>5960467+1973917</f>
        <v>7934384</v>
      </c>
      <c r="N99" s="44"/>
      <c r="O99" s="44">
        <v>47660</v>
      </c>
      <c r="P99" s="44"/>
      <c r="Q99" s="44">
        <v>255313</v>
      </c>
      <c r="R99" s="44"/>
      <c r="S99" s="44">
        <v>48303</v>
      </c>
      <c r="T99" s="44"/>
      <c r="U99" s="44">
        <v>312002</v>
      </c>
      <c r="V99" s="44"/>
      <c r="W99" s="44">
        <v>-217967</v>
      </c>
      <c r="X99" s="44"/>
      <c r="Y99" s="44">
        <v>0</v>
      </c>
      <c r="Z99" s="44"/>
      <c r="AA99" s="44">
        <f t="shared" si="7"/>
        <v>8639983</v>
      </c>
      <c r="AB99" s="44"/>
      <c r="AC99" s="44">
        <f t="shared" si="8"/>
        <v>11690725</v>
      </c>
    </row>
    <row r="100" spans="1:29" s="47" customFormat="1" ht="12.75" customHeight="1" x14ac:dyDescent="0.2">
      <c r="A100" s="47" t="s">
        <v>45</v>
      </c>
      <c r="C100" s="47" t="s">
        <v>103</v>
      </c>
      <c r="E100" s="44">
        <v>14373968</v>
      </c>
      <c r="F100" s="44"/>
      <c r="G100" s="44">
        <v>6122577</v>
      </c>
      <c r="H100" s="44"/>
      <c r="I100" s="44">
        <v>2800483</v>
      </c>
      <c r="J100" s="44"/>
      <c r="K100" s="44">
        <f>2537199+2645849+605142</f>
        <v>5788190</v>
      </c>
      <c r="L100" s="44"/>
      <c r="M100" s="44">
        <v>21912270</v>
      </c>
      <c r="N100" s="44"/>
      <c r="O100" s="44">
        <v>3236064</v>
      </c>
      <c r="P100" s="44"/>
      <c r="Q100" s="44">
        <v>10357132</v>
      </c>
      <c r="R100" s="44"/>
      <c r="S100" s="44">
        <v>98396</v>
      </c>
      <c r="T100" s="44"/>
      <c r="U100" s="44">
        <v>964173</v>
      </c>
      <c r="V100" s="44"/>
      <c r="W100" s="44">
        <v>0</v>
      </c>
      <c r="X100" s="44"/>
      <c r="Y100" s="44">
        <v>0</v>
      </c>
      <c r="Z100" s="44"/>
      <c r="AA100" s="44">
        <f t="shared" si="7"/>
        <v>42356225</v>
      </c>
      <c r="AB100" s="44"/>
      <c r="AC100" s="44">
        <f t="shared" si="8"/>
        <v>65653253</v>
      </c>
    </row>
    <row r="101" spans="1:29" s="47" customFormat="1" ht="12.75" customHeight="1" x14ac:dyDescent="0.2">
      <c r="A101" s="47" t="s">
        <v>123</v>
      </c>
      <c r="C101" s="47" t="s">
        <v>45</v>
      </c>
      <c r="E101" s="44">
        <v>1325582</v>
      </c>
      <c r="F101" s="44"/>
      <c r="G101" s="44">
        <v>680347</v>
      </c>
      <c r="H101" s="44"/>
      <c r="I101" s="44">
        <v>379106</v>
      </c>
      <c r="J101" s="44"/>
      <c r="K101" s="44">
        <f>1177650+1174922+62067+6541+60951</f>
        <v>2482131</v>
      </c>
      <c r="L101" s="44"/>
      <c r="M101" s="44">
        <v>2956342</v>
      </c>
      <c r="N101" s="44"/>
      <c r="O101" s="44">
        <v>436412</v>
      </c>
      <c r="P101" s="44"/>
      <c r="Q101" s="44">
        <v>719408</v>
      </c>
      <c r="R101" s="44"/>
      <c r="S101" s="44">
        <v>34474</v>
      </c>
      <c r="T101" s="44"/>
      <c r="U101" s="44">
        <f>74513+3612</f>
        <v>78125</v>
      </c>
      <c r="V101" s="44"/>
      <c r="W101" s="44">
        <v>63469</v>
      </c>
      <c r="X101" s="44"/>
      <c r="Y101" s="44">
        <v>0</v>
      </c>
      <c r="Z101" s="44"/>
      <c r="AA101" s="44">
        <f t="shared" si="7"/>
        <v>6770361</v>
      </c>
      <c r="AB101" s="44"/>
      <c r="AC101" s="44">
        <f t="shared" si="8"/>
        <v>9155396</v>
      </c>
    </row>
    <row r="102" spans="1:29" s="47" customFormat="1" ht="12.75" customHeight="1" x14ac:dyDescent="0.2">
      <c r="A102" s="47" t="s">
        <v>124</v>
      </c>
      <c r="C102" s="47" t="s">
        <v>125</v>
      </c>
      <c r="E102" s="44">
        <v>998739</v>
      </c>
      <c r="F102" s="44"/>
      <c r="G102" s="44">
        <v>667962</v>
      </c>
      <c r="H102" s="44"/>
      <c r="I102" s="44">
        <v>3306967</v>
      </c>
      <c r="J102" s="44"/>
      <c r="K102" s="44">
        <v>1174167</v>
      </c>
      <c r="L102" s="44"/>
      <c r="M102" s="44">
        <v>5278585</v>
      </c>
      <c r="N102" s="44"/>
      <c r="O102" s="44">
        <v>10388</v>
      </c>
      <c r="P102" s="44"/>
      <c r="Q102" s="44">
        <v>814944</v>
      </c>
      <c r="R102" s="44"/>
      <c r="S102" s="44">
        <v>82186</v>
      </c>
      <c r="T102" s="44"/>
      <c r="U102" s="44">
        <v>217901</v>
      </c>
      <c r="V102" s="44"/>
      <c r="W102" s="44">
        <v>0</v>
      </c>
      <c r="X102" s="44"/>
      <c r="Y102" s="44">
        <v>0</v>
      </c>
      <c r="Z102" s="44"/>
      <c r="AA102" s="44">
        <f t="shared" si="7"/>
        <v>7578171</v>
      </c>
      <c r="AB102" s="44"/>
      <c r="AC102" s="44">
        <f t="shared" si="8"/>
        <v>12551839</v>
      </c>
    </row>
    <row r="103" spans="1:29" s="47" customFormat="1" ht="12.75" customHeight="1" x14ac:dyDescent="0.2">
      <c r="A103" s="47" t="s">
        <v>126</v>
      </c>
      <c r="C103" s="47" t="s">
        <v>27</v>
      </c>
      <c r="E103" s="44">
        <v>1436996</v>
      </c>
      <c r="F103" s="44"/>
      <c r="G103" s="44">
        <v>421488</v>
      </c>
      <c r="H103" s="44"/>
      <c r="I103" s="44">
        <v>193947</v>
      </c>
      <c r="J103" s="44"/>
      <c r="K103" s="44">
        <f>775295+102910+563853</f>
        <v>1442058</v>
      </c>
      <c r="L103" s="44"/>
      <c r="M103" s="44">
        <f>10144024+822489</f>
        <v>10966513</v>
      </c>
      <c r="N103" s="44"/>
      <c r="O103" s="44">
        <v>92944</v>
      </c>
      <c r="P103" s="44"/>
      <c r="Q103" s="44">
        <v>1037753</v>
      </c>
      <c r="R103" s="44"/>
      <c r="S103" s="44">
        <v>13115</v>
      </c>
      <c r="T103" s="44"/>
      <c r="U103" s="44">
        <f>9154-7726</f>
        <v>1428</v>
      </c>
      <c r="V103" s="44"/>
      <c r="W103" s="44">
        <v>0</v>
      </c>
      <c r="X103" s="44"/>
      <c r="Y103" s="44">
        <v>0</v>
      </c>
      <c r="Z103" s="44"/>
      <c r="AA103" s="44">
        <f t="shared" si="7"/>
        <v>13553811</v>
      </c>
      <c r="AB103" s="44"/>
      <c r="AC103" s="44">
        <f t="shared" si="8"/>
        <v>15606242</v>
      </c>
    </row>
    <row r="104" spans="1:29" s="47" customFormat="1" ht="12.75" customHeight="1" x14ac:dyDescent="0.2">
      <c r="A104" s="47" t="s">
        <v>127</v>
      </c>
      <c r="C104" s="47" t="s">
        <v>43</v>
      </c>
      <c r="E104" s="44">
        <v>6255865</v>
      </c>
      <c r="F104" s="44"/>
      <c r="G104" s="44">
        <v>1287341</v>
      </c>
      <c r="H104" s="44"/>
      <c r="I104" s="44">
        <v>6544552</v>
      </c>
      <c r="J104" s="44"/>
      <c r="K104" s="44">
        <v>1978442</v>
      </c>
      <c r="L104" s="44"/>
      <c r="M104" s="44">
        <f>12292843+885947+4392930</f>
        <v>17571720</v>
      </c>
      <c r="N104" s="44"/>
      <c r="O104" s="44">
        <v>1243970</v>
      </c>
      <c r="P104" s="44"/>
      <c r="Q104" s="44">
        <v>2301949</v>
      </c>
      <c r="R104" s="44"/>
      <c r="S104" s="44">
        <v>60420</v>
      </c>
      <c r="T104" s="44"/>
      <c r="U104" s="44">
        <v>581217</v>
      </c>
      <c r="V104" s="44"/>
      <c r="W104" s="44">
        <v>0</v>
      </c>
      <c r="X104" s="44"/>
      <c r="Y104" s="44">
        <v>0</v>
      </c>
      <c r="Z104" s="44"/>
      <c r="AA104" s="44">
        <f t="shared" si="7"/>
        <v>23737718</v>
      </c>
      <c r="AB104" s="44"/>
      <c r="AC104" s="44">
        <f t="shared" si="8"/>
        <v>37825476</v>
      </c>
    </row>
    <row r="105" spans="1:29" s="47" customFormat="1" ht="12.75" customHeight="1" x14ac:dyDescent="0.2">
      <c r="A105" s="47" t="s">
        <v>128</v>
      </c>
      <c r="C105" s="47" t="s">
        <v>119</v>
      </c>
      <c r="E105" s="44">
        <v>1044062</v>
      </c>
      <c r="F105" s="44"/>
      <c r="G105" s="44">
        <v>405411</v>
      </c>
      <c r="H105" s="44"/>
      <c r="I105" s="44">
        <v>0</v>
      </c>
      <c r="J105" s="44"/>
      <c r="K105" s="44">
        <f>310148+77672+40393+227440</f>
        <v>655653</v>
      </c>
      <c r="L105" s="44"/>
      <c r="M105" s="44">
        <v>3216914</v>
      </c>
      <c r="N105" s="44"/>
      <c r="O105" s="44">
        <v>0</v>
      </c>
      <c r="P105" s="44"/>
      <c r="Q105" s="44">
        <v>387275</v>
      </c>
      <c r="R105" s="44"/>
      <c r="S105" s="44">
        <v>29340</v>
      </c>
      <c r="T105" s="44"/>
      <c r="U105" s="44">
        <v>67303</v>
      </c>
      <c r="V105" s="44"/>
      <c r="W105" s="44">
        <v>107767</v>
      </c>
      <c r="X105" s="44"/>
      <c r="Y105" s="44">
        <v>0</v>
      </c>
      <c r="Z105" s="44"/>
      <c r="AA105" s="44">
        <f t="shared" si="7"/>
        <v>4464252</v>
      </c>
      <c r="AB105" s="44"/>
      <c r="AC105" s="44">
        <f t="shared" si="8"/>
        <v>5913725</v>
      </c>
    </row>
    <row r="106" spans="1:29" s="47" customFormat="1" ht="12.75" customHeight="1" x14ac:dyDescent="0.2">
      <c r="A106" s="47" t="s">
        <v>129</v>
      </c>
      <c r="C106" s="47" t="s">
        <v>80</v>
      </c>
      <c r="E106" s="44">
        <v>48161</v>
      </c>
      <c r="F106" s="44"/>
      <c r="G106" s="44">
        <v>433243</v>
      </c>
      <c r="H106" s="44"/>
      <c r="I106" s="44">
        <v>198520</v>
      </c>
      <c r="J106" s="44"/>
      <c r="K106" s="44">
        <f>301232+30200</f>
        <v>331432</v>
      </c>
      <c r="L106" s="44"/>
      <c r="M106" s="44">
        <v>2020104</v>
      </c>
      <c r="N106" s="44"/>
      <c r="O106" s="44">
        <v>0</v>
      </c>
      <c r="P106" s="44"/>
      <c r="Q106" s="44">
        <v>682485</v>
      </c>
      <c r="R106" s="44"/>
      <c r="S106" s="44">
        <v>61268</v>
      </c>
      <c r="T106" s="44"/>
      <c r="U106" s="44">
        <v>140137</v>
      </c>
      <c r="V106" s="44"/>
      <c r="W106" s="44">
        <v>-198520</v>
      </c>
      <c r="X106" s="44"/>
      <c r="Y106" s="44">
        <v>0</v>
      </c>
      <c r="Z106" s="44"/>
      <c r="AA106" s="44">
        <f t="shared" si="7"/>
        <v>3036906</v>
      </c>
      <c r="AB106" s="44"/>
      <c r="AC106" s="44">
        <f t="shared" si="8"/>
        <v>3716830</v>
      </c>
    </row>
    <row r="107" spans="1:29" s="47" customFormat="1" ht="12.75" customHeight="1" x14ac:dyDescent="0.2">
      <c r="A107" s="47" t="s">
        <v>130</v>
      </c>
      <c r="C107" s="47" t="s">
        <v>66</v>
      </c>
      <c r="E107" s="44">
        <v>2491315</v>
      </c>
      <c r="F107" s="44"/>
      <c r="G107" s="44">
        <v>2731871</v>
      </c>
      <c r="H107" s="44"/>
      <c r="I107" s="44">
        <v>1134284</v>
      </c>
      <c r="J107" s="44"/>
      <c r="K107" s="44">
        <f>1204222+2222165</f>
        <v>3426387</v>
      </c>
      <c r="L107" s="44"/>
      <c r="M107" s="44">
        <v>10574643</v>
      </c>
      <c r="N107" s="44"/>
      <c r="O107" s="44">
        <f>386981+1315715</f>
        <v>1702696</v>
      </c>
      <c r="P107" s="44"/>
      <c r="Q107" s="44">
        <v>1900356</v>
      </c>
      <c r="R107" s="44"/>
      <c r="S107" s="44">
        <v>163750</v>
      </c>
      <c r="T107" s="44"/>
      <c r="U107" s="44">
        <v>899022</v>
      </c>
      <c r="V107" s="44"/>
      <c r="W107" s="44">
        <v>-326782</v>
      </c>
      <c r="X107" s="44"/>
      <c r="Y107" s="44">
        <v>0</v>
      </c>
      <c r="Z107" s="44"/>
      <c r="AA107" s="44">
        <f t="shared" si="7"/>
        <v>18340072</v>
      </c>
      <c r="AB107" s="44"/>
      <c r="AC107" s="44">
        <f t="shared" si="8"/>
        <v>24697542</v>
      </c>
    </row>
    <row r="108" spans="1:29" s="47" customFormat="1" ht="12.75" customHeight="1" x14ac:dyDescent="0.2">
      <c r="A108" s="47" t="s">
        <v>131</v>
      </c>
      <c r="C108" s="47" t="s">
        <v>13</v>
      </c>
      <c r="E108" s="44">
        <v>1509666</v>
      </c>
      <c r="F108" s="44"/>
      <c r="G108" s="44">
        <v>159587</v>
      </c>
      <c r="H108" s="44"/>
      <c r="I108" s="44">
        <v>525871</v>
      </c>
      <c r="J108" s="44"/>
      <c r="K108" s="44">
        <v>4679336</v>
      </c>
      <c r="L108" s="44"/>
      <c r="M108" s="44">
        <v>17142522</v>
      </c>
      <c r="N108" s="44"/>
      <c r="O108" s="44">
        <v>0</v>
      </c>
      <c r="P108" s="44"/>
      <c r="Q108" s="44">
        <v>6106728</v>
      </c>
      <c r="R108" s="44"/>
      <c r="S108" s="44">
        <v>692342</v>
      </c>
      <c r="T108" s="44"/>
      <c r="U108" s="44">
        <v>367837</v>
      </c>
      <c r="V108" s="44"/>
      <c r="W108" s="44">
        <v>-3285000</v>
      </c>
      <c r="X108" s="44"/>
      <c r="Y108" s="44">
        <v>0</v>
      </c>
      <c r="Z108" s="44"/>
      <c r="AA108" s="44">
        <f t="shared" si="7"/>
        <v>25703765</v>
      </c>
      <c r="AB108" s="44"/>
      <c r="AC108" s="44">
        <f t="shared" si="8"/>
        <v>27898889</v>
      </c>
    </row>
    <row r="109" spans="1:29" s="47" customFormat="1" ht="12.75" customHeight="1" x14ac:dyDescent="0.2">
      <c r="A109" s="47" t="s">
        <v>38</v>
      </c>
      <c r="C109" s="47" t="s">
        <v>132</v>
      </c>
      <c r="E109" s="44">
        <v>1811785</v>
      </c>
      <c r="F109" s="44"/>
      <c r="G109" s="44">
        <v>1169930</v>
      </c>
      <c r="H109" s="44"/>
      <c r="I109" s="44">
        <v>374177</v>
      </c>
      <c r="J109" s="44"/>
      <c r="K109" s="44">
        <f>201555+574283</f>
        <v>775838</v>
      </c>
      <c r="L109" s="44"/>
      <c r="M109" s="44">
        <f>1844169+224411+296000</f>
        <v>2364580</v>
      </c>
      <c r="N109" s="44"/>
      <c r="O109" s="44">
        <v>265</v>
      </c>
      <c r="P109" s="44"/>
      <c r="Q109" s="44">
        <v>1232687</v>
      </c>
      <c r="R109" s="44"/>
      <c r="S109" s="44">
        <v>6569</v>
      </c>
      <c r="T109" s="44"/>
      <c r="U109" s="44">
        <f>3620+94104</f>
        <v>97724</v>
      </c>
      <c r="V109" s="44"/>
      <c r="W109" s="44">
        <v>0</v>
      </c>
      <c r="X109" s="44"/>
      <c r="Y109" s="44">
        <v>0</v>
      </c>
      <c r="Z109" s="44"/>
      <c r="AA109" s="44">
        <f t="shared" si="7"/>
        <v>4477663</v>
      </c>
      <c r="AB109" s="44"/>
      <c r="AC109" s="44">
        <f t="shared" si="8"/>
        <v>7833555</v>
      </c>
    </row>
    <row r="110" spans="1:29" s="47" customFormat="1" ht="12.75" customHeight="1" x14ac:dyDescent="0.2">
      <c r="A110" s="47" t="s">
        <v>133</v>
      </c>
      <c r="C110" s="47" t="s">
        <v>27</v>
      </c>
      <c r="E110" s="44">
        <v>1420709</v>
      </c>
      <c r="F110" s="44"/>
      <c r="G110" s="44">
        <v>448183</v>
      </c>
      <c r="H110" s="44"/>
      <c r="I110" s="44">
        <v>387666</v>
      </c>
      <c r="J110" s="44"/>
      <c r="K110" s="44">
        <f>900223+128505</f>
        <v>1028728</v>
      </c>
      <c r="L110" s="44"/>
      <c r="M110" s="44">
        <v>24050310</v>
      </c>
      <c r="N110" s="44"/>
      <c r="O110" s="44">
        <f>4785946+1072995+8268+934263</f>
        <v>6801472</v>
      </c>
      <c r="P110" s="44"/>
      <c r="Q110" s="44">
        <v>457658</v>
      </c>
      <c r="R110" s="44"/>
      <c r="S110" s="44">
        <v>75505</v>
      </c>
      <c r="T110" s="44"/>
      <c r="U110" s="44">
        <v>621536</v>
      </c>
      <c r="V110" s="44"/>
      <c r="W110" s="44">
        <v>0</v>
      </c>
      <c r="X110" s="44"/>
      <c r="Y110" s="44">
        <v>0</v>
      </c>
      <c r="Z110" s="44"/>
      <c r="AA110" s="44">
        <f t="shared" si="7"/>
        <v>33035209</v>
      </c>
      <c r="AB110" s="44"/>
      <c r="AC110" s="44">
        <f t="shared" si="8"/>
        <v>35291767</v>
      </c>
    </row>
    <row r="111" spans="1:29" s="47" customFormat="1" ht="12.75" customHeight="1" x14ac:dyDescent="0.2">
      <c r="A111" s="47" t="s">
        <v>483</v>
      </c>
      <c r="C111" s="47" t="s">
        <v>45</v>
      </c>
      <c r="E111" s="44">
        <v>406949</v>
      </c>
      <c r="F111" s="44"/>
      <c r="G111" s="44">
        <v>308173</v>
      </c>
      <c r="H111" s="44"/>
      <c r="I111" s="44">
        <v>865495</v>
      </c>
      <c r="J111" s="44"/>
      <c r="K111" s="44">
        <v>806743</v>
      </c>
      <c r="L111" s="44"/>
      <c r="M111" s="44">
        <v>5852274</v>
      </c>
      <c r="N111" s="44"/>
      <c r="O111" s="44">
        <v>0</v>
      </c>
      <c r="P111" s="44"/>
      <c r="Q111" s="44">
        <v>5869462</v>
      </c>
      <c r="R111" s="44"/>
      <c r="S111" s="44">
        <v>480065</v>
      </c>
      <c r="T111" s="44"/>
      <c r="U111" s="44">
        <v>477932</v>
      </c>
      <c r="V111" s="44"/>
      <c r="W111" s="44">
        <v>0</v>
      </c>
      <c r="X111" s="44"/>
      <c r="Y111" s="44">
        <v>0</v>
      </c>
      <c r="Z111" s="44"/>
      <c r="AA111" s="44">
        <f t="shared" si="7"/>
        <v>13486476</v>
      </c>
      <c r="AB111" s="44"/>
      <c r="AC111" s="44">
        <f t="shared" si="8"/>
        <v>15067093</v>
      </c>
    </row>
    <row r="112" spans="1:29" s="47" customFormat="1" ht="12.75" customHeight="1" x14ac:dyDescent="0.2">
      <c r="A112" s="35" t="s">
        <v>134</v>
      </c>
      <c r="B112" s="55"/>
      <c r="C112" s="35" t="s">
        <v>135</v>
      </c>
      <c r="E112" s="44">
        <v>1759424</v>
      </c>
      <c r="F112" s="44"/>
      <c r="G112" s="44">
        <v>2931837</v>
      </c>
      <c r="H112" s="44"/>
      <c r="I112" s="44">
        <v>0</v>
      </c>
      <c r="J112" s="44"/>
      <c r="K112" s="44">
        <v>466117</v>
      </c>
      <c r="L112" s="44"/>
      <c r="M112" s="44">
        <v>2163791</v>
      </c>
      <c r="N112" s="44"/>
      <c r="O112" s="44">
        <v>0</v>
      </c>
      <c r="P112" s="44"/>
      <c r="Q112" s="44">
        <v>640133</v>
      </c>
      <c r="R112" s="44"/>
      <c r="S112" s="44">
        <v>15726</v>
      </c>
      <c r="T112" s="44"/>
      <c r="U112" s="44">
        <v>378146</v>
      </c>
      <c r="V112" s="44"/>
      <c r="W112" s="44">
        <v>1408332</v>
      </c>
      <c r="X112" s="44"/>
      <c r="Y112" s="44">
        <v>0</v>
      </c>
      <c r="Z112" s="44"/>
      <c r="AA112" s="44">
        <f t="shared" si="7"/>
        <v>5072245</v>
      </c>
      <c r="AB112" s="44"/>
      <c r="AC112" s="44">
        <f t="shared" si="8"/>
        <v>9763506</v>
      </c>
    </row>
    <row r="113" spans="1:29" s="47" customFormat="1" ht="12.75" customHeight="1" x14ac:dyDescent="0.2">
      <c r="A113" s="47" t="s">
        <v>136</v>
      </c>
      <c r="C113" s="47" t="s">
        <v>136</v>
      </c>
      <c r="E113" s="44">
        <v>2165240</v>
      </c>
      <c r="F113" s="44"/>
      <c r="G113" s="44">
        <v>1085571</v>
      </c>
      <c r="H113" s="44"/>
      <c r="I113" s="44">
        <v>59153</v>
      </c>
      <c r="J113" s="44"/>
      <c r="K113" s="44">
        <f>1058091+162095+144489+57368</f>
        <v>1422043</v>
      </c>
      <c r="L113" s="44"/>
      <c r="M113" s="44">
        <v>0</v>
      </c>
      <c r="N113" s="44"/>
      <c r="O113" s="44">
        <v>0</v>
      </c>
      <c r="P113" s="44"/>
      <c r="Q113" s="44">
        <v>463109</v>
      </c>
      <c r="R113" s="44"/>
      <c r="S113" s="44">
        <v>181968</v>
      </c>
      <c r="T113" s="44"/>
      <c r="U113" s="44">
        <v>60864</v>
      </c>
      <c r="V113" s="44"/>
      <c r="W113" s="44">
        <v>-60596</v>
      </c>
      <c r="X113" s="44"/>
      <c r="Y113" s="44">
        <v>0</v>
      </c>
      <c r="Z113" s="44"/>
      <c r="AA113" s="44">
        <f t="shared" si="7"/>
        <v>2067388</v>
      </c>
      <c r="AB113" s="44"/>
      <c r="AC113" s="44">
        <f t="shared" si="8"/>
        <v>5377352</v>
      </c>
    </row>
    <row r="114" spans="1:29" s="47" customFormat="1" ht="12.75" customHeight="1" x14ac:dyDescent="0.2">
      <c r="A114" s="47" t="s">
        <v>137</v>
      </c>
      <c r="C114" s="47" t="s">
        <v>22</v>
      </c>
      <c r="E114" s="44">
        <v>2739285</v>
      </c>
      <c r="F114" s="44"/>
      <c r="G114" s="44">
        <v>1602580</v>
      </c>
      <c r="H114" s="44"/>
      <c r="I114" s="44">
        <v>3088711</v>
      </c>
      <c r="J114" s="44"/>
      <c r="K114" s="44">
        <f>1620411+1618587</f>
        <v>3238998</v>
      </c>
      <c r="L114" s="44"/>
      <c r="M114" s="44">
        <v>10962364</v>
      </c>
      <c r="N114" s="44"/>
      <c r="O114" s="44">
        <v>0</v>
      </c>
      <c r="P114" s="44"/>
      <c r="Q114" s="44">
        <v>2735703</v>
      </c>
      <c r="R114" s="44"/>
      <c r="S114" s="44">
        <v>221008</v>
      </c>
      <c r="T114" s="44"/>
      <c r="U114" s="44">
        <v>574177</v>
      </c>
      <c r="V114" s="44"/>
      <c r="W114" s="44">
        <v>-140000</v>
      </c>
      <c r="X114" s="44"/>
      <c r="Y114" s="44">
        <v>0</v>
      </c>
      <c r="Z114" s="44"/>
      <c r="AA114" s="44">
        <f t="shared" si="7"/>
        <v>17592250</v>
      </c>
      <c r="AB114" s="44"/>
      <c r="AC114" s="44">
        <f t="shared" si="8"/>
        <v>25022826</v>
      </c>
    </row>
    <row r="115" spans="1:29" s="47" customFormat="1" ht="12.75" hidden="1" customHeight="1" x14ac:dyDescent="0.2">
      <c r="A115" s="47" t="s">
        <v>138</v>
      </c>
      <c r="C115" s="47" t="s">
        <v>139</v>
      </c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>
        <f t="shared" si="7"/>
        <v>0</v>
      </c>
      <c r="AB115" s="44"/>
      <c r="AC115" s="44">
        <f t="shared" si="8"/>
        <v>0</v>
      </c>
    </row>
    <row r="116" spans="1:29" s="47" customFormat="1" ht="12.75" customHeight="1" x14ac:dyDescent="0.2">
      <c r="A116" s="47" t="s">
        <v>140</v>
      </c>
      <c r="C116" s="47" t="s">
        <v>66</v>
      </c>
      <c r="E116" s="44">
        <v>10758442</v>
      </c>
      <c r="F116" s="44"/>
      <c r="G116" s="44">
        <v>725501</v>
      </c>
      <c r="H116" s="44"/>
      <c r="I116" s="44">
        <v>10049879</v>
      </c>
      <c r="J116" s="44"/>
      <c r="K116" s="44">
        <f>7920953+975771</f>
        <v>8896724</v>
      </c>
      <c r="L116" s="44"/>
      <c r="M116" s="44">
        <v>36303996</v>
      </c>
      <c r="N116" s="44"/>
      <c r="O116" s="44">
        <v>10292717</v>
      </c>
      <c r="P116" s="44"/>
      <c r="Q116" s="44">
        <v>0</v>
      </c>
      <c r="R116" s="44"/>
      <c r="S116" s="44">
        <v>629983</v>
      </c>
      <c r="T116" s="44"/>
      <c r="U116" s="44">
        <v>1271393</v>
      </c>
      <c r="V116" s="44"/>
      <c r="W116" s="44">
        <v>229648</v>
      </c>
      <c r="X116" s="44"/>
      <c r="Y116" s="44">
        <v>0</v>
      </c>
      <c r="Z116" s="44"/>
      <c r="AA116" s="44">
        <f t="shared" si="7"/>
        <v>57624461</v>
      </c>
      <c r="AB116" s="44"/>
      <c r="AC116" s="44">
        <f t="shared" si="8"/>
        <v>79158283</v>
      </c>
    </row>
    <row r="117" spans="1:29" s="47" customFormat="1" ht="12.75" customHeight="1" x14ac:dyDescent="0.2">
      <c r="A117" s="47" t="s">
        <v>478</v>
      </c>
      <c r="C117" s="47" t="s">
        <v>92</v>
      </c>
      <c r="E117" s="44">
        <v>625096</v>
      </c>
      <c r="F117" s="44"/>
      <c r="G117" s="44">
        <v>649412</v>
      </c>
      <c r="H117" s="44"/>
      <c r="I117" s="44">
        <v>382110</v>
      </c>
      <c r="J117" s="44"/>
      <c r="K117" s="44">
        <f>598487+736486+88456+66260+123952</f>
        <v>1613641</v>
      </c>
      <c r="L117" s="44"/>
      <c r="M117" s="44">
        <v>3244018</v>
      </c>
      <c r="N117" s="44"/>
      <c r="O117" s="44">
        <v>0</v>
      </c>
      <c r="P117" s="44"/>
      <c r="Q117" s="44">
        <v>619339</v>
      </c>
      <c r="R117" s="44"/>
      <c r="S117" s="44">
        <v>2043</v>
      </c>
      <c r="T117" s="44"/>
      <c r="U117" s="44">
        <v>65706</v>
      </c>
      <c r="V117" s="44"/>
      <c r="W117" s="44">
        <v>-53704</v>
      </c>
      <c r="X117" s="44"/>
      <c r="Y117" s="44">
        <v>0</v>
      </c>
      <c r="Z117" s="44"/>
      <c r="AA117" s="44">
        <f t="shared" si="7"/>
        <v>5491043</v>
      </c>
      <c r="AB117" s="44"/>
      <c r="AC117" s="44">
        <f t="shared" si="8"/>
        <v>7147661</v>
      </c>
    </row>
    <row r="118" spans="1:29" s="47" customFormat="1" ht="12.75" customHeight="1" x14ac:dyDescent="0.2">
      <c r="A118" s="47" t="s">
        <v>141</v>
      </c>
      <c r="C118" s="47" t="s">
        <v>27</v>
      </c>
      <c r="E118" s="44">
        <v>7486105</v>
      </c>
      <c r="F118" s="44"/>
      <c r="G118" s="44">
        <v>6331323</v>
      </c>
      <c r="H118" s="44"/>
      <c r="I118" s="44">
        <v>0</v>
      </c>
      <c r="J118" s="44"/>
      <c r="K118" s="44">
        <f>6581357+2608762+2784378</f>
        <v>11974497</v>
      </c>
      <c r="L118" s="44"/>
      <c r="M118" s="44">
        <v>19474728</v>
      </c>
      <c r="N118" s="44"/>
      <c r="O118" s="44">
        <v>355641</v>
      </c>
      <c r="P118" s="44"/>
      <c r="Q118" s="44">
        <v>5997696</v>
      </c>
      <c r="R118" s="44"/>
      <c r="S118" s="44">
        <v>8792</v>
      </c>
      <c r="T118" s="44"/>
      <c r="U118" s="44">
        <f>25308+713582</f>
        <v>738890</v>
      </c>
      <c r="V118" s="44"/>
      <c r="W118" s="44">
        <v>1041754</v>
      </c>
      <c r="X118" s="44"/>
      <c r="Y118" s="44">
        <v>0</v>
      </c>
      <c r="Z118" s="44"/>
      <c r="AA118" s="44">
        <f t="shared" si="7"/>
        <v>39591998</v>
      </c>
      <c r="AB118" s="44"/>
      <c r="AC118" s="44">
        <f t="shared" si="8"/>
        <v>53409426</v>
      </c>
    </row>
    <row r="119" spans="1:29" s="47" customFormat="1" ht="12.75" customHeight="1" x14ac:dyDescent="0.2">
      <c r="A119" s="47" t="s">
        <v>142</v>
      </c>
      <c r="C119" s="47" t="s">
        <v>102</v>
      </c>
      <c r="E119" s="44">
        <v>5872759</v>
      </c>
      <c r="F119" s="44"/>
      <c r="G119" s="44">
        <v>5523719</v>
      </c>
      <c r="H119" s="44"/>
      <c r="I119" s="44">
        <v>498035</v>
      </c>
      <c r="J119" s="44"/>
      <c r="K119" s="44">
        <f>1967069+446119+332919+38576</f>
        <v>2784683</v>
      </c>
      <c r="L119" s="44"/>
      <c r="M119" s="44">
        <v>15838417</v>
      </c>
      <c r="N119" s="44"/>
      <c r="O119" s="44">
        <v>585100</v>
      </c>
      <c r="P119" s="44"/>
      <c r="Q119" s="44">
        <v>2313912</v>
      </c>
      <c r="R119" s="44"/>
      <c r="S119" s="44">
        <v>326671</v>
      </c>
      <c r="T119" s="44"/>
      <c r="U119" s="44">
        <v>308819</v>
      </c>
      <c r="V119" s="44"/>
      <c r="W119" s="44">
        <v>-21402</v>
      </c>
      <c r="X119" s="44"/>
      <c r="Y119" s="44">
        <v>0</v>
      </c>
      <c r="Z119" s="44"/>
      <c r="AA119" s="44">
        <f t="shared" si="7"/>
        <v>22136200</v>
      </c>
      <c r="AB119" s="44"/>
      <c r="AC119" s="44">
        <f t="shared" si="8"/>
        <v>34030713</v>
      </c>
    </row>
    <row r="120" spans="1:29" s="47" customFormat="1" ht="12.75" customHeight="1" x14ac:dyDescent="0.2">
      <c r="A120" s="47" t="s">
        <v>143</v>
      </c>
      <c r="C120" s="47" t="s">
        <v>111</v>
      </c>
      <c r="E120" s="44">
        <v>3091423</v>
      </c>
      <c r="F120" s="44"/>
      <c r="G120" s="44">
        <v>1656433</v>
      </c>
      <c r="H120" s="44"/>
      <c r="I120" s="44">
        <v>752724</v>
      </c>
      <c r="J120" s="44"/>
      <c r="K120" s="44">
        <f>1147868+2228171</f>
        <v>3376039</v>
      </c>
      <c r="L120" s="44"/>
      <c r="M120" s="44">
        <v>5762855</v>
      </c>
      <c r="N120" s="44"/>
      <c r="O120" s="44">
        <f>1245078+1395381</f>
        <v>2640459</v>
      </c>
      <c r="P120" s="44"/>
      <c r="Q120" s="44">
        <v>814808</v>
      </c>
      <c r="R120" s="44"/>
      <c r="S120" s="44">
        <v>-217091</v>
      </c>
      <c r="T120" s="44"/>
      <c r="U120" s="44">
        <f>7414+225740</f>
        <v>233154</v>
      </c>
      <c r="V120" s="44"/>
      <c r="W120" s="44">
        <v>-392268</v>
      </c>
      <c r="X120" s="44"/>
      <c r="Y120" s="44">
        <v>0</v>
      </c>
      <c r="Z120" s="44"/>
      <c r="AA120" s="44">
        <f t="shared" si="7"/>
        <v>12217956</v>
      </c>
      <c r="AB120" s="44"/>
      <c r="AC120" s="44">
        <f t="shared" si="8"/>
        <v>17718536</v>
      </c>
    </row>
    <row r="121" spans="1:29" s="47" customFormat="1" ht="12.75" customHeight="1" x14ac:dyDescent="0.2">
      <c r="A121" s="47" t="s">
        <v>144</v>
      </c>
      <c r="C121" s="47" t="s">
        <v>88</v>
      </c>
      <c r="E121" s="44">
        <v>8984668</v>
      </c>
      <c r="F121" s="44"/>
      <c r="G121" s="44">
        <v>3103932</v>
      </c>
      <c r="H121" s="44"/>
      <c r="I121" s="44">
        <v>7085608</v>
      </c>
      <c r="J121" s="44"/>
      <c r="K121" s="44">
        <v>1253445</v>
      </c>
      <c r="L121" s="44"/>
      <c r="M121" s="44">
        <v>15201098</v>
      </c>
      <c r="N121" s="44"/>
      <c r="O121" s="44">
        <v>179510</v>
      </c>
      <c r="P121" s="44"/>
      <c r="Q121" s="44">
        <v>4470367</v>
      </c>
      <c r="R121" s="44"/>
      <c r="S121" s="44">
        <v>556065</v>
      </c>
      <c r="T121" s="44"/>
      <c r="U121" s="44">
        <f>158562+52288+25726</f>
        <v>236576</v>
      </c>
      <c r="V121" s="44"/>
      <c r="W121" s="44">
        <v>-495340</v>
      </c>
      <c r="X121" s="44"/>
      <c r="Y121" s="44">
        <v>0</v>
      </c>
      <c r="Z121" s="44"/>
      <c r="AA121" s="44">
        <f t="shared" si="7"/>
        <v>21401721</v>
      </c>
      <c r="AB121" s="44"/>
      <c r="AC121" s="44">
        <f t="shared" si="8"/>
        <v>40575929</v>
      </c>
    </row>
    <row r="122" spans="1:29" s="47" customFormat="1" ht="12.75" customHeight="1" x14ac:dyDescent="0.2">
      <c r="A122" s="47" t="s">
        <v>36</v>
      </c>
      <c r="C122" s="47" t="s">
        <v>145</v>
      </c>
      <c r="E122" s="44">
        <v>386286</v>
      </c>
      <c r="F122" s="44"/>
      <c r="G122" s="44">
        <v>639382</v>
      </c>
      <c r="H122" s="44"/>
      <c r="I122" s="44">
        <v>313496</v>
      </c>
      <c r="J122" s="44"/>
      <c r="K122" s="44">
        <f>201487+29876+231874</f>
        <v>463237</v>
      </c>
      <c r="L122" s="44"/>
      <c r="M122" s="44">
        <f>2407925+267547</f>
        <v>2675472</v>
      </c>
      <c r="N122" s="44"/>
      <c r="O122" s="44">
        <v>0</v>
      </c>
      <c r="P122" s="44"/>
      <c r="Q122" s="44">
        <v>505904</v>
      </c>
      <c r="R122" s="44"/>
      <c r="S122" s="44">
        <v>6622</v>
      </c>
      <c r="T122" s="44"/>
      <c r="U122" s="44">
        <v>25066</v>
      </c>
      <c r="V122" s="44"/>
      <c r="W122" s="44">
        <v>0</v>
      </c>
      <c r="X122" s="44"/>
      <c r="Y122" s="44">
        <v>0</v>
      </c>
      <c r="Z122" s="44"/>
      <c r="AA122" s="44">
        <f t="shared" si="7"/>
        <v>3676301</v>
      </c>
      <c r="AB122" s="44"/>
      <c r="AC122" s="44">
        <f t="shared" si="8"/>
        <v>5015465</v>
      </c>
    </row>
    <row r="123" spans="1:29" s="47" customFormat="1" ht="12.75" customHeight="1" x14ac:dyDescent="0.2">
      <c r="A123" s="47" t="s">
        <v>146</v>
      </c>
      <c r="C123" s="47" t="s">
        <v>147</v>
      </c>
      <c r="E123" s="44">
        <v>524144</v>
      </c>
      <c r="F123" s="44"/>
      <c r="G123" s="44">
        <v>851982</v>
      </c>
      <c r="H123" s="44"/>
      <c r="I123" s="44">
        <v>100000</v>
      </c>
      <c r="J123" s="44"/>
      <c r="K123" s="44">
        <f>579370+359302</f>
        <v>938672</v>
      </c>
      <c r="L123" s="44"/>
      <c r="M123" s="44">
        <f>2906623+320491</f>
        <v>3227114</v>
      </c>
      <c r="N123" s="44"/>
      <c r="O123" s="44">
        <v>481681</v>
      </c>
      <c r="P123" s="44"/>
      <c r="Q123" s="44">
        <v>339326</v>
      </c>
      <c r="R123" s="44"/>
      <c r="S123" s="44">
        <v>17415</v>
      </c>
      <c r="T123" s="44"/>
      <c r="U123" s="44">
        <v>31134</v>
      </c>
      <c r="V123" s="44"/>
      <c r="W123" s="44">
        <v>0</v>
      </c>
      <c r="X123" s="44"/>
      <c r="Y123" s="44">
        <v>0</v>
      </c>
      <c r="Z123" s="44"/>
      <c r="AA123" s="44">
        <f t="shared" si="7"/>
        <v>5035342</v>
      </c>
      <c r="AB123" s="44"/>
      <c r="AC123" s="44">
        <f t="shared" si="8"/>
        <v>6511468</v>
      </c>
    </row>
    <row r="124" spans="1:29" s="47" customFormat="1" ht="12.75" customHeight="1" x14ac:dyDescent="0.2">
      <c r="A124" s="47" t="s">
        <v>17</v>
      </c>
      <c r="C124" s="47" t="s">
        <v>17</v>
      </c>
      <c r="E124" s="44">
        <v>6372000</v>
      </c>
      <c r="F124" s="44"/>
      <c r="G124" s="44">
        <v>12308149</v>
      </c>
      <c r="H124" s="44"/>
      <c r="I124" s="44">
        <v>70872</v>
      </c>
      <c r="J124" s="44"/>
      <c r="K124" s="44">
        <f>2193536+276173+276257+940062</f>
        <v>3686028</v>
      </c>
      <c r="L124" s="44"/>
      <c r="M124" s="44">
        <f>16691300+2331737</f>
        <v>19023037</v>
      </c>
      <c r="N124" s="44"/>
      <c r="O124" s="44">
        <v>743321</v>
      </c>
      <c r="P124" s="44"/>
      <c r="Q124" s="44">
        <v>5614431</v>
      </c>
      <c r="R124" s="44"/>
      <c r="S124" s="44">
        <v>21653</v>
      </c>
      <c r="T124" s="44"/>
      <c r="U124" s="44">
        <f>625031+539638</f>
        <v>1164669</v>
      </c>
      <c r="V124" s="44"/>
      <c r="W124" s="44">
        <v>100000</v>
      </c>
      <c r="X124" s="44"/>
      <c r="Y124" s="44">
        <v>0</v>
      </c>
      <c r="Z124" s="44"/>
      <c r="AA124" s="44">
        <f t="shared" si="7"/>
        <v>30353139</v>
      </c>
      <c r="AB124" s="44"/>
      <c r="AC124" s="44">
        <f t="shared" si="8"/>
        <v>49104160</v>
      </c>
    </row>
    <row r="125" spans="1:29" s="47" customFormat="1" ht="12.75" customHeight="1" x14ac:dyDescent="0.2">
      <c r="A125" s="47" t="s">
        <v>148</v>
      </c>
      <c r="C125" s="47" t="s">
        <v>15</v>
      </c>
      <c r="E125" s="44">
        <v>599836</v>
      </c>
      <c r="F125" s="44"/>
      <c r="G125" s="44">
        <v>684907</v>
      </c>
      <c r="H125" s="44"/>
      <c r="I125" s="44">
        <v>405488</v>
      </c>
      <c r="J125" s="44"/>
      <c r="K125" s="44">
        <v>496221</v>
      </c>
      <c r="L125" s="44"/>
      <c r="M125" s="44">
        <v>2497694</v>
      </c>
      <c r="N125" s="44"/>
      <c r="O125" s="44">
        <v>0</v>
      </c>
      <c r="P125" s="44"/>
      <c r="Q125" s="44">
        <v>363559</v>
      </c>
      <c r="R125" s="44"/>
      <c r="S125" s="44">
        <v>2967</v>
      </c>
      <c r="T125" s="44"/>
      <c r="U125" s="44">
        <v>136573</v>
      </c>
      <c r="V125" s="44"/>
      <c r="W125" s="44">
        <v>112950</v>
      </c>
      <c r="X125" s="44"/>
      <c r="Y125" s="44">
        <v>0</v>
      </c>
      <c r="Z125" s="44"/>
      <c r="AA125" s="44">
        <f t="shared" si="7"/>
        <v>3609964</v>
      </c>
      <c r="AB125" s="44"/>
      <c r="AC125" s="44">
        <f t="shared" si="8"/>
        <v>5300195</v>
      </c>
    </row>
    <row r="126" spans="1:29" s="47" customFormat="1" ht="12.75" customHeight="1" x14ac:dyDescent="0.2">
      <c r="A126" s="47" t="s">
        <v>149</v>
      </c>
      <c r="C126" s="47" t="s">
        <v>45</v>
      </c>
      <c r="E126" s="44">
        <v>914021</v>
      </c>
      <c r="F126" s="44"/>
      <c r="G126" s="44">
        <v>663752</v>
      </c>
      <c r="H126" s="44"/>
      <c r="I126" s="44">
        <v>29910</v>
      </c>
      <c r="J126" s="44"/>
      <c r="K126" s="44">
        <v>2787525</v>
      </c>
      <c r="L126" s="44"/>
      <c r="M126" s="44">
        <v>3363631</v>
      </c>
      <c r="N126" s="44"/>
      <c r="O126" s="44">
        <v>181457</v>
      </c>
      <c r="P126" s="44"/>
      <c r="Q126" s="44">
        <v>860409</v>
      </c>
      <c r="R126" s="44"/>
      <c r="S126" s="44">
        <v>75345</v>
      </c>
      <c r="T126" s="44"/>
      <c r="U126" s="44">
        <v>350851</v>
      </c>
      <c r="V126" s="44"/>
      <c r="W126" s="44">
        <v>376372</v>
      </c>
      <c r="X126" s="44"/>
      <c r="Y126" s="44">
        <v>0</v>
      </c>
      <c r="Z126" s="44"/>
      <c r="AA126" s="44">
        <f t="shared" si="7"/>
        <v>7995590</v>
      </c>
      <c r="AB126" s="44"/>
      <c r="AC126" s="44">
        <f t="shared" si="8"/>
        <v>9603273</v>
      </c>
    </row>
    <row r="127" spans="1:29" s="47" customFormat="1" ht="12.75" customHeight="1" x14ac:dyDescent="0.2">
      <c r="A127" s="47" t="s">
        <v>150</v>
      </c>
      <c r="C127" s="47" t="s">
        <v>27</v>
      </c>
      <c r="E127" s="44">
        <v>2542732</v>
      </c>
      <c r="F127" s="44"/>
      <c r="G127" s="44">
        <v>1270482</v>
      </c>
      <c r="H127" s="44"/>
      <c r="I127" s="44">
        <v>706237</v>
      </c>
      <c r="J127" s="44"/>
      <c r="K127" s="44">
        <v>4919422</v>
      </c>
      <c r="L127" s="44"/>
      <c r="M127" s="44">
        <v>6415588</v>
      </c>
      <c r="N127" s="44"/>
      <c r="O127" s="44">
        <v>144493</v>
      </c>
      <c r="P127" s="44"/>
      <c r="Q127" s="44">
        <v>4063931</v>
      </c>
      <c r="R127" s="44"/>
      <c r="S127" s="44">
        <v>16154</v>
      </c>
      <c r="T127" s="44"/>
      <c r="U127" s="44">
        <v>118943</v>
      </c>
      <c r="V127" s="44"/>
      <c r="W127" s="44">
        <v>0</v>
      </c>
      <c r="X127" s="44"/>
      <c r="Y127" s="44">
        <v>0</v>
      </c>
      <c r="Z127" s="44"/>
      <c r="AA127" s="44">
        <f t="shared" si="7"/>
        <v>15678531</v>
      </c>
      <c r="AB127" s="44"/>
      <c r="AC127" s="44">
        <f t="shared" si="8"/>
        <v>20197982</v>
      </c>
    </row>
    <row r="128" spans="1:29" s="47" customFormat="1" ht="12.75" customHeight="1" x14ac:dyDescent="0.2">
      <c r="A128" s="47" t="s">
        <v>151</v>
      </c>
      <c r="C128" s="47" t="s">
        <v>13</v>
      </c>
      <c r="E128" s="44">
        <v>2521619</v>
      </c>
      <c r="F128" s="44"/>
      <c r="G128" s="44">
        <v>891266</v>
      </c>
      <c r="H128" s="44"/>
      <c r="I128" s="44">
        <v>2710</v>
      </c>
      <c r="J128" s="44"/>
      <c r="K128" s="44">
        <f>1659496+363279+113808</f>
        <v>2136583</v>
      </c>
      <c r="L128" s="44"/>
      <c r="M128" s="44">
        <f>6242006+880243</f>
        <v>7122249</v>
      </c>
      <c r="N128" s="44"/>
      <c r="O128" s="44">
        <v>410336</v>
      </c>
      <c r="P128" s="44"/>
      <c r="Q128" s="44">
        <v>1979318</v>
      </c>
      <c r="R128" s="44"/>
      <c r="S128" s="44">
        <v>69774</v>
      </c>
      <c r="T128" s="44"/>
      <c r="U128" s="44">
        <v>415344</v>
      </c>
      <c r="V128" s="44"/>
      <c r="W128" s="44">
        <v>0</v>
      </c>
      <c r="X128" s="44"/>
      <c r="Y128" s="44">
        <v>0</v>
      </c>
      <c r="Z128" s="44"/>
      <c r="AA128" s="44">
        <f t="shared" si="7"/>
        <v>12133604</v>
      </c>
      <c r="AB128" s="44"/>
      <c r="AC128" s="44">
        <f t="shared" si="8"/>
        <v>15549199</v>
      </c>
    </row>
    <row r="129" spans="1:31" s="122" customFormat="1" ht="12.75" hidden="1" customHeight="1" x14ac:dyDescent="0.2">
      <c r="A129" s="122" t="s">
        <v>481</v>
      </c>
      <c r="C129" s="122" t="s">
        <v>45</v>
      </c>
      <c r="E129" s="121">
        <v>464151</v>
      </c>
      <c r="F129" s="121"/>
      <c r="G129" s="121">
        <v>516608</v>
      </c>
      <c r="H129" s="121"/>
      <c r="I129" s="121">
        <v>0</v>
      </c>
      <c r="J129" s="121"/>
      <c r="K129" s="121">
        <v>2103994</v>
      </c>
      <c r="L129" s="121"/>
      <c r="M129" s="121">
        <v>2266874</v>
      </c>
      <c r="N129" s="121"/>
      <c r="O129" s="121">
        <v>171629</v>
      </c>
      <c r="P129" s="121"/>
      <c r="Q129" s="121">
        <v>904600</v>
      </c>
      <c r="R129" s="121"/>
      <c r="S129" s="121">
        <v>1346</v>
      </c>
      <c r="T129" s="121"/>
      <c r="U129" s="121">
        <v>0</v>
      </c>
      <c r="V129" s="121"/>
      <c r="W129" s="121">
        <v>0</v>
      </c>
      <c r="X129" s="121"/>
      <c r="Y129" s="121">
        <v>0</v>
      </c>
      <c r="Z129" s="121"/>
      <c r="AA129" s="121">
        <f t="shared" si="7"/>
        <v>5448443</v>
      </c>
      <c r="AB129" s="121"/>
      <c r="AC129" s="121">
        <f t="shared" si="8"/>
        <v>6429202</v>
      </c>
      <c r="AD129" s="121" t="s">
        <v>502</v>
      </c>
    </row>
    <row r="130" spans="1:31" s="47" customFormat="1" ht="12.75" customHeight="1" x14ac:dyDescent="0.2">
      <c r="A130" s="47" t="s">
        <v>152</v>
      </c>
      <c r="C130" s="47" t="s">
        <v>153</v>
      </c>
      <c r="E130" s="44">
        <v>5650431</v>
      </c>
      <c r="F130" s="44"/>
      <c r="G130" s="44">
        <v>7540551</v>
      </c>
      <c r="H130" s="44"/>
      <c r="I130" s="44">
        <v>1721169</v>
      </c>
      <c r="J130" s="44"/>
      <c r="K130" s="44">
        <f>1593011+367353</f>
        <v>1960364</v>
      </c>
      <c r="L130" s="44"/>
      <c r="M130" s="44">
        <f>1018570+18400012+3431901</f>
        <v>22850483</v>
      </c>
      <c r="N130" s="44"/>
      <c r="O130" s="44">
        <v>0</v>
      </c>
      <c r="P130" s="44"/>
      <c r="Q130" s="44">
        <v>3717117</v>
      </c>
      <c r="R130" s="44"/>
      <c r="S130" s="44">
        <v>302621</v>
      </c>
      <c r="T130" s="44"/>
      <c r="U130" s="44">
        <f>225027+135</f>
        <v>225162</v>
      </c>
      <c r="V130" s="44"/>
      <c r="W130" s="44">
        <v>0</v>
      </c>
      <c r="X130" s="44"/>
      <c r="Y130" s="44">
        <v>0</v>
      </c>
      <c r="Z130" s="44"/>
      <c r="AA130" s="44">
        <f t="shared" si="7"/>
        <v>29055747</v>
      </c>
      <c r="AB130" s="44"/>
      <c r="AC130" s="44">
        <f t="shared" si="8"/>
        <v>43967898</v>
      </c>
      <c r="AE130" s="44"/>
    </row>
    <row r="131" spans="1:31" s="47" customFormat="1" ht="12.75" customHeight="1" x14ac:dyDescent="0.2">
      <c r="A131" s="47" t="s">
        <v>154</v>
      </c>
      <c r="C131" s="47" t="s">
        <v>27</v>
      </c>
      <c r="E131" s="44">
        <v>3701016</v>
      </c>
      <c r="F131" s="44"/>
      <c r="G131" s="44">
        <v>798151</v>
      </c>
      <c r="H131" s="44"/>
      <c r="I131" s="44">
        <v>674540</v>
      </c>
      <c r="J131" s="44"/>
      <c r="K131" s="44">
        <f>2569487+912021+1941756</f>
        <v>5423264</v>
      </c>
      <c r="L131" s="44"/>
      <c r="M131" s="44">
        <v>7121939</v>
      </c>
      <c r="N131" s="44"/>
      <c r="O131" s="44">
        <v>0</v>
      </c>
      <c r="P131" s="44"/>
      <c r="Q131" s="44">
        <v>2581987</v>
      </c>
      <c r="R131" s="44"/>
      <c r="S131" s="44">
        <v>2087</v>
      </c>
      <c r="T131" s="44"/>
      <c r="U131" s="44">
        <f>310727+3583</f>
        <v>314310</v>
      </c>
      <c r="V131" s="44"/>
      <c r="W131" s="44">
        <v>0</v>
      </c>
      <c r="X131" s="44"/>
      <c r="Y131" s="44">
        <v>0</v>
      </c>
      <c r="Z131" s="44"/>
      <c r="AA131" s="44">
        <f t="shared" si="7"/>
        <v>15443587</v>
      </c>
      <c r="AB131" s="44"/>
      <c r="AC131" s="44">
        <f t="shared" si="8"/>
        <v>20617294</v>
      </c>
    </row>
    <row r="132" spans="1:31" s="47" customFormat="1" ht="12.75" customHeight="1" x14ac:dyDescent="0.2">
      <c r="A132" s="47" t="s">
        <v>155</v>
      </c>
      <c r="C132" s="47" t="s">
        <v>40</v>
      </c>
      <c r="E132" s="44">
        <v>3150015</v>
      </c>
      <c r="F132" s="44"/>
      <c r="G132" s="44">
        <v>3604238</v>
      </c>
      <c r="H132" s="44"/>
      <c r="I132" s="44">
        <v>2022787</v>
      </c>
      <c r="J132" s="44"/>
      <c r="K132" s="44">
        <f>505592+15904</f>
        <v>521496</v>
      </c>
      <c r="L132" s="44"/>
      <c r="M132" s="44">
        <f>5918604+918794+918794+459397</f>
        <v>8215589</v>
      </c>
      <c r="N132" s="44"/>
      <c r="O132" s="44">
        <f>239580+293413+214381</f>
        <v>747374</v>
      </c>
      <c r="P132" s="44"/>
      <c r="Q132" s="44">
        <v>1128059</v>
      </c>
      <c r="R132" s="44"/>
      <c r="S132" s="44">
        <v>124971</v>
      </c>
      <c r="T132" s="44"/>
      <c r="U132" s="44">
        <v>162282</v>
      </c>
      <c r="V132" s="44"/>
      <c r="W132" s="44">
        <v>0</v>
      </c>
      <c r="X132" s="44"/>
      <c r="Y132" s="44">
        <v>0</v>
      </c>
      <c r="Z132" s="44"/>
      <c r="AA132" s="44">
        <f t="shared" si="7"/>
        <v>10899771</v>
      </c>
      <c r="AB132" s="44"/>
      <c r="AC132" s="44">
        <f t="shared" si="8"/>
        <v>19676811</v>
      </c>
    </row>
    <row r="133" spans="1:31" s="47" customFormat="1" ht="12.75" customHeight="1" x14ac:dyDescent="0.2">
      <c r="A133" s="47" t="s">
        <v>156</v>
      </c>
      <c r="C133" s="47" t="s">
        <v>156</v>
      </c>
      <c r="E133" s="44">
        <v>2763407</v>
      </c>
      <c r="F133" s="44"/>
      <c r="G133" s="44">
        <v>5328581</v>
      </c>
      <c r="H133" s="44"/>
      <c r="I133" s="44">
        <v>342991</v>
      </c>
      <c r="J133" s="44"/>
      <c r="K133" s="44">
        <f>1081136+196399</f>
        <v>1277535</v>
      </c>
      <c r="L133" s="44"/>
      <c r="M133" s="44">
        <f>11166623+279941+317767</f>
        <v>11764331</v>
      </c>
      <c r="N133" s="44"/>
      <c r="O133" s="44">
        <f>297964+366126</f>
        <v>664090</v>
      </c>
      <c r="P133" s="44"/>
      <c r="Q133" s="44">
        <v>2146727</v>
      </c>
      <c r="R133" s="44"/>
      <c r="S133" s="44">
        <v>166410</v>
      </c>
      <c r="T133" s="44"/>
      <c r="U133" s="44">
        <v>252278</v>
      </c>
      <c r="V133" s="44"/>
      <c r="W133" s="44">
        <v>361296</v>
      </c>
      <c r="X133" s="44"/>
      <c r="Y133" s="44">
        <v>0</v>
      </c>
      <c r="Z133" s="44"/>
      <c r="AA133" s="44">
        <f t="shared" ref="AA133" si="9">SUM(K133:Y133)</f>
        <v>16632667</v>
      </c>
      <c r="AB133" s="44"/>
      <c r="AC133" s="44">
        <f t="shared" ref="AC133:AC149" si="10">SUM(E133:Y133)</f>
        <v>25067646</v>
      </c>
    </row>
    <row r="134" spans="1:31" s="47" customFormat="1" ht="12.75" customHeight="1" x14ac:dyDescent="0.2">
      <c r="A134" s="47" t="s">
        <v>157</v>
      </c>
      <c r="C134" s="47" t="s">
        <v>33</v>
      </c>
      <c r="E134" s="44">
        <v>1131884</v>
      </c>
      <c r="F134" s="44"/>
      <c r="G134" s="44">
        <v>649360</v>
      </c>
      <c r="H134" s="44"/>
      <c r="I134" s="44">
        <v>59090</v>
      </c>
      <c r="J134" s="44"/>
      <c r="K134" s="44">
        <f>147224+186347</f>
        <v>333571</v>
      </c>
      <c r="L134" s="44"/>
      <c r="M134" s="44">
        <v>1036862</v>
      </c>
      <c r="N134" s="44"/>
      <c r="O134" s="44">
        <v>0</v>
      </c>
      <c r="P134" s="44"/>
      <c r="Q134" s="44">
        <v>514012</v>
      </c>
      <c r="R134" s="44"/>
      <c r="S134" s="44">
        <v>9318</v>
      </c>
      <c r="T134" s="44"/>
      <c r="U134" s="44">
        <v>75744</v>
      </c>
      <c r="V134" s="44"/>
      <c r="W134" s="44">
        <v>-54950</v>
      </c>
      <c r="X134" s="44"/>
      <c r="Y134" s="44">
        <v>0</v>
      </c>
      <c r="Z134" s="44"/>
      <c r="AA134" s="44">
        <f t="shared" ref="AA134:AA198" si="11">SUM(K134:Y134)</f>
        <v>1914557</v>
      </c>
      <c r="AB134" s="44"/>
      <c r="AC134" s="44">
        <f t="shared" si="10"/>
        <v>3754891</v>
      </c>
    </row>
    <row r="135" spans="1:31" s="47" customFormat="1" ht="12.75" customHeight="1" x14ac:dyDescent="0.2">
      <c r="A135" s="47" t="s">
        <v>158</v>
      </c>
      <c r="C135" s="47" t="s">
        <v>159</v>
      </c>
      <c r="E135" s="44">
        <v>2781557</v>
      </c>
      <c r="F135" s="44"/>
      <c r="G135" s="44">
        <v>1479991</v>
      </c>
      <c r="H135" s="44"/>
      <c r="I135" s="44">
        <v>493053</v>
      </c>
      <c r="J135" s="44"/>
      <c r="K135" s="44">
        <f>1425881+117661+117661</f>
        <v>1661203</v>
      </c>
      <c r="L135" s="44"/>
      <c r="M135" s="44">
        <v>12619829</v>
      </c>
      <c r="N135" s="44"/>
      <c r="O135" s="44">
        <f>349027+1336532</f>
        <v>1685559</v>
      </c>
      <c r="P135" s="44"/>
      <c r="Q135" s="44">
        <v>927470</v>
      </c>
      <c r="R135" s="44"/>
      <c r="S135" s="44">
        <v>55002</v>
      </c>
      <c r="T135" s="44"/>
      <c r="U135" s="44">
        <v>35623</v>
      </c>
      <c r="V135" s="44"/>
      <c r="W135" s="44">
        <v>179000</v>
      </c>
      <c r="X135" s="44"/>
      <c r="Y135" s="44">
        <v>0</v>
      </c>
      <c r="Z135" s="44"/>
      <c r="AA135" s="44">
        <f t="shared" si="11"/>
        <v>17163686</v>
      </c>
      <c r="AB135" s="44"/>
      <c r="AC135" s="44">
        <f t="shared" si="10"/>
        <v>21918287</v>
      </c>
    </row>
    <row r="136" spans="1:31" s="46" customFormat="1" ht="12.75" customHeight="1" x14ac:dyDescent="0.2">
      <c r="A136" s="46" t="s">
        <v>160</v>
      </c>
      <c r="C136" s="46" t="s">
        <v>111</v>
      </c>
      <c r="E136" s="44">
        <v>4494761</v>
      </c>
      <c r="F136" s="44"/>
      <c r="G136" s="44">
        <v>4718689</v>
      </c>
      <c r="H136" s="44"/>
      <c r="I136" s="44">
        <v>370308</v>
      </c>
      <c r="J136" s="44"/>
      <c r="K136" s="44">
        <f>583084+3860898+1547804</f>
        <v>5991786</v>
      </c>
      <c r="L136" s="44"/>
      <c r="M136" s="44">
        <v>21033859</v>
      </c>
      <c r="N136" s="44"/>
      <c r="O136" s="44">
        <v>1026869</v>
      </c>
      <c r="P136" s="44"/>
      <c r="Q136" s="44">
        <v>2870852</v>
      </c>
      <c r="R136" s="44"/>
      <c r="S136" s="44">
        <v>211821</v>
      </c>
      <c r="T136" s="44"/>
      <c r="U136" s="44">
        <v>964417</v>
      </c>
      <c r="V136" s="44"/>
      <c r="W136" s="44">
        <v>-1586000</v>
      </c>
      <c r="X136" s="44"/>
      <c r="Y136" s="44">
        <v>0</v>
      </c>
      <c r="Z136" s="44"/>
      <c r="AA136" s="44">
        <f t="shared" si="11"/>
        <v>30513604</v>
      </c>
      <c r="AB136" s="44"/>
      <c r="AC136" s="44">
        <f t="shared" si="10"/>
        <v>40097362</v>
      </c>
    </row>
    <row r="137" spans="1:31" s="47" customFormat="1" ht="12.75" customHeight="1" x14ac:dyDescent="0.2">
      <c r="A137" s="47" t="s">
        <v>161</v>
      </c>
      <c r="C137" s="47" t="s">
        <v>15</v>
      </c>
      <c r="E137" s="44">
        <v>5183095</v>
      </c>
      <c r="F137" s="44"/>
      <c r="G137" s="44">
        <v>2666861</v>
      </c>
      <c r="H137" s="44"/>
      <c r="I137" s="44">
        <v>925021</v>
      </c>
      <c r="J137" s="44"/>
      <c r="K137" s="44">
        <f>1316175+282209</f>
        <v>1598384</v>
      </c>
      <c r="L137" s="44"/>
      <c r="M137" s="44">
        <f>11430512+761448+233276+1270856</f>
        <v>13696092</v>
      </c>
      <c r="N137" s="44"/>
      <c r="O137" s="44">
        <v>255712</v>
      </c>
      <c r="P137" s="44"/>
      <c r="Q137" s="44">
        <v>1522894</v>
      </c>
      <c r="R137" s="44"/>
      <c r="S137" s="44">
        <v>179216</v>
      </c>
      <c r="T137" s="44"/>
      <c r="U137" s="44">
        <f>1020568+24940</f>
        <v>1045508</v>
      </c>
      <c r="V137" s="44"/>
      <c r="W137" s="44">
        <v>0</v>
      </c>
      <c r="X137" s="44"/>
      <c r="Y137" s="44">
        <v>0</v>
      </c>
      <c r="Z137" s="44"/>
      <c r="AA137" s="44">
        <f t="shared" si="11"/>
        <v>18297806</v>
      </c>
      <c r="AB137" s="44"/>
      <c r="AC137" s="44">
        <f t="shared" si="10"/>
        <v>27072783</v>
      </c>
    </row>
    <row r="138" spans="1:31" s="47" customFormat="1" ht="12.75" customHeight="1" x14ac:dyDescent="0.2">
      <c r="A138" s="47" t="s">
        <v>471</v>
      </c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8" t="s">
        <v>484</v>
      </c>
    </row>
    <row r="139" spans="1:31" s="47" customFormat="1" ht="12.75" customHeight="1" x14ac:dyDescent="0.2">
      <c r="A139" s="47" t="s">
        <v>162</v>
      </c>
      <c r="C139" s="47" t="s">
        <v>163</v>
      </c>
      <c r="E139" s="46">
        <v>3674749</v>
      </c>
      <c r="F139" s="46"/>
      <c r="G139" s="46">
        <v>970969</v>
      </c>
      <c r="H139" s="46"/>
      <c r="I139" s="46">
        <v>922759</v>
      </c>
      <c r="J139" s="46"/>
      <c r="K139" s="46">
        <v>3697524</v>
      </c>
      <c r="L139" s="46"/>
      <c r="M139" s="46">
        <v>14809322</v>
      </c>
      <c r="N139" s="46"/>
      <c r="O139" s="46">
        <v>0</v>
      </c>
      <c r="P139" s="46"/>
      <c r="Q139" s="46">
        <v>1680308</v>
      </c>
      <c r="R139" s="46"/>
      <c r="S139" s="46">
        <v>387830</v>
      </c>
      <c r="T139" s="46"/>
      <c r="U139" s="46">
        <v>270846</v>
      </c>
      <c r="V139" s="46"/>
      <c r="W139" s="46">
        <v>215864</v>
      </c>
      <c r="X139" s="46"/>
      <c r="Y139" s="46">
        <v>0</v>
      </c>
      <c r="Z139" s="46"/>
      <c r="AA139" s="46">
        <f t="shared" si="11"/>
        <v>21061694</v>
      </c>
      <c r="AB139" s="46"/>
      <c r="AC139" s="46">
        <f t="shared" si="10"/>
        <v>26630171</v>
      </c>
    </row>
    <row r="140" spans="1:31" s="47" customFormat="1" ht="12.75" customHeight="1" x14ac:dyDescent="0.2">
      <c r="A140" s="47" t="s">
        <v>164</v>
      </c>
      <c r="C140" s="47" t="s">
        <v>27</v>
      </c>
      <c r="E140" s="44">
        <v>2181529</v>
      </c>
      <c r="F140" s="44"/>
      <c r="G140" s="44">
        <v>661763</v>
      </c>
      <c r="H140" s="44"/>
      <c r="I140" s="44">
        <v>236859</v>
      </c>
      <c r="J140" s="44"/>
      <c r="K140" s="44">
        <f>3733029+637201+278950</f>
        <v>4649180</v>
      </c>
      <c r="L140" s="44"/>
      <c r="M140" s="44">
        <v>11942125</v>
      </c>
      <c r="N140" s="44"/>
      <c r="O140" s="44">
        <v>270182</v>
      </c>
      <c r="P140" s="44"/>
      <c r="Q140" s="44">
        <v>2360952</v>
      </c>
      <c r="R140" s="44"/>
      <c r="S140" s="44">
        <v>184333</v>
      </c>
      <c r="T140" s="44"/>
      <c r="U140" s="44">
        <f>9489+132885</f>
        <v>142374</v>
      </c>
      <c r="V140" s="44"/>
      <c r="W140" s="44">
        <v>0</v>
      </c>
      <c r="X140" s="44"/>
      <c r="Y140" s="44">
        <v>0</v>
      </c>
      <c r="Z140" s="44"/>
      <c r="AA140" s="44">
        <f t="shared" si="11"/>
        <v>19549146</v>
      </c>
      <c r="AB140" s="44"/>
      <c r="AC140" s="44">
        <f t="shared" si="10"/>
        <v>22629297</v>
      </c>
    </row>
    <row r="141" spans="1:31" s="47" customFormat="1" ht="12.75" customHeight="1" x14ac:dyDescent="0.2">
      <c r="A141" s="47" t="s">
        <v>53</v>
      </c>
      <c r="C141" s="47" t="s">
        <v>53</v>
      </c>
      <c r="E141" s="44">
        <v>3563527</v>
      </c>
      <c r="F141" s="44"/>
      <c r="G141" s="44">
        <v>1904129</v>
      </c>
      <c r="H141" s="44"/>
      <c r="I141" s="44">
        <v>932517</v>
      </c>
      <c r="J141" s="44"/>
      <c r="K141" s="44">
        <f>1395407+1166126</f>
        <v>2561533</v>
      </c>
      <c r="L141" s="44"/>
      <c r="M141" s="44">
        <f>2330911+8636549+959615</f>
        <v>11927075</v>
      </c>
      <c r="N141" s="44"/>
      <c r="O141" s="44">
        <v>35938</v>
      </c>
      <c r="P141" s="44"/>
      <c r="Q141" s="44">
        <v>1183788</v>
      </c>
      <c r="R141" s="44"/>
      <c r="S141" s="44">
        <v>94902</v>
      </c>
      <c r="T141" s="44"/>
      <c r="U141" s="44">
        <v>16992</v>
      </c>
      <c r="V141" s="44"/>
      <c r="W141" s="44">
        <v>0</v>
      </c>
      <c r="X141" s="44"/>
      <c r="Y141" s="44">
        <v>0</v>
      </c>
      <c r="Z141" s="44"/>
      <c r="AA141" s="44">
        <f t="shared" si="11"/>
        <v>15820228</v>
      </c>
      <c r="AB141" s="44"/>
      <c r="AC141" s="44">
        <f t="shared" si="10"/>
        <v>22220401</v>
      </c>
    </row>
    <row r="142" spans="1:31" s="47" customFormat="1" ht="12.75" customHeight="1" x14ac:dyDescent="0.2">
      <c r="A142" s="47" t="s">
        <v>165</v>
      </c>
      <c r="C142" s="47" t="s">
        <v>92</v>
      </c>
      <c r="E142" s="44">
        <v>9761822</v>
      </c>
      <c r="F142" s="44"/>
      <c r="G142" s="44">
        <v>2547890</v>
      </c>
      <c r="H142" s="44"/>
      <c r="I142" s="44">
        <v>1206972</v>
      </c>
      <c r="J142" s="44"/>
      <c r="K142" s="44">
        <f>1853917+1909238+1524324</f>
        <v>5287479</v>
      </c>
      <c r="L142" s="44"/>
      <c r="M142" s="44">
        <v>32647234</v>
      </c>
      <c r="N142" s="44"/>
      <c r="O142" s="44">
        <f>477642+203186</f>
        <v>680828</v>
      </c>
      <c r="P142" s="44"/>
      <c r="Q142" s="44">
        <v>6285208</v>
      </c>
      <c r="R142" s="44"/>
      <c r="S142" s="44">
        <v>790645</v>
      </c>
      <c r="T142" s="44"/>
      <c r="U142" s="44">
        <v>104196</v>
      </c>
      <c r="V142" s="44"/>
      <c r="W142" s="44">
        <v>0</v>
      </c>
      <c r="X142" s="44"/>
      <c r="Y142" s="44">
        <v>0</v>
      </c>
      <c r="Z142" s="44"/>
      <c r="AA142" s="44">
        <f t="shared" si="11"/>
        <v>45795590</v>
      </c>
      <c r="AB142" s="44"/>
      <c r="AC142" s="44">
        <f t="shared" si="10"/>
        <v>59312274</v>
      </c>
    </row>
    <row r="143" spans="1:31" s="47" customFormat="1" ht="12.75" customHeight="1" x14ac:dyDescent="0.2">
      <c r="A143" s="47" t="s">
        <v>166</v>
      </c>
      <c r="C143" s="47" t="s">
        <v>92</v>
      </c>
      <c r="E143" s="44">
        <v>675134</v>
      </c>
      <c r="F143" s="44"/>
      <c r="G143" s="44">
        <v>331420</v>
      </c>
      <c r="H143" s="44"/>
      <c r="I143" s="44">
        <v>0</v>
      </c>
      <c r="J143" s="44"/>
      <c r="K143" s="44">
        <f>322524+113+1212912</f>
        <v>1535549</v>
      </c>
      <c r="L143" s="44"/>
      <c r="M143" s="44">
        <v>987803</v>
      </c>
      <c r="N143" s="44"/>
      <c r="O143" s="44">
        <v>0</v>
      </c>
      <c r="P143" s="44"/>
      <c r="Q143" s="44">
        <v>676383</v>
      </c>
      <c r="R143" s="44"/>
      <c r="S143" s="44">
        <v>1224</v>
      </c>
      <c r="T143" s="44"/>
      <c r="U143" s="44">
        <v>86109</v>
      </c>
      <c r="V143" s="44"/>
      <c r="W143" s="44">
        <v>0</v>
      </c>
      <c r="X143" s="44"/>
      <c r="Y143" s="44">
        <v>0</v>
      </c>
      <c r="Z143" s="44"/>
      <c r="AA143" s="44">
        <f t="shared" si="11"/>
        <v>3287068</v>
      </c>
      <c r="AB143" s="44"/>
      <c r="AC143" s="44">
        <f t="shared" si="10"/>
        <v>4293622</v>
      </c>
    </row>
    <row r="144" spans="1:31" s="47" customFormat="1" ht="12.75" customHeight="1" x14ac:dyDescent="0.2">
      <c r="A144" s="47" t="s">
        <v>167</v>
      </c>
      <c r="C144" s="47" t="s">
        <v>66</v>
      </c>
      <c r="E144" s="44">
        <v>4375451</v>
      </c>
      <c r="F144" s="44"/>
      <c r="G144" s="44">
        <v>1194643</v>
      </c>
      <c r="H144" s="44"/>
      <c r="I144" s="44">
        <v>904465</v>
      </c>
      <c r="J144" s="44"/>
      <c r="K144" s="44">
        <f>1569761+56227+1217190+259510</f>
        <v>3102688</v>
      </c>
      <c r="L144" s="44"/>
      <c r="M144" s="44">
        <f>10680041+2174017</f>
        <v>12854058</v>
      </c>
      <c r="N144" s="44"/>
      <c r="O144" s="44">
        <v>49438</v>
      </c>
      <c r="P144" s="44"/>
      <c r="Q144" s="44">
        <v>2017365</v>
      </c>
      <c r="R144" s="44"/>
      <c r="S144" s="44">
        <v>319280</v>
      </c>
      <c r="T144" s="44"/>
      <c r="U144" s="44">
        <v>1096499</v>
      </c>
      <c r="V144" s="44"/>
      <c r="W144" s="44">
        <v>-275000</v>
      </c>
      <c r="X144" s="44"/>
      <c r="Y144" s="44">
        <v>0</v>
      </c>
      <c r="Z144" s="44"/>
      <c r="AA144" s="44">
        <f t="shared" si="11"/>
        <v>19164328</v>
      </c>
      <c r="AB144" s="44"/>
      <c r="AC144" s="44">
        <f t="shared" si="10"/>
        <v>25638887</v>
      </c>
    </row>
    <row r="145" spans="1:29" s="47" customFormat="1" ht="12.75" customHeight="1" x14ac:dyDescent="0.2">
      <c r="A145" s="44" t="s">
        <v>168</v>
      </c>
      <c r="C145" s="44" t="s">
        <v>27</v>
      </c>
      <c r="D145" s="44"/>
      <c r="E145" s="44">
        <v>2888965</v>
      </c>
      <c r="F145" s="44"/>
      <c r="G145" s="44">
        <v>842714</v>
      </c>
      <c r="H145" s="44"/>
      <c r="I145" s="44">
        <v>1289377</v>
      </c>
      <c r="J145" s="44"/>
      <c r="K145" s="44">
        <f>2122527+238448+286136+159755</f>
        <v>2806866</v>
      </c>
      <c r="L145" s="44"/>
      <c r="M145" s="44">
        <f>13529681+1097026+1569497+608868</f>
        <v>16805072</v>
      </c>
      <c r="N145" s="44"/>
      <c r="O145" s="44">
        <v>0</v>
      </c>
      <c r="P145" s="44"/>
      <c r="Q145" s="44">
        <v>1341682</v>
      </c>
      <c r="R145" s="44"/>
      <c r="S145" s="44">
        <v>74330</v>
      </c>
      <c r="T145" s="44"/>
      <c r="U145" s="44">
        <v>321634</v>
      </c>
      <c r="V145" s="44"/>
      <c r="W145" s="44">
        <v>0</v>
      </c>
      <c r="X145" s="44"/>
      <c r="Y145" s="44">
        <v>0</v>
      </c>
      <c r="Z145" s="44"/>
      <c r="AA145" s="44">
        <f t="shared" si="11"/>
        <v>21349584</v>
      </c>
      <c r="AB145" s="44"/>
      <c r="AC145" s="44">
        <f t="shared" si="10"/>
        <v>26370640</v>
      </c>
    </row>
    <row r="146" spans="1:29" s="47" customFormat="1" ht="12.75" customHeight="1" x14ac:dyDescent="0.2">
      <c r="A146" s="47" t="s">
        <v>169</v>
      </c>
      <c r="C146" s="47" t="s">
        <v>103</v>
      </c>
      <c r="E146" s="44">
        <v>8981689</v>
      </c>
      <c r="F146" s="44"/>
      <c r="G146" s="44">
        <v>11932186</v>
      </c>
      <c r="H146" s="44"/>
      <c r="I146" s="44">
        <v>3551399</v>
      </c>
      <c r="J146" s="44"/>
      <c r="K146" s="44">
        <v>4157764</v>
      </c>
      <c r="L146" s="44"/>
      <c r="M146" s="44">
        <v>19424845</v>
      </c>
      <c r="N146" s="44"/>
      <c r="O146" s="44">
        <f>2807808+738454</f>
        <v>3546262</v>
      </c>
      <c r="P146" s="44"/>
      <c r="Q146" s="44">
        <v>3005253</v>
      </c>
      <c r="R146" s="44"/>
      <c r="S146" s="44">
        <v>124022</v>
      </c>
      <c r="T146" s="44"/>
      <c r="U146" s="44">
        <v>157388</v>
      </c>
      <c r="V146" s="44"/>
      <c r="W146" s="44">
        <v>61678</v>
      </c>
      <c r="X146" s="44"/>
      <c r="Y146" s="44">
        <v>0</v>
      </c>
      <c r="Z146" s="44"/>
      <c r="AA146" s="44">
        <f t="shared" si="11"/>
        <v>30477212</v>
      </c>
      <c r="AB146" s="44"/>
      <c r="AC146" s="44">
        <f t="shared" si="10"/>
        <v>54942486</v>
      </c>
    </row>
    <row r="147" spans="1:29" s="47" customFormat="1" ht="12.75" customHeight="1" x14ac:dyDescent="0.2">
      <c r="A147" s="47" t="s">
        <v>170</v>
      </c>
      <c r="C147" s="47" t="s">
        <v>171</v>
      </c>
      <c r="E147" s="44">
        <v>365044</v>
      </c>
      <c r="F147" s="44"/>
      <c r="G147" s="44">
        <v>308938</v>
      </c>
      <c r="H147" s="44"/>
      <c r="I147" s="44">
        <v>0</v>
      </c>
      <c r="J147" s="44"/>
      <c r="K147" s="44">
        <v>1943465</v>
      </c>
      <c r="L147" s="44"/>
      <c r="M147" s="44">
        <v>2755535</v>
      </c>
      <c r="N147" s="44"/>
      <c r="O147" s="44">
        <f>36606+93195+169862+105001+1087209+80510</f>
        <v>1572383</v>
      </c>
      <c r="P147" s="44"/>
      <c r="Q147" s="44">
        <v>595106</v>
      </c>
      <c r="R147" s="44"/>
      <c r="S147" s="44">
        <v>47910</v>
      </c>
      <c r="T147" s="44"/>
      <c r="U147" s="44">
        <v>34285</v>
      </c>
      <c r="V147" s="44"/>
      <c r="W147" s="44">
        <v>0</v>
      </c>
      <c r="X147" s="44"/>
      <c r="Y147" s="44">
        <v>0</v>
      </c>
      <c r="Z147" s="44"/>
      <c r="AA147" s="44">
        <f t="shared" si="11"/>
        <v>6948684</v>
      </c>
      <c r="AB147" s="44"/>
      <c r="AC147" s="44">
        <f t="shared" si="10"/>
        <v>7622666</v>
      </c>
    </row>
    <row r="148" spans="1:29" s="47" customFormat="1" ht="12.75" customHeight="1" x14ac:dyDescent="0.2">
      <c r="A148" s="47" t="s">
        <v>172</v>
      </c>
      <c r="C148" s="47" t="s">
        <v>103</v>
      </c>
      <c r="E148" s="44">
        <v>1803081</v>
      </c>
      <c r="F148" s="44"/>
      <c r="G148" s="44">
        <v>27160</v>
      </c>
      <c r="H148" s="44"/>
      <c r="I148" s="44">
        <v>66330</v>
      </c>
      <c r="J148" s="44"/>
      <c r="K148" s="44">
        <f>816508+1706314</f>
        <v>2522822</v>
      </c>
      <c r="L148" s="44"/>
      <c r="M148" s="44">
        <v>6576423</v>
      </c>
      <c r="N148" s="44"/>
      <c r="O148" s="44">
        <f>2910801+1049360</f>
        <v>3960161</v>
      </c>
      <c r="P148" s="44"/>
      <c r="Q148" s="44">
        <v>900864</v>
      </c>
      <c r="R148" s="44"/>
      <c r="S148" s="44">
        <v>260634</v>
      </c>
      <c r="T148" s="44"/>
      <c r="U148" s="44">
        <v>0</v>
      </c>
      <c r="V148" s="44"/>
      <c r="W148" s="44">
        <v>-134844</v>
      </c>
      <c r="X148" s="44"/>
      <c r="Y148" s="44">
        <v>0</v>
      </c>
      <c r="Z148" s="44"/>
      <c r="AA148" s="44">
        <f t="shared" si="11"/>
        <v>14086060</v>
      </c>
      <c r="AB148" s="44"/>
      <c r="AC148" s="44">
        <f t="shared" si="10"/>
        <v>15982631</v>
      </c>
    </row>
    <row r="149" spans="1:29" s="47" customFormat="1" ht="12.75" customHeight="1" x14ac:dyDescent="0.2">
      <c r="A149" s="47" t="s">
        <v>66</v>
      </c>
      <c r="C149" s="47" t="s">
        <v>45</v>
      </c>
      <c r="E149" s="44">
        <v>1103545</v>
      </c>
      <c r="F149" s="44"/>
      <c r="G149" s="44">
        <v>637823</v>
      </c>
      <c r="H149" s="44"/>
      <c r="I149" s="44">
        <v>0</v>
      </c>
      <c r="J149" s="44"/>
      <c r="K149" s="44">
        <v>5067545</v>
      </c>
      <c r="L149" s="44"/>
      <c r="M149" s="44">
        <v>6829459</v>
      </c>
      <c r="N149" s="44"/>
      <c r="O149" s="44">
        <v>1096131</v>
      </c>
      <c r="P149" s="44"/>
      <c r="Q149" s="44">
        <v>1007530</v>
      </c>
      <c r="R149" s="44"/>
      <c r="S149" s="44">
        <v>116322</v>
      </c>
      <c r="T149" s="44"/>
      <c r="U149" s="44">
        <v>307038</v>
      </c>
      <c r="V149" s="44"/>
      <c r="W149" s="44">
        <v>0</v>
      </c>
      <c r="X149" s="44"/>
      <c r="Y149" s="44">
        <v>0</v>
      </c>
      <c r="Z149" s="44"/>
      <c r="AA149" s="44">
        <f t="shared" si="11"/>
        <v>14424025</v>
      </c>
      <c r="AB149" s="44"/>
      <c r="AC149" s="44">
        <f t="shared" si="10"/>
        <v>16165393</v>
      </c>
    </row>
    <row r="150" spans="1:29" s="47" customFormat="1" ht="12.75" customHeight="1" x14ac:dyDescent="0.2">
      <c r="A150" s="47" t="s">
        <v>173</v>
      </c>
      <c r="C150" s="47" t="s">
        <v>66</v>
      </c>
      <c r="E150" s="44">
        <v>1261842</v>
      </c>
      <c r="F150" s="44"/>
      <c r="G150" s="44">
        <v>72393</v>
      </c>
      <c r="H150" s="44"/>
      <c r="I150" s="44">
        <v>1950048</v>
      </c>
      <c r="J150" s="44"/>
      <c r="K150" s="44">
        <f>421393+82749+96379</f>
        <v>600521</v>
      </c>
      <c r="L150" s="44"/>
      <c r="M150" s="44">
        <v>9541527</v>
      </c>
      <c r="N150" s="44"/>
      <c r="O150" s="44">
        <f>50059+43041</f>
        <v>93100</v>
      </c>
      <c r="P150" s="44"/>
      <c r="Q150" s="44">
        <v>657429</v>
      </c>
      <c r="R150" s="44"/>
      <c r="S150" s="44">
        <v>236870</v>
      </c>
      <c r="T150" s="44"/>
      <c r="U150" s="44">
        <f>512178+90731</f>
        <v>602909</v>
      </c>
      <c r="V150" s="44"/>
      <c r="W150" s="44">
        <v>0</v>
      </c>
      <c r="X150" s="44"/>
      <c r="Y150" s="44">
        <v>0</v>
      </c>
      <c r="Z150" s="44"/>
      <c r="AA150" s="44">
        <f t="shared" si="11"/>
        <v>11732356</v>
      </c>
      <c r="AB150" s="44"/>
      <c r="AC150" s="44">
        <f t="shared" ref="AC150:AC198" si="12">SUM(E150:Y150)</f>
        <v>15016639</v>
      </c>
    </row>
    <row r="151" spans="1:29" s="47" customFormat="1" ht="12.75" customHeight="1" x14ac:dyDescent="0.2">
      <c r="A151" s="47" t="s">
        <v>174</v>
      </c>
      <c r="C151" s="47" t="s">
        <v>45</v>
      </c>
      <c r="E151" s="44">
        <v>909685</v>
      </c>
      <c r="F151" s="44"/>
      <c r="G151" s="44">
        <v>357425</v>
      </c>
      <c r="H151" s="44"/>
      <c r="I151" s="44">
        <v>348775</v>
      </c>
      <c r="J151" s="44"/>
      <c r="K151" s="44">
        <f>363473+106534+379389</f>
        <v>849396</v>
      </c>
      <c r="L151" s="44"/>
      <c r="M151" s="44">
        <v>1458130</v>
      </c>
      <c r="N151" s="44"/>
      <c r="O151" s="44">
        <v>74182</v>
      </c>
      <c r="P151" s="44"/>
      <c r="Q151" s="44">
        <v>308524</v>
      </c>
      <c r="R151" s="44"/>
      <c r="S151" s="44">
        <v>853</v>
      </c>
      <c r="T151" s="44"/>
      <c r="U151" s="44">
        <v>185264</v>
      </c>
      <c r="V151" s="44"/>
      <c r="W151" s="44">
        <v>0</v>
      </c>
      <c r="X151" s="44"/>
      <c r="Y151" s="44">
        <v>0</v>
      </c>
      <c r="Z151" s="44"/>
      <c r="AA151" s="44">
        <f t="shared" si="11"/>
        <v>2876349</v>
      </c>
      <c r="AB151" s="44"/>
      <c r="AC151" s="44">
        <f t="shared" si="12"/>
        <v>4492234</v>
      </c>
    </row>
    <row r="152" spans="1:29" s="47" customFormat="1" ht="12.75" customHeight="1" x14ac:dyDescent="0.2">
      <c r="A152" s="47" t="s">
        <v>175</v>
      </c>
      <c r="C152" s="47" t="s">
        <v>176</v>
      </c>
      <c r="E152" s="44">
        <v>2477046</v>
      </c>
      <c r="F152" s="44"/>
      <c r="G152" s="44">
        <v>650002</v>
      </c>
      <c r="H152" s="44"/>
      <c r="I152" s="44">
        <v>412218</v>
      </c>
      <c r="J152" s="44"/>
      <c r="K152" s="44">
        <f>556875+152820+1521575</f>
        <v>2231270</v>
      </c>
      <c r="L152" s="44"/>
      <c r="M152" s="44">
        <v>9262187</v>
      </c>
      <c r="N152" s="44"/>
      <c r="O152" s="44">
        <v>84821</v>
      </c>
      <c r="P152" s="44"/>
      <c r="Q152" s="44">
        <v>153226</v>
      </c>
      <c r="R152" s="44"/>
      <c r="S152" s="44">
        <v>21582</v>
      </c>
      <c r="T152" s="44"/>
      <c r="U152" s="44">
        <v>243707</v>
      </c>
      <c r="V152" s="44"/>
      <c r="W152" s="44">
        <v>0</v>
      </c>
      <c r="X152" s="44"/>
      <c r="Y152" s="44">
        <v>0</v>
      </c>
      <c r="Z152" s="44"/>
      <c r="AA152" s="44">
        <f t="shared" si="11"/>
        <v>11996793</v>
      </c>
      <c r="AB152" s="44"/>
      <c r="AC152" s="44">
        <f t="shared" si="12"/>
        <v>15536059</v>
      </c>
    </row>
    <row r="153" spans="1:29" s="47" customFormat="1" ht="12.75" customHeight="1" x14ac:dyDescent="0.2">
      <c r="A153" s="47" t="s">
        <v>177</v>
      </c>
      <c r="C153" s="47" t="s">
        <v>13</v>
      </c>
      <c r="E153" s="44">
        <v>346683</v>
      </c>
      <c r="F153" s="44"/>
      <c r="G153" s="44">
        <v>322829</v>
      </c>
      <c r="H153" s="44"/>
      <c r="I153" s="44">
        <v>36373</v>
      </c>
      <c r="J153" s="44"/>
      <c r="K153" s="44">
        <f>249667+156041+176847+185997</f>
        <v>768552</v>
      </c>
      <c r="L153" s="44"/>
      <c r="M153" s="44">
        <f>1031725+129754</f>
        <v>1161479</v>
      </c>
      <c r="N153" s="44"/>
      <c r="O153" s="44">
        <v>0</v>
      </c>
      <c r="P153" s="44"/>
      <c r="Q153" s="44">
        <v>521071</v>
      </c>
      <c r="R153" s="44"/>
      <c r="S153" s="44">
        <v>61144</v>
      </c>
      <c r="T153" s="44"/>
      <c r="U153" s="44">
        <v>84745</v>
      </c>
      <c r="V153" s="44"/>
      <c r="W153" s="44">
        <v>0</v>
      </c>
      <c r="X153" s="44"/>
      <c r="Y153" s="44">
        <v>0</v>
      </c>
      <c r="Z153" s="44"/>
      <c r="AA153" s="44">
        <f t="shared" si="11"/>
        <v>2596991</v>
      </c>
      <c r="AB153" s="44"/>
      <c r="AC153" s="44">
        <f t="shared" si="12"/>
        <v>3302876</v>
      </c>
    </row>
    <row r="154" spans="1:29" s="47" customFormat="1" ht="12.75" customHeight="1" x14ac:dyDescent="0.2">
      <c r="A154" s="47" t="s">
        <v>178</v>
      </c>
      <c r="C154" s="47" t="s">
        <v>179</v>
      </c>
      <c r="E154" s="44">
        <v>1363825</v>
      </c>
      <c r="F154" s="44"/>
      <c r="G154" s="44">
        <v>1323169</v>
      </c>
      <c r="H154" s="44"/>
      <c r="I154" s="44">
        <v>104301</v>
      </c>
      <c r="J154" s="44"/>
      <c r="K154" s="44">
        <v>382639</v>
      </c>
      <c r="L154" s="44"/>
      <c r="M154" s="44">
        <v>2826623</v>
      </c>
      <c r="N154" s="44"/>
      <c r="O154" s="44">
        <v>522615</v>
      </c>
      <c r="P154" s="44"/>
      <c r="Q154" s="44">
        <v>691333</v>
      </c>
      <c r="R154" s="44"/>
      <c r="S154" s="44">
        <v>91360</v>
      </c>
      <c r="T154" s="44"/>
      <c r="U154" s="44">
        <v>139873</v>
      </c>
      <c r="V154" s="44"/>
      <c r="W154" s="44">
        <v>-118388</v>
      </c>
      <c r="X154" s="44"/>
      <c r="Y154" s="44">
        <v>0</v>
      </c>
      <c r="Z154" s="44"/>
      <c r="AA154" s="44">
        <f t="shared" si="11"/>
        <v>4536055</v>
      </c>
      <c r="AB154" s="44"/>
      <c r="AC154" s="44">
        <f t="shared" si="12"/>
        <v>7327350</v>
      </c>
    </row>
    <row r="155" spans="1:29" s="47" customFormat="1" ht="12.75" customHeight="1" x14ac:dyDescent="0.2">
      <c r="A155" s="47" t="s">
        <v>180</v>
      </c>
      <c r="C155" s="47" t="s">
        <v>20</v>
      </c>
      <c r="E155" s="44">
        <v>160859</v>
      </c>
      <c r="F155" s="44"/>
      <c r="G155" s="44">
        <v>743136</v>
      </c>
      <c r="H155" s="44"/>
      <c r="I155" s="44">
        <v>0</v>
      </c>
      <c r="J155" s="44"/>
      <c r="K155" s="44">
        <f>168967+243273+16452</f>
        <v>428692</v>
      </c>
      <c r="L155" s="44"/>
      <c r="M155" s="44">
        <f>1163402+235646+249447</f>
        <v>1648495</v>
      </c>
      <c r="N155" s="44"/>
      <c r="O155" s="44">
        <v>0</v>
      </c>
      <c r="P155" s="44"/>
      <c r="Q155" s="44">
        <v>180348</v>
      </c>
      <c r="R155" s="44"/>
      <c r="S155" s="44">
        <v>21101</v>
      </c>
      <c r="T155" s="44"/>
      <c r="U155" s="44">
        <f>13473+46660</f>
        <v>60133</v>
      </c>
      <c r="V155" s="44"/>
      <c r="W155" s="44">
        <v>-24300</v>
      </c>
      <c r="X155" s="44"/>
      <c r="Y155" s="44">
        <v>0</v>
      </c>
      <c r="Z155" s="44"/>
      <c r="AA155" s="44">
        <f t="shared" si="11"/>
        <v>2314469</v>
      </c>
      <c r="AB155" s="44"/>
      <c r="AC155" s="44">
        <f t="shared" si="12"/>
        <v>3218464</v>
      </c>
    </row>
    <row r="156" spans="1:29" s="47" customFormat="1" ht="12.75" customHeight="1" x14ac:dyDescent="0.2">
      <c r="A156" s="44" t="s">
        <v>508</v>
      </c>
      <c r="C156" s="44" t="s">
        <v>43</v>
      </c>
      <c r="E156" s="44">
        <v>2356471</v>
      </c>
      <c r="F156" s="44"/>
      <c r="G156" s="44">
        <v>3032325</v>
      </c>
      <c r="H156" s="44"/>
      <c r="I156" s="44">
        <v>4714744</v>
      </c>
      <c r="J156" s="44"/>
      <c r="K156" s="44">
        <v>962333</v>
      </c>
      <c r="L156" s="44"/>
      <c r="M156" s="44">
        <f>9879574+9509616+1337708</f>
        <v>20726898</v>
      </c>
      <c r="N156" s="44"/>
      <c r="O156" s="44">
        <v>1611069</v>
      </c>
      <c r="P156" s="44"/>
      <c r="Q156" s="44">
        <v>721998</v>
      </c>
      <c r="R156" s="44"/>
      <c r="S156" s="44">
        <v>95165</v>
      </c>
      <c r="T156" s="44"/>
      <c r="U156" s="44">
        <v>201441</v>
      </c>
      <c r="V156" s="44"/>
      <c r="W156" s="44">
        <v>0</v>
      </c>
      <c r="X156" s="44"/>
      <c r="Y156" s="44">
        <v>0</v>
      </c>
      <c r="Z156" s="44"/>
      <c r="AA156" s="44">
        <f t="shared" si="11"/>
        <v>24318904</v>
      </c>
      <c r="AB156" s="44"/>
      <c r="AC156" s="44">
        <f t="shared" si="12"/>
        <v>34422444</v>
      </c>
    </row>
    <row r="157" spans="1:29" s="47" customFormat="1" ht="12.75" customHeight="1" x14ac:dyDescent="0.2">
      <c r="A157" s="47" t="s">
        <v>182</v>
      </c>
      <c r="C157" s="47" t="s">
        <v>183</v>
      </c>
      <c r="E157" s="44">
        <v>793605</v>
      </c>
      <c r="F157" s="44"/>
      <c r="G157" s="44">
        <v>369939</v>
      </c>
      <c r="H157" s="44"/>
      <c r="I157" s="44">
        <v>150490</v>
      </c>
      <c r="J157" s="44"/>
      <c r="K157" s="44">
        <v>599475</v>
      </c>
      <c r="L157" s="44"/>
      <c r="M157" s="44">
        <v>1019184</v>
      </c>
      <c r="N157" s="44"/>
      <c r="O157" s="44">
        <v>57308</v>
      </c>
      <c r="P157" s="44"/>
      <c r="Q157" s="44">
        <v>74269</v>
      </c>
      <c r="R157" s="44"/>
      <c r="S157" s="44">
        <v>0</v>
      </c>
      <c r="T157" s="44"/>
      <c r="U157" s="44">
        <v>153680</v>
      </c>
      <c r="V157" s="44"/>
      <c r="W157" s="44">
        <v>-10000</v>
      </c>
      <c r="X157" s="44"/>
      <c r="Y157" s="44">
        <v>0</v>
      </c>
      <c r="Z157" s="44"/>
      <c r="AA157" s="44">
        <f t="shared" si="11"/>
        <v>1893916</v>
      </c>
      <c r="AB157" s="44"/>
      <c r="AC157" s="44">
        <f t="shared" si="12"/>
        <v>3207950</v>
      </c>
    </row>
    <row r="158" spans="1:29" s="47" customFormat="1" ht="12.75" customHeight="1" x14ac:dyDescent="0.2">
      <c r="A158" s="47" t="s">
        <v>487</v>
      </c>
      <c r="C158" s="47" t="s">
        <v>13</v>
      </c>
      <c r="E158" s="44">
        <v>568384</v>
      </c>
      <c r="F158" s="44"/>
      <c r="G158" s="44">
        <v>898487</v>
      </c>
      <c r="H158" s="44"/>
      <c r="I158" s="44">
        <v>461468</v>
      </c>
      <c r="J158" s="44"/>
      <c r="K158" s="44">
        <f>174850+377930+2343747</f>
        <v>2896527</v>
      </c>
      <c r="L158" s="44"/>
      <c r="M158" s="44">
        <f>899593+30510</f>
        <v>930103</v>
      </c>
      <c r="N158" s="44"/>
      <c r="O158" s="44">
        <v>0</v>
      </c>
      <c r="P158" s="44"/>
      <c r="Q158" s="44">
        <v>1396751</v>
      </c>
      <c r="R158" s="44"/>
      <c r="S158" s="44">
        <v>5928</v>
      </c>
      <c r="T158" s="44"/>
      <c r="U158" s="44">
        <v>20362</v>
      </c>
      <c r="V158" s="44"/>
      <c r="W158" s="44">
        <v>0</v>
      </c>
      <c r="X158" s="44"/>
      <c r="Y158" s="44">
        <v>0</v>
      </c>
      <c r="Z158" s="44"/>
      <c r="AA158" s="44">
        <f t="shared" si="11"/>
        <v>5249671</v>
      </c>
      <c r="AB158" s="44"/>
      <c r="AC158" s="44">
        <f t="shared" si="12"/>
        <v>7178010</v>
      </c>
    </row>
    <row r="159" spans="1:29" s="47" customFormat="1" ht="12.75" customHeight="1" x14ac:dyDescent="0.2">
      <c r="A159" s="47" t="s">
        <v>184</v>
      </c>
      <c r="C159" s="47" t="s">
        <v>89</v>
      </c>
      <c r="E159" s="44">
        <v>1947035</v>
      </c>
      <c r="F159" s="44"/>
      <c r="G159" s="44">
        <v>819747</v>
      </c>
      <c r="H159" s="44"/>
      <c r="I159" s="44">
        <v>211073</v>
      </c>
      <c r="J159" s="44"/>
      <c r="K159" s="44">
        <f>897341+168450</f>
        <v>1065791</v>
      </c>
      <c r="L159" s="44"/>
      <c r="M159" s="44">
        <f>2677104+2115062+392729+1138145</f>
        <v>6323040</v>
      </c>
      <c r="N159" s="44"/>
      <c r="O159" s="44">
        <v>0</v>
      </c>
      <c r="P159" s="44"/>
      <c r="Q159" s="44">
        <v>4068513</v>
      </c>
      <c r="R159" s="44"/>
      <c r="S159" s="44">
        <v>4997</v>
      </c>
      <c r="T159" s="44"/>
      <c r="U159" s="44">
        <v>118562</v>
      </c>
      <c r="V159" s="44"/>
      <c r="W159" s="44">
        <v>-136488</v>
      </c>
      <c r="X159" s="44"/>
      <c r="Y159" s="44">
        <v>0</v>
      </c>
      <c r="Z159" s="44"/>
      <c r="AA159" s="44">
        <f t="shared" si="11"/>
        <v>11444415</v>
      </c>
      <c r="AB159" s="44"/>
      <c r="AC159" s="44">
        <f t="shared" si="12"/>
        <v>14422270</v>
      </c>
    </row>
    <row r="160" spans="1:29" s="47" customFormat="1" ht="12.75" customHeight="1" x14ac:dyDescent="0.2">
      <c r="A160" s="47" t="s">
        <v>181</v>
      </c>
      <c r="C160" s="47" t="s">
        <v>125</v>
      </c>
      <c r="E160" s="44">
        <v>4222838</v>
      </c>
      <c r="F160" s="44"/>
      <c r="G160" s="44">
        <v>7222698</v>
      </c>
      <c r="H160" s="44"/>
      <c r="I160" s="44">
        <v>2892903</v>
      </c>
      <c r="J160" s="44"/>
      <c r="K160" s="44">
        <f>2003214+398173+919482</f>
        <v>3320869</v>
      </c>
      <c r="L160" s="44"/>
      <c r="M160" s="44">
        <v>19440371</v>
      </c>
      <c r="N160" s="44"/>
      <c r="O160" s="44">
        <v>496040</v>
      </c>
      <c r="P160" s="44"/>
      <c r="Q160" s="44">
        <v>3099985</v>
      </c>
      <c r="R160" s="44"/>
      <c r="S160" s="44">
        <v>175826</v>
      </c>
      <c r="T160" s="44"/>
      <c r="U160" s="44">
        <v>540484</v>
      </c>
      <c r="V160" s="44"/>
      <c r="W160" s="44">
        <v>131288</v>
      </c>
      <c r="X160" s="44"/>
      <c r="Y160" s="44">
        <v>0</v>
      </c>
      <c r="Z160" s="44"/>
      <c r="AA160" s="44">
        <f t="shared" si="11"/>
        <v>27204863</v>
      </c>
      <c r="AB160" s="44"/>
      <c r="AC160" s="44">
        <f t="shared" si="12"/>
        <v>41543302</v>
      </c>
    </row>
    <row r="161" spans="1:30" s="47" customFormat="1" ht="12.75" customHeight="1" x14ac:dyDescent="0.2">
      <c r="A161" s="47" t="s">
        <v>185</v>
      </c>
      <c r="C161" s="47" t="s">
        <v>80</v>
      </c>
      <c r="E161" s="44">
        <v>2449134</v>
      </c>
      <c r="F161" s="44"/>
      <c r="G161" s="44">
        <v>1765650</v>
      </c>
      <c r="H161" s="44"/>
      <c r="I161" s="44">
        <v>2366523</v>
      </c>
      <c r="J161" s="44"/>
      <c r="K161" s="44">
        <f>600995+297012</f>
        <v>898007</v>
      </c>
      <c r="L161" s="44"/>
      <c r="M161" s="44">
        <f>3641930+1875749</f>
        <v>5517679</v>
      </c>
      <c r="N161" s="44"/>
      <c r="O161" s="44">
        <v>0</v>
      </c>
      <c r="P161" s="44"/>
      <c r="Q161" s="44">
        <v>540377</v>
      </c>
      <c r="R161" s="44"/>
      <c r="S161" s="44">
        <v>30620</v>
      </c>
      <c r="T161" s="44"/>
      <c r="U161" s="44">
        <v>339014</v>
      </c>
      <c r="V161" s="44"/>
      <c r="W161" s="44">
        <v>0</v>
      </c>
      <c r="X161" s="44"/>
      <c r="Y161" s="44">
        <v>0</v>
      </c>
      <c r="Z161" s="44"/>
      <c r="AA161" s="44">
        <f t="shared" si="11"/>
        <v>7325697</v>
      </c>
      <c r="AB161" s="44"/>
      <c r="AC161" s="44">
        <f t="shared" si="12"/>
        <v>13907004</v>
      </c>
    </row>
    <row r="162" spans="1:30" s="47" customFormat="1" ht="12.75" customHeight="1" x14ac:dyDescent="0.2">
      <c r="A162" s="47" t="s">
        <v>186</v>
      </c>
      <c r="C162" s="47" t="s">
        <v>15</v>
      </c>
      <c r="E162" s="44">
        <v>1433894</v>
      </c>
      <c r="F162" s="44"/>
      <c r="G162" s="44">
        <v>837054</v>
      </c>
      <c r="H162" s="44"/>
      <c r="I162" s="44">
        <v>933883</v>
      </c>
      <c r="J162" s="44"/>
      <c r="K162" s="44">
        <f>764958+84094+631196+349384+353000</f>
        <v>2182632</v>
      </c>
      <c r="L162" s="44"/>
      <c r="M162" s="44">
        <f>4871528+944577</f>
        <v>5816105</v>
      </c>
      <c r="N162" s="44"/>
      <c r="O162" s="44">
        <v>0</v>
      </c>
      <c r="P162" s="44"/>
      <c r="Q162" s="44">
        <v>2958944</v>
      </c>
      <c r="R162" s="44"/>
      <c r="S162" s="44">
        <v>7767</v>
      </c>
      <c r="T162" s="44"/>
      <c r="U162" s="44">
        <v>69615</v>
      </c>
      <c r="V162" s="44"/>
      <c r="W162" s="44">
        <v>75000</v>
      </c>
      <c r="X162" s="44"/>
      <c r="Y162" s="44">
        <v>0</v>
      </c>
      <c r="Z162" s="44"/>
      <c r="AA162" s="44">
        <f t="shared" si="11"/>
        <v>11110063</v>
      </c>
      <c r="AB162" s="44"/>
      <c r="AC162" s="44">
        <f t="shared" si="12"/>
        <v>14314894</v>
      </c>
    </row>
    <row r="163" spans="1:30" s="44" customFormat="1" ht="12.75" customHeight="1" x14ac:dyDescent="0.2">
      <c r="A163" s="44" t="s">
        <v>187</v>
      </c>
      <c r="C163" s="44" t="s">
        <v>27</v>
      </c>
      <c r="E163" s="44">
        <v>4388412</v>
      </c>
      <c r="G163" s="44">
        <v>1183988</v>
      </c>
      <c r="I163" s="44">
        <v>775034</v>
      </c>
      <c r="K163" s="44">
        <f>5068021+859664+214917+215646+3424130</f>
        <v>9782378</v>
      </c>
      <c r="M163" s="44">
        <f>8538285+1829632+1829632</f>
        <v>12197549</v>
      </c>
      <c r="O163" s="44">
        <v>0</v>
      </c>
      <c r="Q163" s="44">
        <v>4162855</v>
      </c>
      <c r="S163" s="44">
        <v>37499</v>
      </c>
      <c r="U163" s="44">
        <v>35478</v>
      </c>
      <c r="W163" s="44">
        <v>62651</v>
      </c>
      <c r="Y163" s="44">
        <v>156930</v>
      </c>
      <c r="AA163" s="44">
        <f t="shared" si="11"/>
        <v>26435340</v>
      </c>
      <c r="AC163" s="44">
        <f t="shared" si="12"/>
        <v>32782774</v>
      </c>
    </row>
    <row r="164" spans="1:30" s="47" customFormat="1" ht="12.75" customHeight="1" x14ac:dyDescent="0.2">
      <c r="A164" s="47" t="s">
        <v>189</v>
      </c>
      <c r="C164" s="47" t="s">
        <v>17</v>
      </c>
      <c r="E164" s="44">
        <v>5030601</v>
      </c>
      <c r="F164" s="44"/>
      <c r="G164" s="44">
        <v>2335694</v>
      </c>
      <c r="H164" s="44"/>
      <c r="I164" s="44">
        <v>1969333</v>
      </c>
      <c r="J164" s="44"/>
      <c r="K164" s="44">
        <f>1082217+5066961</f>
        <v>6149178</v>
      </c>
      <c r="L164" s="44"/>
      <c r="M164" s="44">
        <v>8532862</v>
      </c>
      <c r="N164" s="44"/>
      <c r="O164" s="44">
        <v>0</v>
      </c>
      <c r="P164" s="44"/>
      <c r="Q164" s="44">
        <v>1606460</v>
      </c>
      <c r="R164" s="44"/>
      <c r="S164" s="44">
        <v>36882</v>
      </c>
      <c r="T164" s="44"/>
      <c r="U164" s="44">
        <v>476573</v>
      </c>
      <c r="V164" s="44"/>
      <c r="W164" s="44">
        <v>0</v>
      </c>
      <c r="X164" s="44"/>
      <c r="Y164" s="44">
        <v>0</v>
      </c>
      <c r="Z164" s="44"/>
      <c r="AA164" s="44">
        <f t="shared" si="11"/>
        <v>16801955</v>
      </c>
      <c r="AB164" s="44"/>
      <c r="AC164" s="44">
        <f t="shared" si="12"/>
        <v>26137583</v>
      </c>
    </row>
    <row r="165" spans="1:30" s="47" customFormat="1" ht="12.75" customHeight="1" x14ac:dyDescent="0.2">
      <c r="A165" s="47" t="s">
        <v>188</v>
      </c>
      <c r="C165" s="47" t="s">
        <v>27</v>
      </c>
      <c r="E165" s="44">
        <v>2180028</v>
      </c>
      <c r="F165" s="44"/>
      <c r="G165" s="44">
        <v>2284505</v>
      </c>
      <c r="H165" s="44"/>
      <c r="I165" s="44">
        <v>816642</v>
      </c>
      <c r="J165" s="44"/>
      <c r="K165" s="44">
        <f>770531+3130544+667541</f>
        <v>4568616</v>
      </c>
      <c r="L165" s="44"/>
      <c r="M165" s="44">
        <v>13156943</v>
      </c>
      <c r="N165" s="44"/>
      <c r="O165" s="44">
        <v>0</v>
      </c>
      <c r="P165" s="44"/>
      <c r="Q165" s="44">
        <v>1810693</v>
      </c>
      <c r="R165" s="44"/>
      <c r="S165" s="44">
        <v>6772</v>
      </c>
      <c r="T165" s="44"/>
      <c r="U165" s="44">
        <v>117555</v>
      </c>
      <c r="V165" s="44"/>
      <c r="W165" s="44">
        <v>-79795</v>
      </c>
      <c r="X165" s="44"/>
      <c r="Y165" s="44">
        <v>0</v>
      </c>
      <c r="Z165" s="44"/>
      <c r="AA165" s="44">
        <f t="shared" si="11"/>
        <v>19580784</v>
      </c>
      <c r="AB165" s="44"/>
      <c r="AC165" s="44">
        <f t="shared" si="12"/>
        <v>24861959</v>
      </c>
    </row>
    <row r="166" spans="1:30" s="47" customFormat="1" ht="12.75" customHeight="1" x14ac:dyDescent="0.2">
      <c r="A166" s="47" t="s">
        <v>190</v>
      </c>
      <c r="C166" s="47" t="s">
        <v>47</v>
      </c>
      <c r="E166" s="44">
        <v>1123325</v>
      </c>
      <c r="F166" s="44"/>
      <c r="G166" s="44">
        <v>375248</v>
      </c>
      <c r="H166" s="44"/>
      <c r="I166" s="44">
        <v>4779</v>
      </c>
      <c r="J166" s="44"/>
      <c r="K166" s="44">
        <v>427146</v>
      </c>
      <c r="L166" s="44"/>
      <c r="M166" s="44">
        <v>4359623</v>
      </c>
      <c r="N166" s="44"/>
      <c r="O166" s="44">
        <v>44816</v>
      </c>
      <c r="P166" s="44"/>
      <c r="Q166" s="44">
        <v>474873</v>
      </c>
      <c r="R166" s="44"/>
      <c r="S166" s="44">
        <v>15983</v>
      </c>
      <c r="T166" s="44"/>
      <c r="U166" s="44">
        <v>59965</v>
      </c>
      <c r="V166" s="44"/>
      <c r="W166" s="44">
        <v>0</v>
      </c>
      <c r="X166" s="44"/>
      <c r="Y166" s="44">
        <v>0</v>
      </c>
      <c r="Z166" s="44"/>
      <c r="AA166" s="44">
        <f t="shared" si="11"/>
        <v>5382406</v>
      </c>
      <c r="AB166" s="44"/>
      <c r="AC166" s="44">
        <f t="shared" si="12"/>
        <v>6885758</v>
      </c>
    </row>
    <row r="167" spans="1:30" s="47" customFormat="1" ht="12.75" customHeight="1" x14ac:dyDescent="0.2">
      <c r="A167" s="47" t="s">
        <v>191</v>
      </c>
      <c r="C167" s="47" t="s">
        <v>13</v>
      </c>
      <c r="E167" s="44">
        <v>1111254</v>
      </c>
      <c r="F167" s="44"/>
      <c r="G167" s="44">
        <v>1080285</v>
      </c>
      <c r="H167" s="44"/>
      <c r="I167" s="44">
        <v>238265</v>
      </c>
      <c r="J167" s="44"/>
      <c r="K167" s="44">
        <f>330861+320959+255497+70654+705494</f>
        <v>1683465</v>
      </c>
      <c r="L167" s="44"/>
      <c r="M167" s="44">
        <f>4497929+80000</f>
        <v>4577929</v>
      </c>
      <c r="N167" s="44"/>
      <c r="O167" s="44">
        <v>0</v>
      </c>
      <c r="P167" s="44"/>
      <c r="Q167" s="44">
        <v>944751</v>
      </c>
      <c r="R167" s="44"/>
      <c r="S167" s="44">
        <v>6412</v>
      </c>
      <c r="T167" s="44"/>
      <c r="U167" s="44">
        <v>388182</v>
      </c>
      <c r="V167" s="44"/>
      <c r="W167" s="44">
        <v>0</v>
      </c>
      <c r="X167" s="44"/>
      <c r="Y167" s="44">
        <v>0</v>
      </c>
      <c r="Z167" s="44"/>
      <c r="AA167" s="44">
        <f t="shared" si="11"/>
        <v>7600739</v>
      </c>
      <c r="AB167" s="44"/>
      <c r="AC167" s="44">
        <f t="shared" si="12"/>
        <v>10030543</v>
      </c>
    </row>
    <row r="168" spans="1:30" s="47" customFormat="1" ht="12.75" customHeight="1" x14ac:dyDescent="0.2">
      <c r="A168" s="47" t="s">
        <v>192</v>
      </c>
      <c r="C168" s="47" t="s">
        <v>38</v>
      </c>
      <c r="E168" s="44">
        <v>1918586</v>
      </c>
      <c r="F168" s="44"/>
      <c r="G168" s="44">
        <v>2082617</v>
      </c>
      <c r="H168" s="44"/>
      <c r="I168" s="44">
        <v>552884</v>
      </c>
      <c r="J168" s="44"/>
      <c r="K168" s="44">
        <f>633628+77099+83424+71926+65600+246779</f>
        <v>1178456</v>
      </c>
      <c r="L168" s="44"/>
      <c r="M168" s="44">
        <v>5139179</v>
      </c>
      <c r="N168" s="44"/>
      <c r="O168" s="44">
        <v>7270</v>
      </c>
      <c r="P168" s="44"/>
      <c r="Q168" s="44">
        <f>1037212+393742</f>
        <v>1430954</v>
      </c>
      <c r="R168" s="44"/>
      <c r="S168" s="44">
        <v>154868</v>
      </c>
      <c r="T168" s="44"/>
      <c r="U168" s="44">
        <v>104845</v>
      </c>
      <c r="V168" s="44"/>
      <c r="W168" s="44">
        <v>0</v>
      </c>
      <c r="X168" s="44"/>
      <c r="Y168" s="44">
        <v>0</v>
      </c>
      <c r="Z168" s="44"/>
      <c r="AA168" s="44">
        <f t="shared" si="11"/>
        <v>8015572</v>
      </c>
      <c r="AB168" s="44"/>
      <c r="AC168" s="44">
        <f t="shared" si="12"/>
        <v>12569659</v>
      </c>
    </row>
    <row r="169" spans="1:30" s="47" customFormat="1" ht="12.75" customHeight="1" x14ac:dyDescent="0.2">
      <c r="A169" s="47" t="s">
        <v>193</v>
      </c>
      <c r="C169" s="47" t="s">
        <v>45</v>
      </c>
      <c r="E169" s="44">
        <v>1770035</v>
      </c>
      <c r="F169" s="44"/>
      <c r="G169" s="44">
        <v>914150</v>
      </c>
      <c r="H169" s="44"/>
      <c r="I169" s="44">
        <v>0</v>
      </c>
      <c r="J169" s="44"/>
      <c r="K169" s="44">
        <v>2867605</v>
      </c>
      <c r="L169" s="44"/>
      <c r="M169" s="44">
        <v>13170293</v>
      </c>
      <c r="N169" s="44"/>
      <c r="O169" s="44">
        <f>171342+1324928</f>
        <v>1496270</v>
      </c>
      <c r="P169" s="44"/>
      <c r="Q169" s="44">
        <v>2244448</v>
      </c>
      <c r="R169" s="44"/>
      <c r="S169" s="44">
        <v>137735</v>
      </c>
      <c r="T169" s="44"/>
      <c r="U169" s="44">
        <f>94195+1042</f>
        <v>95237</v>
      </c>
      <c r="V169" s="44"/>
      <c r="W169" s="44">
        <v>0</v>
      </c>
      <c r="X169" s="44"/>
      <c r="Y169" s="44">
        <v>0</v>
      </c>
      <c r="Z169" s="44"/>
      <c r="AA169" s="44">
        <f t="shared" si="11"/>
        <v>20011588</v>
      </c>
      <c r="AB169" s="44"/>
      <c r="AC169" s="44">
        <f t="shared" si="12"/>
        <v>22695773</v>
      </c>
      <c r="AD169" s="44"/>
    </row>
    <row r="170" spans="1:30" s="47" customFormat="1" ht="12.75" customHeight="1" x14ac:dyDescent="0.2">
      <c r="A170" s="47" t="s">
        <v>194</v>
      </c>
      <c r="C170" s="47" t="s">
        <v>66</v>
      </c>
      <c r="E170" s="44">
        <v>1604528</v>
      </c>
      <c r="F170" s="44"/>
      <c r="G170" s="44">
        <v>13028</v>
      </c>
      <c r="H170" s="44"/>
      <c r="I170" s="44">
        <v>824493</v>
      </c>
      <c r="J170" s="44"/>
      <c r="K170" s="44">
        <f>1424261+83098</f>
        <v>1507359</v>
      </c>
      <c r="L170" s="44"/>
      <c r="M170" s="44">
        <v>6592405</v>
      </c>
      <c r="N170" s="44"/>
      <c r="O170" s="44">
        <v>0</v>
      </c>
      <c r="P170" s="44"/>
      <c r="Q170" s="44">
        <v>1454913</v>
      </c>
      <c r="R170" s="44"/>
      <c r="S170" s="44">
        <v>83091</v>
      </c>
      <c r="T170" s="44"/>
      <c r="U170" s="44">
        <v>62641</v>
      </c>
      <c r="V170" s="44"/>
      <c r="W170" s="44">
        <v>0</v>
      </c>
      <c r="X170" s="44"/>
      <c r="Y170" s="44">
        <v>0</v>
      </c>
      <c r="Z170" s="44"/>
      <c r="AA170" s="44">
        <f t="shared" si="11"/>
        <v>9700409</v>
      </c>
      <c r="AB170" s="44"/>
      <c r="AC170" s="44">
        <f t="shared" si="12"/>
        <v>12142458</v>
      </c>
    </row>
    <row r="171" spans="1:30" s="47" customFormat="1" ht="12.75" customHeight="1" x14ac:dyDescent="0.2">
      <c r="A171" s="47" t="s">
        <v>195</v>
      </c>
      <c r="C171" s="47" t="s">
        <v>17</v>
      </c>
      <c r="E171" s="44">
        <v>1708401</v>
      </c>
      <c r="F171" s="44"/>
      <c r="G171" s="44">
        <v>252277</v>
      </c>
      <c r="H171" s="44"/>
      <c r="I171" s="44">
        <v>454501</v>
      </c>
      <c r="J171" s="44"/>
      <c r="K171" s="44">
        <v>757987</v>
      </c>
      <c r="L171" s="44"/>
      <c r="M171" s="44">
        <v>5211051</v>
      </c>
      <c r="N171" s="44"/>
      <c r="O171" s="44">
        <v>0</v>
      </c>
      <c r="P171" s="44"/>
      <c r="Q171" s="44">
        <v>1702342</v>
      </c>
      <c r="R171" s="44"/>
      <c r="S171" s="44">
        <v>214343</v>
      </c>
      <c r="T171" s="44"/>
      <c r="U171" s="44">
        <v>1040201</v>
      </c>
      <c r="V171" s="44"/>
      <c r="W171" s="44">
        <v>212604</v>
      </c>
      <c r="X171" s="44"/>
      <c r="Y171" s="44">
        <v>0</v>
      </c>
      <c r="Z171" s="44"/>
      <c r="AA171" s="44">
        <f t="shared" si="11"/>
        <v>9138528</v>
      </c>
      <c r="AB171" s="44"/>
      <c r="AC171" s="44">
        <f t="shared" si="12"/>
        <v>11553707</v>
      </c>
    </row>
    <row r="172" spans="1:30" s="47" customFormat="1" ht="12.75" customHeight="1" x14ac:dyDescent="0.2">
      <c r="A172" s="44" t="s">
        <v>196</v>
      </c>
      <c r="C172" s="44" t="s">
        <v>27</v>
      </c>
      <c r="D172" s="44"/>
      <c r="E172" s="44">
        <v>782049</v>
      </c>
      <c r="F172" s="44"/>
      <c r="G172" s="44">
        <v>406791</v>
      </c>
      <c r="H172" s="44"/>
      <c r="I172" s="44">
        <v>1630468</v>
      </c>
      <c r="J172" s="44"/>
      <c r="K172" s="44">
        <f>638284+1239312+106443</f>
        <v>1984039</v>
      </c>
      <c r="L172" s="44"/>
      <c r="M172" s="44">
        <f>2526644+330785</f>
        <v>2857429</v>
      </c>
      <c r="N172" s="44"/>
      <c r="O172" s="44">
        <v>0</v>
      </c>
      <c r="P172" s="44"/>
      <c r="Q172" s="44">
        <v>785113</v>
      </c>
      <c r="R172" s="44"/>
      <c r="S172" s="44">
        <v>2599</v>
      </c>
      <c r="T172" s="44"/>
      <c r="U172" s="44">
        <v>33903</v>
      </c>
      <c r="V172" s="44"/>
      <c r="W172" s="44">
        <v>0</v>
      </c>
      <c r="X172" s="44"/>
      <c r="Y172" s="44">
        <v>0</v>
      </c>
      <c r="Z172" s="44"/>
      <c r="AA172" s="44">
        <f t="shared" si="11"/>
        <v>5663083</v>
      </c>
      <c r="AB172" s="44"/>
      <c r="AC172" s="44">
        <f t="shared" si="12"/>
        <v>8482391</v>
      </c>
    </row>
    <row r="173" spans="1:30" s="47" customFormat="1" ht="12.75" customHeight="1" x14ac:dyDescent="0.2">
      <c r="A173" s="44" t="s">
        <v>402</v>
      </c>
      <c r="C173" s="44" t="s">
        <v>153</v>
      </c>
      <c r="D173" s="44"/>
      <c r="E173" s="44">
        <v>569292</v>
      </c>
      <c r="F173" s="44"/>
      <c r="G173" s="44">
        <v>424728</v>
      </c>
      <c r="H173" s="44"/>
      <c r="I173" s="44">
        <v>0</v>
      </c>
      <c r="J173" s="44"/>
      <c r="K173" s="44">
        <f>354402+57134</f>
        <v>411536</v>
      </c>
      <c r="L173" s="44"/>
      <c r="M173" s="44">
        <f>3285752+533105+266553</f>
        <v>4085410</v>
      </c>
      <c r="N173" s="44"/>
      <c r="O173" s="44">
        <v>193396</v>
      </c>
      <c r="P173" s="44"/>
      <c r="Q173" s="44">
        <v>440351</v>
      </c>
      <c r="R173" s="44"/>
      <c r="S173" s="44">
        <v>104170</v>
      </c>
      <c r="T173" s="44"/>
      <c r="U173" s="44">
        <f>5578+218843</f>
        <v>224421</v>
      </c>
      <c r="V173" s="44"/>
      <c r="W173" s="44">
        <v>-37298</v>
      </c>
      <c r="X173" s="44"/>
      <c r="Y173" s="44">
        <v>0</v>
      </c>
      <c r="Z173" s="44"/>
      <c r="AA173" s="44">
        <f t="shared" si="11"/>
        <v>5421986</v>
      </c>
      <c r="AB173" s="44"/>
      <c r="AC173" s="44">
        <f t="shared" si="12"/>
        <v>6416006</v>
      </c>
    </row>
    <row r="174" spans="1:30" s="47" customFormat="1" ht="12.75" customHeight="1" x14ac:dyDescent="0.2">
      <c r="A174" s="47" t="s">
        <v>197</v>
      </c>
      <c r="C174" s="47" t="s">
        <v>163</v>
      </c>
      <c r="E174" s="44">
        <v>2525774</v>
      </c>
      <c r="F174" s="44"/>
      <c r="G174" s="44">
        <v>1380284</v>
      </c>
      <c r="H174" s="44"/>
      <c r="I174" s="44">
        <v>1410985</v>
      </c>
      <c r="J174" s="44"/>
      <c r="K174" s="44">
        <v>1450821</v>
      </c>
      <c r="L174" s="44"/>
      <c r="M174" s="44">
        <v>27927022</v>
      </c>
      <c r="N174" s="44"/>
      <c r="O174" s="44">
        <v>0</v>
      </c>
      <c r="P174" s="44"/>
      <c r="Q174" s="44">
        <v>1575279</v>
      </c>
      <c r="R174" s="44"/>
      <c r="S174" s="44">
        <v>905904</v>
      </c>
      <c r="T174" s="44"/>
      <c r="U174" s="44">
        <v>618830</v>
      </c>
      <c r="V174" s="44"/>
      <c r="W174" s="44">
        <v>-359640</v>
      </c>
      <c r="X174" s="44"/>
      <c r="Y174" s="44">
        <v>0</v>
      </c>
      <c r="Z174" s="44"/>
      <c r="AA174" s="44">
        <f t="shared" si="11"/>
        <v>32118216</v>
      </c>
      <c r="AB174" s="44"/>
      <c r="AC174" s="44">
        <f t="shared" si="12"/>
        <v>37435259</v>
      </c>
    </row>
    <row r="175" spans="1:30" s="47" customFormat="1" ht="12.75" customHeight="1" x14ac:dyDescent="0.2">
      <c r="A175" s="47" t="s">
        <v>198</v>
      </c>
      <c r="C175" s="47" t="s">
        <v>199</v>
      </c>
      <c r="E175" s="44">
        <v>793653</v>
      </c>
      <c r="F175" s="44"/>
      <c r="G175" s="44">
        <v>559982</v>
      </c>
      <c r="H175" s="44"/>
      <c r="I175" s="44">
        <v>184461</v>
      </c>
      <c r="J175" s="44"/>
      <c r="K175" s="44">
        <v>445836</v>
      </c>
      <c r="L175" s="44"/>
      <c r="M175" s="44">
        <f>3271841+1043939</f>
        <v>4315780</v>
      </c>
      <c r="N175" s="44"/>
      <c r="O175" s="44">
        <v>884285</v>
      </c>
      <c r="P175" s="44"/>
      <c r="Q175" s="44">
        <v>540040</v>
      </c>
      <c r="R175" s="44"/>
      <c r="S175" s="44">
        <v>27685</v>
      </c>
      <c r="T175" s="44"/>
      <c r="U175" s="44">
        <v>42833</v>
      </c>
      <c r="V175" s="44"/>
      <c r="W175" s="44">
        <v>-884285</v>
      </c>
      <c r="X175" s="44"/>
      <c r="Y175" s="44">
        <v>0</v>
      </c>
      <c r="Z175" s="44"/>
      <c r="AA175" s="44">
        <f t="shared" si="11"/>
        <v>5372174</v>
      </c>
      <c r="AB175" s="44"/>
      <c r="AC175" s="44">
        <f t="shared" si="12"/>
        <v>6910270</v>
      </c>
    </row>
    <row r="176" spans="1:30" s="47" customFormat="1" ht="12.75" customHeight="1" x14ac:dyDescent="0.2">
      <c r="A176" s="47" t="s">
        <v>200</v>
      </c>
      <c r="C176" s="47" t="s">
        <v>103</v>
      </c>
      <c r="E176" s="44">
        <v>2247027</v>
      </c>
      <c r="F176" s="44"/>
      <c r="G176" s="44">
        <v>497511</v>
      </c>
      <c r="H176" s="44"/>
      <c r="I176" s="44">
        <v>457449</v>
      </c>
      <c r="J176" s="44"/>
      <c r="K176" s="44">
        <v>1192104</v>
      </c>
      <c r="L176" s="44"/>
      <c r="M176" s="44">
        <f>6715027+929158</f>
        <v>7644185</v>
      </c>
      <c r="N176" s="44"/>
      <c r="O176" s="44">
        <v>0</v>
      </c>
      <c r="P176" s="44"/>
      <c r="Q176" s="44">
        <v>1275422</v>
      </c>
      <c r="R176" s="44"/>
      <c r="S176" s="44">
        <v>79863</v>
      </c>
      <c r="T176" s="44"/>
      <c r="U176" s="44">
        <v>200902</v>
      </c>
      <c r="V176" s="44"/>
      <c r="W176" s="44">
        <v>-45000</v>
      </c>
      <c r="X176" s="44"/>
      <c r="Y176" s="44">
        <v>0</v>
      </c>
      <c r="Z176" s="44"/>
      <c r="AA176" s="44">
        <f t="shared" si="11"/>
        <v>10347476</v>
      </c>
      <c r="AB176" s="44"/>
      <c r="AC176" s="44">
        <f t="shared" si="12"/>
        <v>13549463</v>
      </c>
    </row>
    <row r="177" spans="1:29" s="47" customFormat="1" ht="12.75" customHeight="1" x14ac:dyDescent="0.2">
      <c r="A177" s="47" t="s">
        <v>201</v>
      </c>
      <c r="C177" s="47" t="s">
        <v>92</v>
      </c>
      <c r="E177" s="44">
        <v>2562167</v>
      </c>
      <c r="F177" s="44"/>
      <c r="G177" s="44">
        <v>883020</v>
      </c>
      <c r="H177" s="44"/>
      <c r="I177" s="44">
        <v>1614032</v>
      </c>
      <c r="J177" s="44"/>
      <c r="K177" s="44">
        <v>1175475</v>
      </c>
      <c r="L177" s="44"/>
      <c r="M177" s="44">
        <v>7167242</v>
      </c>
      <c r="N177" s="44"/>
      <c r="O177" s="44">
        <v>6400</v>
      </c>
      <c r="P177" s="44"/>
      <c r="Q177" s="44">
        <v>1918529</v>
      </c>
      <c r="R177" s="44"/>
      <c r="S177" s="44">
        <v>539269</v>
      </c>
      <c r="T177" s="44"/>
      <c r="U177" s="44">
        <v>324107</v>
      </c>
      <c r="V177" s="44"/>
      <c r="W177" s="44">
        <v>1253475</v>
      </c>
      <c r="X177" s="44"/>
      <c r="Y177" s="44">
        <v>0</v>
      </c>
      <c r="Z177" s="44"/>
      <c r="AA177" s="44">
        <f t="shared" si="11"/>
        <v>12384497</v>
      </c>
      <c r="AB177" s="44"/>
      <c r="AC177" s="44">
        <f t="shared" si="12"/>
        <v>17443716</v>
      </c>
    </row>
    <row r="178" spans="1:29" s="47" customFormat="1" ht="12.75" customHeight="1" x14ac:dyDescent="0.2">
      <c r="A178" s="47" t="s">
        <v>202</v>
      </c>
      <c r="C178" s="47" t="s">
        <v>27</v>
      </c>
      <c r="E178" s="44">
        <v>11990561</v>
      </c>
      <c r="F178" s="44"/>
      <c r="G178" s="44">
        <v>17028948</v>
      </c>
      <c r="H178" s="44"/>
      <c r="I178" s="44">
        <v>0</v>
      </c>
      <c r="J178" s="44"/>
      <c r="K178" s="44">
        <f>3437778+4386146+248040</f>
        <v>8071964</v>
      </c>
      <c r="L178" s="44"/>
      <c r="M178" s="44">
        <f>28314922+7639712</f>
        <v>35954634</v>
      </c>
      <c r="N178" s="44"/>
      <c r="O178" s="44">
        <v>0</v>
      </c>
      <c r="P178" s="44"/>
      <c r="Q178" s="44">
        <v>6995045</v>
      </c>
      <c r="R178" s="44"/>
      <c r="S178" s="44">
        <v>21734</v>
      </c>
      <c r="T178" s="44"/>
      <c r="U178" s="44">
        <v>0</v>
      </c>
      <c r="V178" s="44"/>
      <c r="W178" s="44">
        <v>0</v>
      </c>
      <c r="X178" s="44"/>
      <c r="Y178" s="44">
        <v>0</v>
      </c>
      <c r="Z178" s="44"/>
      <c r="AA178" s="44">
        <f t="shared" si="11"/>
        <v>51043377</v>
      </c>
      <c r="AB178" s="44"/>
      <c r="AC178" s="44">
        <f t="shared" si="12"/>
        <v>80062886</v>
      </c>
    </row>
    <row r="179" spans="1:29" s="47" customFormat="1" ht="12.75" customHeight="1" x14ac:dyDescent="0.2">
      <c r="A179" s="47" t="s">
        <v>203</v>
      </c>
      <c r="C179" s="47" t="s">
        <v>27</v>
      </c>
      <c r="E179" s="44">
        <v>2455160</v>
      </c>
      <c r="F179" s="44"/>
      <c r="G179" s="44">
        <v>206421</v>
      </c>
      <c r="H179" s="44"/>
      <c r="I179" s="44">
        <v>794891</v>
      </c>
      <c r="J179" s="44"/>
      <c r="K179" s="44">
        <f>1805825+288208+522513+131004</f>
        <v>2747550</v>
      </c>
      <c r="L179" s="44"/>
      <c r="M179" s="44">
        <v>8351494</v>
      </c>
      <c r="N179" s="44"/>
      <c r="O179" s="44">
        <v>0</v>
      </c>
      <c r="P179" s="44"/>
      <c r="Q179" s="44">
        <v>1749679</v>
      </c>
      <c r="R179" s="44"/>
      <c r="S179" s="44">
        <v>23566</v>
      </c>
      <c r="T179" s="44"/>
      <c r="U179" s="44">
        <v>344601</v>
      </c>
      <c r="V179" s="44"/>
      <c r="W179" s="44">
        <v>0</v>
      </c>
      <c r="X179" s="44"/>
      <c r="Y179" s="44">
        <v>0</v>
      </c>
      <c r="Z179" s="44"/>
      <c r="AA179" s="44">
        <f t="shared" si="11"/>
        <v>13216890</v>
      </c>
      <c r="AB179" s="44"/>
      <c r="AC179" s="44">
        <f t="shared" si="12"/>
        <v>16673362</v>
      </c>
    </row>
    <row r="180" spans="1:29" s="47" customFormat="1" ht="12.75" customHeight="1" x14ac:dyDescent="0.2">
      <c r="A180" s="47" t="s">
        <v>204</v>
      </c>
      <c r="C180" s="47" t="s">
        <v>125</v>
      </c>
      <c r="E180" s="44">
        <v>602076</v>
      </c>
      <c r="F180" s="44"/>
      <c r="G180" s="44">
        <v>1056890</v>
      </c>
      <c r="H180" s="44"/>
      <c r="I180" s="44">
        <v>4170204</v>
      </c>
      <c r="J180" s="44"/>
      <c r="K180" s="44">
        <v>623868</v>
      </c>
      <c r="L180" s="44"/>
      <c r="M180" s="44">
        <f>833223+2299295+57251+524805+237</f>
        <v>3714811</v>
      </c>
      <c r="N180" s="44"/>
      <c r="O180" s="44">
        <v>261409</v>
      </c>
      <c r="P180" s="44"/>
      <c r="Q180" s="44">
        <v>303395</v>
      </c>
      <c r="R180" s="44"/>
      <c r="S180" s="44">
        <v>6594</v>
      </c>
      <c r="T180" s="44"/>
      <c r="U180" s="44">
        <v>106889</v>
      </c>
      <c r="V180" s="44"/>
      <c r="W180" s="44">
        <v>0</v>
      </c>
      <c r="X180" s="44"/>
      <c r="Y180" s="44">
        <v>0</v>
      </c>
      <c r="Z180" s="44"/>
      <c r="AA180" s="44">
        <f t="shared" si="11"/>
        <v>5016966</v>
      </c>
      <c r="AB180" s="44"/>
      <c r="AC180" s="44">
        <f t="shared" si="12"/>
        <v>10846136</v>
      </c>
    </row>
    <row r="181" spans="1:29" s="47" customFormat="1" ht="12.75" customHeight="1" x14ac:dyDescent="0.2">
      <c r="A181" s="47" t="s">
        <v>205</v>
      </c>
      <c r="C181" s="47" t="s">
        <v>27</v>
      </c>
      <c r="E181" s="44">
        <v>562636</v>
      </c>
      <c r="F181" s="44"/>
      <c r="G181" s="44">
        <v>518624</v>
      </c>
      <c r="H181" s="44"/>
      <c r="I181" s="44">
        <v>1038737</v>
      </c>
      <c r="J181" s="44"/>
      <c r="K181" s="44">
        <f>1341547+333979+1470316+102583</f>
        <v>3248425</v>
      </c>
      <c r="L181" s="44"/>
      <c r="M181" s="44">
        <v>4894169</v>
      </c>
      <c r="N181" s="44"/>
      <c r="O181" s="44">
        <f>370059+257036+84551</f>
        <v>711646</v>
      </c>
      <c r="P181" s="44"/>
      <c r="Q181" s="44">
        <v>368773</v>
      </c>
      <c r="R181" s="44"/>
      <c r="S181" s="44">
        <v>17432</v>
      </c>
      <c r="T181" s="44"/>
      <c r="U181" s="44">
        <v>118562</v>
      </c>
      <c r="V181" s="44"/>
      <c r="W181" s="44">
        <v>0</v>
      </c>
      <c r="X181" s="44"/>
      <c r="Y181" s="44">
        <v>0</v>
      </c>
      <c r="Z181" s="44"/>
      <c r="AA181" s="44">
        <f t="shared" si="11"/>
        <v>9359007</v>
      </c>
      <c r="AB181" s="44"/>
      <c r="AC181" s="44">
        <f t="shared" si="12"/>
        <v>11479004</v>
      </c>
    </row>
    <row r="182" spans="1:29" s="47" customFormat="1" ht="12.75" customHeight="1" x14ac:dyDescent="0.2">
      <c r="A182" s="47" t="s">
        <v>206</v>
      </c>
      <c r="C182" s="47" t="s">
        <v>47</v>
      </c>
      <c r="E182" s="44">
        <v>2037877</v>
      </c>
      <c r="F182" s="44"/>
      <c r="G182" s="44">
        <v>1386502</v>
      </c>
      <c r="H182" s="44"/>
      <c r="I182" s="44">
        <v>5952235</v>
      </c>
      <c r="J182" s="44"/>
      <c r="K182" s="44">
        <v>3092257</v>
      </c>
      <c r="L182" s="44"/>
      <c r="M182" s="44">
        <v>14192501</v>
      </c>
      <c r="N182" s="44"/>
      <c r="O182" s="44">
        <v>0</v>
      </c>
      <c r="P182" s="44"/>
      <c r="Q182" s="44">
        <v>2144085</v>
      </c>
      <c r="R182" s="44"/>
      <c r="S182" s="44">
        <v>61894</v>
      </c>
      <c r="T182" s="44"/>
      <c r="U182" s="44">
        <v>220204</v>
      </c>
      <c r="V182" s="44"/>
      <c r="W182" s="44">
        <v>-45000</v>
      </c>
      <c r="X182" s="44"/>
      <c r="Y182" s="44">
        <v>0</v>
      </c>
      <c r="Z182" s="44"/>
      <c r="AA182" s="44">
        <f t="shared" si="11"/>
        <v>19665941</v>
      </c>
      <c r="AB182" s="44"/>
      <c r="AC182" s="44">
        <f t="shared" si="12"/>
        <v>29042555</v>
      </c>
    </row>
    <row r="183" spans="1:29" s="47" customFormat="1" ht="12.75" customHeight="1" x14ac:dyDescent="0.2">
      <c r="A183" s="47" t="s">
        <v>207</v>
      </c>
      <c r="C183" s="47" t="s">
        <v>102</v>
      </c>
      <c r="E183" s="44">
        <v>1370357</v>
      </c>
      <c r="F183" s="44"/>
      <c r="G183" s="44">
        <v>897451</v>
      </c>
      <c r="H183" s="44"/>
      <c r="I183" s="44">
        <v>2234376</v>
      </c>
      <c r="J183" s="44"/>
      <c r="K183" s="44">
        <f>966394+1484938</f>
        <v>2451332</v>
      </c>
      <c r="L183" s="44"/>
      <c r="M183" s="44">
        <v>5117727</v>
      </c>
      <c r="N183" s="44"/>
      <c r="O183" s="44">
        <f>256095+722735</f>
        <v>978830</v>
      </c>
      <c r="P183" s="44"/>
      <c r="Q183" s="44">
        <v>498744</v>
      </c>
      <c r="R183" s="44"/>
      <c r="S183" s="44">
        <v>59449</v>
      </c>
      <c r="T183" s="44"/>
      <c r="U183" s="44">
        <f>96332+8200+367399</f>
        <v>471931</v>
      </c>
      <c r="V183" s="44"/>
      <c r="W183" s="44">
        <v>0</v>
      </c>
      <c r="X183" s="44"/>
      <c r="Y183" s="44">
        <v>0</v>
      </c>
      <c r="Z183" s="44"/>
      <c r="AA183" s="44">
        <f t="shared" si="11"/>
        <v>9578013</v>
      </c>
      <c r="AB183" s="44"/>
      <c r="AC183" s="44">
        <f t="shared" si="12"/>
        <v>14080197</v>
      </c>
    </row>
    <row r="184" spans="1:29" s="47" customFormat="1" ht="12.75" customHeight="1" x14ac:dyDescent="0.2">
      <c r="A184" s="47" t="s">
        <v>208</v>
      </c>
      <c r="C184" s="47" t="s">
        <v>209</v>
      </c>
      <c r="E184" s="44">
        <v>1654133</v>
      </c>
      <c r="F184" s="44"/>
      <c r="G184" s="44">
        <v>778247</v>
      </c>
      <c r="H184" s="44"/>
      <c r="I184" s="44">
        <v>109763</v>
      </c>
      <c r="J184" s="44"/>
      <c r="K184" s="44">
        <v>1289519</v>
      </c>
      <c r="L184" s="44"/>
      <c r="M184" s="44">
        <v>8209488</v>
      </c>
      <c r="N184" s="44"/>
      <c r="O184" s="44">
        <f>1180220+2597120</f>
        <v>3777340</v>
      </c>
      <c r="P184" s="44"/>
      <c r="Q184" s="44">
        <v>0</v>
      </c>
      <c r="R184" s="44"/>
      <c r="S184" s="44">
        <v>129378</v>
      </c>
      <c r="T184" s="44"/>
      <c r="U184" s="44">
        <v>6500</v>
      </c>
      <c r="V184" s="44"/>
      <c r="W184" s="44">
        <v>-501861</v>
      </c>
      <c r="X184" s="44"/>
      <c r="Y184" s="44">
        <v>0</v>
      </c>
      <c r="Z184" s="44"/>
      <c r="AA184" s="44">
        <f t="shared" si="11"/>
        <v>12910364</v>
      </c>
      <c r="AB184" s="44"/>
      <c r="AC184" s="44">
        <f t="shared" si="12"/>
        <v>15452507</v>
      </c>
    </row>
    <row r="185" spans="1:29" s="47" customFormat="1" ht="12.75" customHeight="1" x14ac:dyDescent="0.2">
      <c r="A185" s="47" t="s">
        <v>210</v>
      </c>
      <c r="C185" s="47" t="s">
        <v>211</v>
      </c>
      <c r="E185" s="44">
        <v>482591</v>
      </c>
      <c r="F185" s="44"/>
      <c r="G185" s="44">
        <v>516432</v>
      </c>
      <c r="H185" s="44"/>
      <c r="I185" s="44">
        <v>461545</v>
      </c>
      <c r="J185" s="44"/>
      <c r="K185" s="44">
        <f>552383+229682</f>
        <v>782065</v>
      </c>
      <c r="L185" s="44"/>
      <c r="M185" s="44">
        <v>2177113</v>
      </c>
      <c r="N185" s="44"/>
      <c r="O185" s="44">
        <f>163860+20161+50582</f>
        <v>234603</v>
      </c>
      <c r="P185" s="44"/>
      <c r="Q185" s="44">
        <v>801855</v>
      </c>
      <c r="R185" s="44"/>
      <c r="S185" s="44">
        <v>25552</v>
      </c>
      <c r="T185" s="44"/>
      <c r="U185" s="44">
        <v>39432</v>
      </c>
      <c r="V185" s="44"/>
      <c r="W185" s="44">
        <v>0</v>
      </c>
      <c r="X185" s="44"/>
      <c r="Y185" s="44">
        <v>0</v>
      </c>
      <c r="Z185" s="44"/>
      <c r="AA185" s="44">
        <f t="shared" si="11"/>
        <v>4060620</v>
      </c>
      <c r="AB185" s="44"/>
      <c r="AC185" s="44">
        <f t="shared" si="12"/>
        <v>5521188</v>
      </c>
    </row>
    <row r="186" spans="1:29" s="47" customFormat="1" ht="12.75" customHeight="1" x14ac:dyDescent="0.2">
      <c r="A186" s="47" t="s">
        <v>212</v>
      </c>
      <c r="C186" s="47" t="s">
        <v>213</v>
      </c>
      <c r="E186" s="44">
        <v>1650247</v>
      </c>
      <c r="F186" s="44"/>
      <c r="G186" s="44">
        <v>2727791</v>
      </c>
      <c r="H186" s="44"/>
      <c r="I186" s="44">
        <v>0</v>
      </c>
      <c r="J186" s="44"/>
      <c r="K186" s="44">
        <f>1596316+326443+154074</f>
        <v>2076833</v>
      </c>
      <c r="L186" s="44"/>
      <c r="M186" s="44">
        <v>6684933</v>
      </c>
      <c r="N186" s="44"/>
      <c r="O186" s="44">
        <v>296427</v>
      </c>
      <c r="P186" s="44"/>
      <c r="Q186" s="44">
        <v>2536309</v>
      </c>
      <c r="R186" s="44"/>
      <c r="S186" s="44">
        <v>44</v>
      </c>
      <c r="T186" s="44"/>
      <c r="U186" s="44">
        <v>251205</v>
      </c>
      <c r="V186" s="44"/>
      <c r="W186" s="44">
        <v>0</v>
      </c>
      <c r="X186" s="44"/>
      <c r="Y186" s="44">
        <v>0</v>
      </c>
      <c r="Z186" s="44"/>
      <c r="AA186" s="44">
        <f t="shared" si="11"/>
        <v>11845751</v>
      </c>
      <c r="AB186" s="44"/>
      <c r="AC186" s="44">
        <f t="shared" si="12"/>
        <v>16223789</v>
      </c>
    </row>
    <row r="187" spans="1:29" s="47" customFormat="1" ht="12.75" hidden="1" customHeight="1" x14ac:dyDescent="0.2">
      <c r="A187" s="47" t="s">
        <v>214</v>
      </c>
      <c r="C187" s="47" t="s">
        <v>86</v>
      </c>
      <c r="E187" s="44">
        <v>1979813</v>
      </c>
      <c r="F187" s="44"/>
      <c r="G187" s="44">
        <v>563452</v>
      </c>
      <c r="H187" s="44"/>
      <c r="I187" s="44">
        <v>200343</v>
      </c>
      <c r="J187" s="44"/>
      <c r="K187" s="44">
        <v>1806671</v>
      </c>
      <c r="L187" s="44"/>
      <c r="M187" s="44">
        <v>4473048</v>
      </c>
      <c r="N187" s="44"/>
      <c r="O187" s="44">
        <v>112286</v>
      </c>
      <c r="P187" s="44"/>
      <c r="Q187" s="44">
        <v>577287</v>
      </c>
      <c r="R187" s="44"/>
      <c r="S187" s="44">
        <v>45134</v>
      </c>
      <c r="T187" s="44"/>
      <c r="U187" s="44">
        <v>125603</v>
      </c>
      <c r="V187" s="44"/>
      <c r="W187" s="44">
        <v>0</v>
      </c>
      <c r="X187" s="44"/>
      <c r="Y187" s="44">
        <v>0</v>
      </c>
      <c r="Z187" s="44"/>
      <c r="AA187" s="44">
        <f t="shared" si="11"/>
        <v>7140029</v>
      </c>
      <c r="AB187" s="44"/>
      <c r="AC187" s="44">
        <f t="shared" si="12"/>
        <v>9883637</v>
      </c>
    </row>
    <row r="188" spans="1:29" s="47" customFormat="1" ht="12.75" customHeight="1" x14ac:dyDescent="0.2">
      <c r="A188" s="47" t="s">
        <v>215</v>
      </c>
      <c r="C188" s="47" t="s">
        <v>22</v>
      </c>
      <c r="E188" s="44">
        <v>1766250</v>
      </c>
      <c r="F188" s="44"/>
      <c r="G188" s="44">
        <v>1559611</v>
      </c>
      <c r="H188" s="44"/>
      <c r="I188" s="44">
        <v>64125</v>
      </c>
      <c r="J188" s="44"/>
      <c r="K188" s="44">
        <v>615421</v>
      </c>
      <c r="L188" s="44"/>
      <c r="M188" s="44">
        <f>4469278+537531+365667+292533+732798</f>
        <v>6397807</v>
      </c>
      <c r="N188" s="44"/>
      <c r="O188" s="44">
        <v>0</v>
      </c>
      <c r="P188" s="44"/>
      <c r="Q188" s="44">
        <v>1584365</v>
      </c>
      <c r="R188" s="44"/>
      <c r="S188" s="44">
        <v>97528</v>
      </c>
      <c r="T188" s="44"/>
      <c r="U188" s="44">
        <f>5000+66357</f>
        <v>71357</v>
      </c>
      <c r="V188" s="44"/>
      <c r="W188" s="44">
        <v>-406029</v>
      </c>
      <c r="X188" s="44"/>
      <c r="Y188" s="44">
        <v>0</v>
      </c>
      <c r="Z188" s="44"/>
      <c r="AA188" s="44">
        <f t="shared" si="11"/>
        <v>8360449</v>
      </c>
      <c r="AB188" s="44"/>
      <c r="AC188" s="44">
        <f t="shared" si="12"/>
        <v>11750435</v>
      </c>
    </row>
    <row r="189" spans="1:29" s="47" customFormat="1" ht="12.75" customHeight="1" x14ac:dyDescent="0.2">
      <c r="A189" s="47" t="s">
        <v>216</v>
      </c>
      <c r="C189" s="47" t="s">
        <v>45</v>
      </c>
      <c r="E189" s="44">
        <v>1391032</v>
      </c>
      <c r="F189" s="44"/>
      <c r="G189" s="44">
        <v>1113063</v>
      </c>
      <c r="H189" s="44"/>
      <c r="I189" s="44">
        <v>86300</v>
      </c>
      <c r="J189" s="44"/>
      <c r="K189" s="44">
        <f>400445+308923</f>
        <v>709368</v>
      </c>
      <c r="L189" s="44"/>
      <c r="M189" s="44">
        <v>6229949</v>
      </c>
      <c r="N189" s="44"/>
      <c r="O189" s="44">
        <v>0</v>
      </c>
      <c r="P189" s="44"/>
      <c r="Q189" s="44">
        <v>774783</v>
      </c>
      <c r="R189" s="44"/>
      <c r="S189" s="44">
        <v>1389</v>
      </c>
      <c r="T189" s="44"/>
      <c r="U189" s="44">
        <f>10202+93922</f>
        <v>104124</v>
      </c>
      <c r="V189" s="44"/>
      <c r="W189" s="44">
        <v>-11330</v>
      </c>
      <c r="X189" s="44"/>
      <c r="Y189" s="44">
        <v>0</v>
      </c>
      <c r="Z189" s="44"/>
      <c r="AA189" s="44">
        <f t="shared" si="11"/>
        <v>7808283</v>
      </c>
      <c r="AB189" s="44"/>
      <c r="AC189" s="44">
        <f t="shared" si="12"/>
        <v>10398678</v>
      </c>
    </row>
    <row r="190" spans="1:29" s="47" customFormat="1" ht="12.75" customHeight="1" x14ac:dyDescent="0.2">
      <c r="A190" s="47" t="s">
        <v>217</v>
      </c>
      <c r="C190" s="47" t="s">
        <v>43</v>
      </c>
      <c r="E190" s="44">
        <v>1298148</v>
      </c>
      <c r="F190" s="44"/>
      <c r="G190" s="44">
        <v>1990530</v>
      </c>
      <c r="H190" s="44"/>
      <c r="I190" s="44">
        <v>2071639</v>
      </c>
      <c r="J190" s="44"/>
      <c r="K190" s="44">
        <f>281971+199361+1688532</f>
        <v>2169864</v>
      </c>
      <c r="L190" s="44"/>
      <c r="M190" s="44">
        <v>11747263</v>
      </c>
      <c r="N190" s="44"/>
      <c r="O190" s="44">
        <v>471836</v>
      </c>
      <c r="P190" s="44"/>
      <c r="Q190" s="44">
        <v>1722990</v>
      </c>
      <c r="R190" s="44"/>
      <c r="S190" s="44">
        <v>236803</v>
      </c>
      <c r="T190" s="44"/>
      <c r="U190" s="44">
        <v>438354</v>
      </c>
      <c r="V190" s="44"/>
      <c r="W190" s="44">
        <v>0</v>
      </c>
      <c r="X190" s="44"/>
      <c r="Y190" s="44">
        <v>0</v>
      </c>
      <c r="Z190" s="44"/>
      <c r="AA190" s="44">
        <f t="shared" si="11"/>
        <v>16787110</v>
      </c>
      <c r="AB190" s="44"/>
      <c r="AC190" s="44">
        <f t="shared" si="12"/>
        <v>22147427</v>
      </c>
    </row>
    <row r="191" spans="1:29" s="47" customFormat="1" ht="12.75" customHeight="1" x14ac:dyDescent="0.2">
      <c r="A191" s="47" t="s">
        <v>218</v>
      </c>
      <c r="C191" s="47" t="s">
        <v>27</v>
      </c>
      <c r="E191" s="44">
        <v>909058</v>
      </c>
      <c r="F191" s="44"/>
      <c r="G191" s="44">
        <v>859914</v>
      </c>
      <c r="H191" s="44"/>
      <c r="I191" s="44">
        <v>1325225</v>
      </c>
      <c r="J191" s="44"/>
      <c r="K191" s="44">
        <f>902071+628968+1359366</f>
        <v>2890405</v>
      </c>
      <c r="L191" s="44"/>
      <c r="M191" s="44">
        <v>4364623</v>
      </c>
      <c r="N191" s="44"/>
      <c r="O191" s="44">
        <v>66164</v>
      </c>
      <c r="P191" s="44"/>
      <c r="Q191" s="44">
        <v>1208518</v>
      </c>
      <c r="R191" s="44"/>
      <c r="S191" s="44">
        <v>752</v>
      </c>
      <c r="T191" s="44"/>
      <c r="U191" s="44">
        <f>2073+710089</f>
        <v>712162</v>
      </c>
      <c r="V191" s="44"/>
      <c r="W191" s="44">
        <v>0</v>
      </c>
      <c r="X191" s="44"/>
      <c r="Y191" s="44">
        <v>0</v>
      </c>
      <c r="Z191" s="44"/>
      <c r="AA191" s="44">
        <f t="shared" si="11"/>
        <v>9242624</v>
      </c>
      <c r="AB191" s="44"/>
      <c r="AC191" s="44">
        <f t="shared" si="12"/>
        <v>12336821</v>
      </c>
    </row>
    <row r="192" spans="1:29" s="47" customFormat="1" ht="12.75" customHeight="1" x14ac:dyDescent="0.2">
      <c r="A192" s="47" t="s">
        <v>219</v>
      </c>
      <c r="C192" s="47" t="s">
        <v>199</v>
      </c>
      <c r="E192" s="44">
        <v>1282246</v>
      </c>
      <c r="F192" s="44"/>
      <c r="G192" s="44">
        <v>419355</v>
      </c>
      <c r="H192" s="44"/>
      <c r="I192" s="44">
        <v>40489</v>
      </c>
      <c r="J192" s="44"/>
      <c r="K192" s="44">
        <f>366459+265731</f>
        <v>632190</v>
      </c>
      <c r="L192" s="44"/>
      <c r="M192" s="44">
        <f>664589+332296</f>
        <v>996885</v>
      </c>
      <c r="N192" s="44"/>
      <c r="O192" s="44">
        <v>0</v>
      </c>
      <c r="P192" s="44"/>
      <c r="Q192" s="44">
        <v>524776</v>
      </c>
      <c r="R192" s="44"/>
      <c r="S192" s="44">
        <v>30707</v>
      </c>
      <c r="T192" s="44"/>
      <c r="U192" s="44">
        <v>46626</v>
      </c>
      <c r="V192" s="44"/>
      <c r="W192" s="44">
        <v>0</v>
      </c>
      <c r="X192" s="44"/>
      <c r="Y192" s="44">
        <v>0</v>
      </c>
      <c r="Z192" s="44"/>
      <c r="AA192" s="44">
        <f t="shared" si="11"/>
        <v>2231184</v>
      </c>
      <c r="AB192" s="44"/>
      <c r="AC192" s="44">
        <f t="shared" si="12"/>
        <v>3973274</v>
      </c>
    </row>
    <row r="193" spans="1:31" s="47" customFormat="1" ht="12.75" customHeight="1" x14ac:dyDescent="0.2">
      <c r="A193" s="47" t="s">
        <v>220</v>
      </c>
      <c r="C193" s="47" t="s">
        <v>66</v>
      </c>
      <c r="E193" s="44">
        <v>2166077</v>
      </c>
      <c r="F193" s="44"/>
      <c r="G193" s="44">
        <v>1803861</v>
      </c>
      <c r="H193" s="44"/>
      <c r="I193" s="44">
        <v>38769</v>
      </c>
      <c r="J193" s="44"/>
      <c r="K193" s="44">
        <f>519358+1853533</f>
        <v>2372891</v>
      </c>
      <c r="L193" s="44"/>
      <c r="M193" s="44">
        <f>2745885+1309908</f>
        <v>4055793</v>
      </c>
      <c r="N193" s="44"/>
      <c r="O193" s="44">
        <f>266676+50652</f>
        <v>317328</v>
      </c>
      <c r="P193" s="44"/>
      <c r="Q193" s="44">
        <v>946817</v>
      </c>
      <c r="R193" s="44"/>
      <c r="S193" s="44">
        <v>13429</v>
      </c>
      <c r="T193" s="44"/>
      <c r="U193" s="44">
        <v>62050</v>
      </c>
      <c r="V193" s="44"/>
      <c r="W193" s="44">
        <v>0</v>
      </c>
      <c r="X193" s="44"/>
      <c r="Y193" s="44">
        <v>0</v>
      </c>
      <c r="Z193" s="44"/>
      <c r="AA193" s="44">
        <f t="shared" si="11"/>
        <v>7768308</v>
      </c>
      <c r="AB193" s="44"/>
      <c r="AC193" s="44">
        <f t="shared" si="12"/>
        <v>11777015</v>
      </c>
    </row>
    <row r="194" spans="1:31" s="47" customFormat="1" ht="12.75" customHeight="1" x14ac:dyDescent="0.2">
      <c r="A194" s="47" t="s">
        <v>221</v>
      </c>
      <c r="C194" s="47" t="s">
        <v>27</v>
      </c>
      <c r="E194" s="44">
        <v>7459515</v>
      </c>
      <c r="F194" s="44"/>
      <c r="G194" s="44">
        <v>933570</v>
      </c>
      <c r="H194" s="44"/>
      <c r="I194" s="44">
        <v>864849</v>
      </c>
      <c r="J194" s="44"/>
      <c r="K194" s="44">
        <f>3788172+300648+300648+601297+180663+181671+601297+597831</f>
        <v>6552227</v>
      </c>
      <c r="L194" s="44"/>
      <c r="M194" s="44">
        <v>8606720</v>
      </c>
      <c r="N194" s="44"/>
      <c r="O194" s="44">
        <f>201531+32638</f>
        <v>234169</v>
      </c>
      <c r="P194" s="44"/>
      <c r="Q194" s="44">
        <v>2852477</v>
      </c>
      <c r="R194" s="44"/>
      <c r="S194" s="44">
        <v>8162</v>
      </c>
      <c r="T194" s="44"/>
      <c r="U194" s="44">
        <v>791806</v>
      </c>
      <c r="V194" s="44"/>
      <c r="W194" s="44">
        <v>0</v>
      </c>
      <c r="X194" s="44"/>
      <c r="Y194" s="44">
        <v>0</v>
      </c>
      <c r="Z194" s="44"/>
      <c r="AA194" s="44">
        <f t="shared" si="11"/>
        <v>19045561</v>
      </c>
      <c r="AB194" s="44"/>
      <c r="AC194" s="44">
        <f t="shared" si="12"/>
        <v>28303495</v>
      </c>
    </row>
    <row r="195" spans="1:31" s="47" customFormat="1" ht="12.75" customHeight="1" x14ac:dyDescent="0.2">
      <c r="A195" s="47" t="s">
        <v>222</v>
      </c>
      <c r="C195" s="47" t="s">
        <v>47</v>
      </c>
      <c r="E195" s="44">
        <v>907823</v>
      </c>
      <c r="F195" s="44"/>
      <c r="G195" s="44">
        <v>362823</v>
      </c>
      <c r="H195" s="44"/>
      <c r="I195" s="44">
        <v>0</v>
      </c>
      <c r="J195" s="44"/>
      <c r="K195" s="44">
        <f>614062+33910+215290</f>
        <v>863262</v>
      </c>
      <c r="L195" s="44"/>
      <c r="M195" s="44">
        <v>3220479</v>
      </c>
      <c r="N195" s="44"/>
      <c r="O195" s="44">
        <f>422250+874505</f>
        <v>1296755</v>
      </c>
      <c r="P195" s="44"/>
      <c r="Q195" s="44">
        <v>736664</v>
      </c>
      <c r="R195" s="44"/>
      <c r="S195" s="44">
        <v>30461</v>
      </c>
      <c r="T195" s="44"/>
      <c r="U195" s="44">
        <v>59570</v>
      </c>
      <c r="V195" s="44"/>
      <c r="W195" s="44">
        <v>0</v>
      </c>
      <c r="X195" s="44"/>
      <c r="Y195" s="44">
        <v>0</v>
      </c>
      <c r="Z195" s="44"/>
      <c r="AA195" s="44">
        <f t="shared" si="11"/>
        <v>6207191</v>
      </c>
      <c r="AB195" s="44"/>
      <c r="AC195" s="44">
        <f t="shared" si="12"/>
        <v>7477837</v>
      </c>
    </row>
    <row r="196" spans="1:31" s="47" customFormat="1" ht="12.75" customHeight="1" x14ac:dyDescent="0.2">
      <c r="A196" s="47" t="s">
        <v>223</v>
      </c>
      <c r="C196" s="47" t="s">
        <v>94</v>
      </c>
      <c r="E196" s="44">
        <v>294513</v>
      </c>
      <c r="F196" s="44"/>
      <c r="G196" s="44">
        <v>1044156</v>
      </c>
      <c r="H196" s="44"/>
      <c r="I196" s="44">
        <v>79341</v>
      </c>
      <c r="J196" s="44"/>
      <c r="K196" s="44">
        <f>562303+322430+72994+64779</f>
        <v>1022506</v>
      </c>
      <c r="L196" s="44"/>
      <c r="M196" s="44">
        <f>3628399+255418+362004</f>
        <v>4245821</v>
      </c>
      <c r="N196" s="44"/>
      <c r="O196" s="44">
        <v>85961</v>
      </c>
      <c r="P196" s="44"/>
      <c r="Q196" s="44">
        <v>434837</v>
      </c>
      <c r="R196" s="44"/>
      <c r="S196" s="44">
        <v>150992</v>
      </c>
      <c r="T196" s="44"/>
      <c r="U196" s="44">
        <f>9026+116938</f>
        <v>125964</v>
      </c>
      <c r="V196" s="44"/>
      <c r="W196" s="44">
        <v>0</v>
      </c>
      <c r="X196" s="44"/>
      <c r="Y196" s="44">
        <v>0</v>
      </c>
      <c r="Z196" s="44"/>
      <c r="AA196" s="44">
        <f t="shared" si="11"/>
        <v>6066081</v>
      </c>
      <c r="AB196" s="44"/>
      <c r="AC196" s="44">
        <f t="shared" si="12"/>
        <v>7484091</v>
      </c>
    </row>
    <row r="197" spans="1:31" s="47" customFormat="1" ht="12.75" customHeight="1" x14ac:dyDescent="0.2">
      <c r="A197" s="47" t="s">
        <v>76</v>
      </c>
      <c r="C197" s="47" t="s">
        <v>132</v>
      </c>
      <c r="E197" s="44">
        <v>4220550</v>
      </c>
      <c r="F197" s="44"/>
      <c r="G197" s="44">
        <v>3742313</v>
      </c>
      <c r="H197" s="44"/>
      <c r="I197" s="44">
        <v>1074582</v>
      </c>
      <c r="J197" s="44"/>
      <c r="K197" s="44">
        <f>1582982+260218+433693</f>
        <v>2276893</v>
      </c>
      <c r="L197" s="44"/>
      <c r="M197" s="44">
        <f>6473159+422949+338360</f>
        <v>7234468</v>
      </c>
      <c r="N197" s="44"/>
      <c r="O197" s="44">
        <f>554005+3835778+350146</f>
        <v>4739929</v>
      </c>
      <c r="P197" s="44"/>
      <c r="Q197" s="44">
        <v>1343834</v>
      </c>
      <c r="R197" s="44"/>
      <c r="S197" s="44">
        <v>303999</v>
      </c>
      <c r="T197" s="44"/>
      <c r="U197" s="44">
        <v>1112606</v>
      </c>
      <c r="V197" s="44"/>
      <c r="W197" s="44">
        <v>161158</v>
      </c>
      <c r="X197" s="44"/>
      <c r="Y197" s="44">
        <v>-2613682</v>
      </c>
      <c r="Z197" s="44"/>
      <c r="AA197" s="44">
        <f t="shared" si="11"/>
        <v>14559205</v>
      </c>
      <c r="AB197" s="44"/>
      <c r="AC197" s="44">
        <f t="shared" si="12"/>
        <v>23596650</v>
      </c>
      <c r="AE197" s="44"/>
    </row>
    <row r="198" spans="1:31" s="47" customFormat="1" ht="12.75" customHeight="1" x14ac:dyDescent="0.2">
      <c r="A198" s="47" t="s">
        <v>224</v>
      </c>
      <c r="C198" s="47" t="s">
        <v>27</v>
      </c>
      <c r="E198" s="44">
        <v>1695193</v>
      </c>
      <c r="F198" s="44"/>
      <c r="G198" s="44">
        <v>608791</v>
      </c>
      <c r="H198" s="44"/>
      <c r="I198" s="44">
        <v>725973</v>
      </c>
      <c r="J198" s="44"/>
      <c r="K198" s="44">
        <f>862149+1207103+418674</f>
        <v>2487926</v>
      </c>
      <c r="L198" s="44"/>
      <c r="M198" s="44">
        <v>4878069</v>
      </c>
      <c r="N198" s="44"/>
      <c r="O198" s="44">
        <v>236415</v>
      </c>
      <c r="P198" s="44"/>
      <c r="Q198" s="44">
        <v>1302102</v>
      </c>
      <c r="R198" s="44"/>
      <c r="S198" s="44">
        <v>145765</v>
      </c>
      <c r="T198" s="44"/>
      <c r="U198" s="44">
        <v>926987</v>
      </c>
      <c r="V198" s="44"/>
      <c r="W198" s="44">
        <v>0</v>
      </c>
      <c r="X198" s="44"/>
      <c r="Y198" s="44">
        <v>0</v>
      </c>
      <c r="Z198" s="44"/>
      <c r="AA198" s="44">
        <f t="shared" si="11"/>
        <v>9977264</v>
      </c>
      <c r="AB198" s="44"/>
      <c r="AC198" s="44">
        <f t="shared" si="12"/>
        <v>13007221</v>
      </c>
    </row>
    <row r="199" spans="1:31" s="47" customFormat="1" ht="12.75" customHeight="1" x14ac:dyDescent="0.2">
      <c r="A199" s="47" t="s">
        <v>225</v>
      </c>
      <c r="C199" s="47" t="s">
        <v>27</v>
      </c>
      <c r="E199" s="44">
        <v>10293023</v>
      </c>
      <c r="F199" s="44"/>
      <c r="G199" s="44">
        <v>3986927</v>
      </c>
      <c r="H199" s="44"/>
      <c r="I199" s="44">
        <v>709369</v>
      </c>
      <c r="J199" s="44"/>
      <c r="K199" s="44">
        <f>6398559+412750</f>
        <v>6811309</v>
      </c>
      <c r="L199" s="44"/>
      <c r="M199" s="44">
        <v>21388326</v>
      </c>
      <c r="N199" s="44"/>
      <c r="O199" s="44">
        <v>53974</v>
      </c>
      <c r="P199" s="44"/>
      <c r="Q199" s="44">
        <v>8459326</v>
      </c>
      <c r="R199" s="44"/>
      <c r="S199" s="44">
        <v>345261</v>
      </c>
      <c r="T199" s="44"/>
      <c r="U199" s="44">
        <v>185553</v>
      </c>
      <c r="V199" s="44"/>
      <c r="W199" s="44">
        <v>0</v>
      </c>
      <c r="X199" s="44"/>
      <c r="Y199" s="44">
        <v>0</v>
      </c>
      <c r="Z199" s="44"/>
      <c r="AA199" s="44">
        <f t="shared" ref="AA199:AA201" si="13">SUM(K199:Y199)</f>
        <v>37243749</v>
      </c>
      <c r="AB199" s="44"/>
      <c r="AC199" s="44">
        <f t="shared" ref="AC199:AC201" si="14">SUM(E199:Y199)</f>
        <v>52233068</v>
      </c>
    </row>
    <row r="200" spans="1:31" s="47" customFormat="1" ht="12.75" customHeight="1" x14ac:dyDescent="0.2">
      <c r="A200" s="47" t="s">
        <v>471</v>
      </c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8" t="s">
        <v>484</v>
      </c>
    </row>
    <row r="201" spans="1:31" s="47" customFormat="1" ht="12.75" customHeight="1" x14ac:dyDescent="0.2">
      <c r="A201" s="47" t="s">
        <v>226</v>
      </c>
      <c r="C201" s="47" t="s">
        <v>45</v>
      </c>
      <c r="E201" s="46">
        <v>1605751</v>
      </c>
      <c r="F201" s="46"/>
      <c r="G201" s="46">
        <v>2627355</v>
      </c>
      <c r="H201" s="46"/>
      <c r="I201" s="46">
        <v>209596</v>
      </c>
      <c r="J201" s="46"/>
      <c r="K201" s="46">
        <v>0</v>
      </c>
      <c r="L201" s="46"/>
      <c r="M201" s="46">
        <v>19970964</v>
      </c>
      <c r="N201" s="46"/>
      <c r="O201" s="46">
        <f>89592+788376</f>
        <v>877968</v>
      </c>
      <c r="P201" s="46"/>
      <c r="Q201" s="46">
        <v>1326156</v>
      </c>
      <c r="R201" s="46"/>
      <c r="S201" s="46">
        <v>15512</v>
      </c>
      <c r="T201" s="46"/>
      <c r="U201" s="46">
        <v>978878</v>
      </c>
      <c r="V201" s="46"/>
      <c r="W201" s="46">
        <v>0</v>
      </c>
      <c r="X201" s="46"/>
      <c r="Y201" s="46">
        <v>0</v>
      </c>
      <c r="Z201" s="46"/>
      <c r="AA201" s="46">
        <f t="shared" si="13"/>
        <v>23169478</v>
      </c>
      <c r="AB201" s="46"/>
      <c r="AC201" s="46">
        <f t="shared" si="14"/>
        <v>27612180</v>
      </c>
    </row>
    <row r="202" spans="1:31" s="46" customFormat="1" ht="12.75" customHeight="1" x14ac:dyDescent="0.2">
      <c r="A202" s="46" t="s">
        <v>227</v>
      </c>
      <c r="C202" s="46" t="s">
        <v>17</v>
      </c>
      <c r="E202" s="44">
        <v>1147858</v>
      </c>
      <c r="F202" s="44"/>
      <c r="G202" s="44">
        <v>0</v>
      </c>
      <c r="H202" s="44"/>
      <c r="I202" s="44">
        <v>115000</v>
      </c>
      <c r="J202" s="44"/>
      <c r="K202" s="44">
        <f>333857+75473+824452</f>
        <v>1233782</v>
      </c>
      <c r="L202" s="44"/>
      <c r="M202" s="44">
        <f>1672615+409960</f>
        <v>2082575</v>
      </c>
      <c r="N202" s="44"/>
      <c r="O202" s="44">
        <v>0</v>
      </c>
      <c r="P202" s="44"/>
      <c r="Q202" s="44">
        <v>892958</v>
      </c>
      <c r="R202" s="44"/>
      <c r="S202" s="44">
        <v>1811</v>
      </c>
      <c r="T202" s="44"/>
      <c r="U202" s="44">
        <v>679069</v>
      </c>
      <c r="V202" s="44"/>
      <c r="W202" s="44">
        <v>0</v>
      </c>
      <c r="X202" s="44"/>
      <c r="Y202" s="44">
        <v>0</v>
      </c>
      <c r="Z202" s="44"/>
      <c r="AA202" s="44">
        <f t="shared" ref="AA202:AA239" si="15">SUM(K202:Y202)</f>
        <v>4890195</v>
      </c>
      <c r="AB202" s="44"/>
      <c r="AC202" s="44">
        <f t="shared" ref="AC202:AC261" si="16">SUM(E202:Y202)</f>
        <v>6153053</v>
      </c>
    </row>
    <row r="203" spans="1:31" s="47" customFormat="1" ht="12.75" customHeight="1" x14ac:dyDescent="0.2">
      <c r="A203" s="47" t="s">
        <v>228</v>
      </c>
      <c r="C203" s="47" t="s">
        <v>153</v>
      </c>
      <c r="E203" s="44">
        <v>868251</v>
      </c>
      <c r="F203" s="44"/>
      <c r="G203" s="44">
        <v>1914315</v>
      </c>
      <c r="H203" s="44"/>
      <c r="I203" s="44">
        <v>135668</v>
      </c>
      <c r="J203" s="44"/>
      <c r="K203" s="44">
        <f>222574+420029</f>
        <v>642603</v>
      </c>
      <c r="L203" s="44"/>
      <c r="M203" s="44">
        <v>3040428</v>
      </c>
      <c r="N203" s="44"/>
      <c r="O203" s="44">
        <v>360742</v>
      </c>
      <c r="P203" s="44"/>
      <c r="Q203" s="44">
        <v>689335</v>
      </c>
      <c r="R203" s="44"/>
      <c r="S203" s="44">
        <v>15822</v>
      </c>
      <c r="T203" s="44"/>
      <c r="U203" s="44">
        <v>59597</v>
      </c>
      <c r="V203" s="44"/>
      <c r="W203" s="44">
        <v>0</v>
      </c>
      <c r="X203" s="44"/>
      <c r="Y203" s="44">
        <v>0</v>
      </c>
      <c r="Z203" s="44"/>
      <c r="AA203" s="44">
        <f t="shared" si="15"/>
        <v>4808527</v>
      </c>
      <c r="AB203" s="44"/>
      <c r="AC203" s="44">
        <f t="shared" si="16"/>
        <v>7726761</v>
      </c>
    </row>
    <row r="204" spans="1:31" s="47" customFormat="1" ht="12.75" customHeight="1" x14ac:dyDescent="0.2">
      <c r="A204" s="47" t="s">
        <v>229</v>
      </c>
      <c r="C204" s="47" t="s">
        <v>228</v>
      </c>
      <c r="E204" s="44">
        <v>1804099</v>
      </c>
      <c r="F204" s="44"/>
      <c r="G204" s="44">
        <v>1288070</v>
      </c>
      <c r="H204" s="44"/>
      <c r="I204" s="44">
        <v>3514293</v>
      </c>
      <c r="J204" s="44"/>
      <c r="K204" s="44">
        <v>1180084</v>
      </c>
      <c r="L204" s="44"/>
      <c r="M204" s="44">
        <v>12833355</v>
      </c>
      <c r="N204" s="44"/>
      <c r="O204" s="44">
        <v>864316</v>
      </c>
      <c r="P204" s="44"/>
      <c r="Q204" s="44">
        <v>886421</v>
      </c>
      <c r="R204" s="44"/>
      <c r="S204" s="44">
        <v>126830</v>
      </c>
      <c r="T204" s="44"/>
      <c r="U204" s="44">
        <f>282027+56952</f>
        <v>338979</v>
      </c>
      <c r="V204" s="44"/>
      <c r="W204" s="44">
        <v>-126500</v>
      </c>
      <c r="X204" s="44"/>
      <c r="Y204" s="44">
        <v>0</v>
      </c>
      <c r="Z204" s="44"/>
      <c r="AA204" s="44">
        <f t="shared" si="15"/>
        <v>16103485</v>
      </c>
      <c r="AB204" s="44"/>
      <c r="AC204" s="44">
        <f t="shared" si="16"/>
        <v>22709947</v>
      </c>
    </row>
    <row r="205" spans="1:31" s="122" customFormat="1" ht="12.75" hidden="1" customHeight="1" x14ac:dyDescent="0.2">
      <c r="A205" s="122" t="s">
        <v>230</v>
      </c>
      <c r="C205" s="122" t="s">
        <v>45</v>
      </c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>
        <f t="shared" si="15"/>
        <v>0</v>
      </c>
      <c r="AB205" s="121"/>
      <c r="AC205" s="121">
        <f t="shared" si="16"/>
        <v>0</v>
      </c>
      <c r="AD205" s="121" t="s">
        <v>509</v>
      </c>
    </row>
    <row r="206" spans="1:31" s="47" customFormat="1" ht="12.75" customHeight="1" x14ac:dyDescent="0.2">
      <c r="A206" s="47" t="s">
        <v>231</v>
      </c>
      <c r="C206" s="47" t="s">
        <v>27</v>
      </c>
      <c r="E206" s="44">
        <v>4882608</v>
      </c>
      <c r="F206" s="44"/>
      <c r="G206" s="44">
        <v>1407239</v>
      </c>
      <c r="H206" s="44"/>
      <c r="I206" s="44">
        <v>149004</v>
      </c>
      <c r="J206" s="44"/>
      <c r="K206" s="44">
        <f>1338758+1419400+407280+610920+389788</f>
        <v>4166146</v>
      </c>
      <c r="L206" s="44"/>
      <c r="M206" s="44">
        <f>29071231+9524829+78167</f>
        <v>38674227</v>
      </c>
      <c r="N206" s="44"/>
      <c r="O206" s="44">
        <v>0</v>
      </c>
      <c r="P206" s="44"/>
      <c r="Q206" s="44">
        <v>1846601</v>
      </c>
      <c r="R206" s="44"/>
      <c r="S206" s="44">
        <v>607074</v>
      </c>
      <c r="T206" s="44"/>
      <c r="U206" s="44">
        <f>47632+522228</f>
        <v>569860</v>
      </c>
      <c r="V206" s="44"/>
      <c r="W206" s="44">
        <v>289935</v>
      </c>
      <c r="X206" s="44"/>
      <c r="Y206" s="44">
        <v>0</v>
      </c>
      <c r="Z206" s="44"/>
      <c r="AA206" s="44">
        <f t="shared" si="15"/>
        <v>46153843</v>
      </c>
      <c r="AB206" s="44"/>
      <c r="AC206" s="44">
        <f t="shared" si="16"/>
        <v>52592694</v>
      </c>
    </row>
    <row r="207" spans="1:31" s="47" customFormat="1" ht="12.75" customHeight="1" x14ac:dyDescent="0.2">
      <c r="A207" s="47" t="s">
        <v>232</v>
      </c>
      <c r="C207" s="47" t="s">
        <v>27</v>
      </c>
      <c r="E207" s="44">
        <v>4966892</v>
      </c>
      <c r="F207" s="44"/>
      <c r="G207" s="44">
        <v>1269232</v>
      </c>
      <c r="H207" s="44"/>
      <c r="I207" s="44">
        <v>1992124</v>
      </c>
      <c r="J207" s="44"/>
      <c r="K207" s="44">
        <f>3504567+874193+210272</f>
        <v>4589032</v>
      </c>
      <c r="L207" s="44"/>
      <c r="M207" s="44">
        <v>8914416</v>
      </c>
      <c r="N207" s="44"/>
      <c r="O207" s="44">
        <v>0</v>
      </c>
      <c r="P207" s="44"/>
      <c r="Q207" s="44">
        <v>2520328</v>
      </c>
      <c r="R207" s="44"/>
      <c r="S207" s="44">
        <v>50287</v>
      </c>
      <c r="T207" s="44"/>
      <c r="U207" s="44">
        <f>260082+603868</f>
        <v>863950</v>
      </c>
      <c r="V207" s="44"/>
      <c r="W207" s="44">
        <v>0</v>
      </c>
      <c r="X207" s="44"/>
      <c r="Y207" s="44">
        <v>-11843873</v>
      </c>
      <c r="Z207" s="44"/>
      <c r="AA207" s="44">
        <f t="shared" si="15"/>
        <v>5094140</v>
      </c>
      <c r="AB207" s="44"/>
      <c r="AC207" s="44">
        <f t="shared" si="16"/>
        <v>13322388</v>
      </c>
    </row>
    <row r="208" spans="1:31" s="47" customFormat="1" ht="12.75" customHeight="1" x14ac:dyDescent="0.2">
      <c r="A208" s="47" t="s">
        <v>233</v>
      </c>
      <c r="C208" s="47" t="s">
        <v>111</v>
      </c>
      <c r="E208" s="44">
        <v>2041193</v>
      </c>
      <c r="F208" s="44"/>
      <c r="G208" s="44">
        <v>938552</v>
      </c>
      <c r="H208" s="44"/>
      <c r="I208" s="44">
        <v>1146666</v>
      </c>
      <c r="J208" s="44"/>
      <c r="K208" s="44">
        <v>636375</v>
      </c>
      <c r="L208" s="44"/>
      <c r="M208" s="44">
        <v>9595447</v>
      </c>
      <c r="N208" s="44"/>
      <c r="O208" s="44">
        <f>67699+217620</f>
        <v>285319</v>
      </c>
      <c r="P208" s="44"/>
      <c r="Q208" s="44">
        <v>506161</v>
      </c>
      <c r="R208" s="44"/>
      <c r="S208" s="44">
        <v>108369</v>
      </c>
      <c r="T208" s="44"/>
      <c r="U208" s="44">
        <f>-59560+298875</f>
        <v>239315</v>
      </c>
      <c r="V208" s="44"/>
      <c r="W208" s="44">
        <v>-1585560</v>
      </c>
      <c r="X208" s="44"/>
      <c r="Y208" s="44">
        <v>0</v>
      </c>
      <c r="Z208" s="44"/>
      <c r="AA208" s="44">
        <f t="shared" si="15"/>
        <v>9785426</v>
      </c>
      <c r="AB208" s="44"/>
      <c r="AC208" s="44">
        <f t="shared" si="16"/>
        <v>13911837</v>
      </c>
    </row>
    <row r="209" spans="1:30" s="47" customFormat="1" ht="12.75" customHeight="1" x14ac:dyDescent="0.2">
      <c r="A209" s="47" t="s">
        <v>234</v>
      </c>
      <c r="C209" s="47" t="s">
        <v>45</v>
      </c>
      <c r="E209" s="44">
        <v>970494</v>
      </c>
      <c r="F209" s="44"/>
      <c r="G209" s="44">
        <v>121159</v>
      </c>
      <c r="H209" s="44"/>
      <c r="I209" s="44">
        <v>88541</v>
      </c>
      <c r="J209" s="44"/>
      <c r="K209" s="44">
        <v>1125767</v>
      </c>
      <c r="L209" s="44"/>
      <c r="M209" s="44">
        <v>12092698</v>
      </c>
      <c r="N209" s="44"/>
      <c r="O209" s="44">
        <f>552218+162010</f>
        <v>714228</v>
      </c>
      <c r="P209" s="44"/>
      <c r="Q209" s="44">
        <v>1873767</v>
      </c>
      <c r="R209" s="44"/>
      <c r="S209" s="44">
        <v>16504</v>
      </c>
      <c r="T209" s="44"/>
      <c r="U209" s="44">
        <v>400816</v>
      </c>
      <c r="V209" s="44"/>
      <c r="W209" s="44">
        <v>0</v>
      </c>
      <c r="X209" s="44"/>
      <c r="Y209" s="44">
        <v>0</v>
      </c>
      <c r="Z209" s="44"/>
      <c r="AA209" s="44">
        <f t="shared" si="15"/>
        <v>16223780</v>
      </c>
      <c r="AB209" s="44"/>
      <c r="AC209" s="44">
        <f t="shared" si="16"/>
        <v>17403974</v>
      </c>
    </row>
    <row r="210" spans="1:30" s="47" customFormat="1" ht="12.75" customHeight="1" x14ac:dyDescent="0.2">
      <c r="A210" s="47" t="s">
        <v>235</v>
      </c>
      <c r="C210" s="47" t="s">
        <v>183</v>
      </c>
      <c r="E210" s="44">
        <v>7438393</v>
      </c>
      <c r="F210" s="44"/>
      <c r="G210" s="44">
        <v>12767752</v>
      </c>
      <c r="H210" s="44"/>
      <c r="I210" s="44">
        <v>8819203</v>
      </c>
      <c r="J210" s="44"/>
      <c r="K210" s="44">
        <v>2611990</v>
      </c>
      <c r="L210" s="44"/>
      <c r="M210" s="44">
        <v>28545460</v>
      </c>
      <c r="N210" s="44"/>
      <c r="O210" s="44">
        <v>622272</v>
      </c>
      <c r="P210" s="44"/>
      <c r="Q210" s="44">
        <f>6622792+2696423</f>
        <v>9319215</v>
      </c>
      <c r="R210" s="44"/>
      <c r="S210" s="44">
        <v>344139</v>
      </c>
      <c r="T210" s="44"/>
      <c r="U210" s="44">
        <v>3172154</v>
      </c>
      <c r="V210" s="44"/>
      <c r="W210" s="44">
        <v>-134967</v>
      </c>
      <c r="X210" s="44"/>
      <c r="Y210" s="44">
        <v>0</v>
      </c>
      <c r="Z210" s="44"/>
      <c r="AA210" s="44">
        <f t="shared" si="15"/>
        <v>44480263</v>
      </c>
      <c r="AB210" s="44"/>
      <c r="AC210" s="44">
        <f t="shared" si="16"/>
        <v>73505611</v>
      </c>
    </row>
    <row r="211" spans="1:30" s="47" customFormat="1" ht="12.75" customHeight="1" x14ac:dyDescent="0.2">
      <c r="A211" s="47" t="s">
        <v>236</v>
      </c>
      <c r="C211" s="47" t="s">
        <v>45</v>
      </c>
      <c r="E211" s="44">
        <v>313538</v>
      </c>
      <c r="F211" s="44"/>
      <c r="G211" s="44">
        <v>1208163</v>
      </c>
      <c r="H211" s="44"/>
      <c r="I211" s="44">
        <v>0</v>
      </c>
      <c r="J211" s="44"/>
      <c r="K211" s="44">
        <v>1734095</v>
      </c>
      <c r="L211" s="44"/>
      <c r="M211" s="44">
        <v>9915393</v>
      </c>
      <c r="N211" s="44"/>
      <c r="O211" s="44">
        <v>0</v>
      </c>
      <c r="P211" s="44"/>
      <c r="Q211" s="44">
        <v>994245</v>
      </c>
      <c r="R211" s="44"/>
      <c r="S211" s="44">
        <v>44774</v>
      </c>
      <c r="T211" s="44"/>
      <c r="U211" s="44">
        <v>475388</v>
      </c>
      <c r="V211" s="44"/>
      <c r="W211" s="44">
        <v>0</v>
      </c>
      <c r="X211" s="44"/>
      <c r="Y211" s="44">
        <v>0</v>
      </c>
      <c r="Z211" s="44"/>
      <c r="AA211" s="44">
        <f t="shared" si="15"/>
        <v>13163895</v>
      </c>
      <c r="AB211" s="44"/>
      <c r="AC211" s="44">
        <f t="shared" si="16"/>
        <v>14685596</v>
      </c>
    </row>
    <row r="212" spans="1:30" s="47" customFormat="1" ht="12.75" customHeight="1" x14ac:dyDescent="0.2">
      <c r="A212" s="47" t="s">
        <v>237</v>
      </c>
      <c r="C212" s="47" t="s">
        <v>33</v>
      </c>
      <c r="E212" s="44">
        <v>288022</v>
      </c>
      <c r="F212" s="44"/>
      <c r="G212" s="44">
        <v>451675</v>
      </c>
      <c r="H212" s="44"/>
      <c r="I212" s="44">
        <v>274207</v>
      </c>
      <c r="J212" s="44"/>
      <c r="K212" s="44">
        <f>244853+535290</f>
        <v>780143</v>
      </c>
      <c r="L212" s="44"/>
      <c r="M212" s="44">
        <f>344229*2</f>
        <v>688458</v>
      </c>
      <c r="N212" s="44"/>
      <c r="O212" s="44">
        <v>205005</v>
      </c>
      <c r="P212" s="44"/>
      <c r="Q212" s="44">
        <v>579210</v>
      </c>
      <c r="R212" s="44"/>
      <c r="S212" s="44">
        <v>42428</v>
      </c>
      <c r="T212" s="44"/>
      <c r="U212" s="44">
        <v>59514</v>
      </c>
      <c r="V212" s="44"/>
      <c r="W212" s="44">
        <v>0</v>
      </c>
      <c r="X212" s="44"/>
      <c r="Y212" s="44">
        <v>0</v>
      </c>
      <c r="Z212" s="44"/>
      <c r="AA212" s="44">
        <f t="shared" si="15"/>
        <v>2354758</v>
      </c>
      <c r="AB212" s="44"/>
      <c r="AC212" s="44">
        <f t="shared" si="16"/>
        <v>3368662</v>
      </c>
    </row>
    <row r="213" spans="1:30" s="47" customFormat="1" ht="12.75" customHeight="1" x14ac:dyDescent="0.2">
      <c r="A213" s="47" t="s">
        <v>238</v>
      </c>
      <c r="C213" s="47" t="s">
        <v>239</v>
      </c>
      <c r="E213" s="44">
        <v>808723</v>
      </c>
      <c r="F213" s="44"/>
      <c r="G213" s="44">
        <v>375910</v>
      </c>
      <c r="H213" s="44"/>
      <c r="I213" s="44">
        <v>171010</v>
      </c>
      <c r="J213" s="44"/>
      <c r="K213" s="44">
        <f>1112718+68730</f>
        <v>1181448</v>
      </c>
      <c r="L213" s="44"/>
      <c r="M213" s="44">
        <f>1840489+398665+1374459</f>
        <v>3613613</v>
      </c>
      <c r="N213" s="44"/>
      <c r="O213" s="44">
        <v>0</v>
      </c>
      <c r="P213" s="44"/>
      <c r="Q213" s="44">
        <v>587276</v>
      </c>
      <c r="R213" s="44"/>
      <c r="S213" s="44">
        <v>72902</v>
      </c>
      <c r="T213" s="44"/>
      <c r="U213" s="44">
        <v>161341</v>
      </c>
      <c r="V213" s="44"/>
      <c r="W213" s="44">
        <v>-815751</v>
      </c>
      <c r="X213" s="44"/>
      <c r="Y213" s="44">
        <v>0</v>
      </c>
      <c r="Z213" s="44"/>
      <c r="AA213" s="44">
        <f t="shared" si="15"/>
        <v>4800829</v>
      </c>
      <c r="AB213" s="44"/>
      <c r="AC213" s="44">
        <f t="shared" si="16"/>
        <v>6156472</v>
      </c>
    </row>
    <row r="214" spans="1:30" s="47" customFormat="1" ht="12.75" customHeight="1" x14ac:dyDescent="0.2">
      <c r="A214" s="47" t="s">
        <v>486</v>
      </c>
      <c r="C214" s="47" t="s">
        <v>249</v>
      </c>
      <c r="E214" s="44">
        <v>1233371</v>
      </c>
      <c r="F214" s="44"/>
      <c r="G214" s="44">
        <v>5814008</v>
      </c>
      <c r="H214" s="44"/>
      <c r="I214" s="44">
        <v>4950871</v>
      </c>
      <c r="J214" s="44"/>
      <c r="K214" s="44">
        <f>1111461+229331</f>
        <v>1340792</v>
      </c>
      <c r="L214" s="44"/>
      <c r="M214" s="44">
        <f>7866863+646294+305337+101779</f>
        <v>8920273</v>
      </c>
      <c r="N214" s="44"/>
      <c r="O214" s="44">
        <v>220348</v>
      </c>
      <c r="P214" s="44"/>
      <c r="Q214" s="44">
        <v>2056140</v>
      </c>
      <c r="R214" s="44"/>
      <c r="S214" s="44">
        <v>9160</v>
      </c>
      <c r="T214" s="44"/>
      <c r="U214" s="44">
        <v>214161</v>
      </c>
      <c r="V214" s="44"/>
      <c r="W214" s="44">
        <v>0</v>
      </c>
      <c r="X214" s="44"/>
      <c r="Y214" s="44">
        <v>0</v>
      </c>
      <c r="Z214" s="44"/>
      <c r="AA214" s="44">
        <f t="shared" si="15"/>
        <v>12760874</v>
      </c>
      <c r="AB214" s="44"/>
      <c r="AC214" s="44">
        <f t="shared" si="16"/>
        <v>24759124</v>
      </c>
    </row>
    <row r="215" spans="1:30" s="47" customFormat="1" ht="12.75" customHeight="1" x14ac:dyDescent="0.2">
      <c r="A215" s="47" t="s">
        <v>240</v>
      </c>
      <c r="C215" s="47" t="s">
        <v>13</v>
      </c>
      <c r="E215" s="44">
        <v>5326344</v>
      </c>
      <c r="F215" s="44"/>
      <c r="G215" s="44">
        <v>2098749</v>
      </c>
      <c r="H215" s="44"/>
      <c r="I215" s="44">
        <v>2042998</v>
      </c>
      <c r="J215" s="44"/>
      <c r="K215" s="44">
        <f>5078207+2428352</f>
        <v>7506559</v>
      </c>
      <c r="L215" s="44"/>
      <c r="M215" s="44">
        <v>12409214</v>
      </c>
      <c r="N215" s="44"/>
      <c r="O215" s="44">
        <v>0</v>
      </c>
      <c r="P215" s="44"/>
      <c r="Q215" s="44">
        <v>2945092</v>
      </c>
      <c r="R215" s="44"/>
      <c r="S215" s="44">
        <v>70797</v>
      </c>
      <c r="T215" s="44"/>
      <c r="U215" s="44">
        <v>396105</v>
      </c>
      <c r="V215" s="44"/>
      <c r="W215" s="44">
        <v>-366417</v>
      </c>
      <c r="X215" s="44"/>
      <c r="Y215" s="44">
        <v>0</v>
      </c>
      <c r="Z215" s="44"/>
      <c r="AA215" s="44">
        <f t="shared" si="15"/>
        <v>22961350</v>
      </c>
      <c r="AB215" s="44"/>
      <c r="AC215" s="44">
        <f t="shared" si="16"/>
        <v>32429441</v>
      </c>
    </row>
    <row r="216" spans="1:30" s="47" customFormat="1" ht="12.75" customHeight="1" x14ac:dyDescent="0.2">
      <c r="A216" s="47" t="s">
        <v>241</v>
      </c>
      <c r="C216" s="47" t="s">
        <v>22</v>
      </c>
      <c r="E216" s="44">
        <v>1513987</v>
      </c>
      <c r="F216" s="44"/>
      <c r="G216" s="44">
        <v>867615</v>
      </c>
      <c r="H216" s="44"/>
      <c r="I216" s="44">
        <v>763600</v>
      </c>
      <c r="J216" s="44"/>
      <c r="K216" s="44">
        <f>758425+278052+119167+125437</f>
        <v>1281081</v>
      </c>
      <c r="L216" s="44"/>
      <c r="M216" s="44">
        <f>7390701+259295+1715617</f>
        <v>9365613</v>
      </c>
      <c r="N216" s="44"/>
      <c r="O216" s="44">
        <v>372590</v>
      </c>
      <c r="P216" s="44"/>
      <c r="Q216" s="44">
        <v>497143</v>
      </c>
      <c r="R216" s="44"/>
      <c r="S216" s="44">
        <v>8804</v>
      </c>
      <c r="T216" s="44"/>
      <c r="U216" s="44">
        <v>71582</v>
      </c>
      <c r="V216" s="44"/>
      <c r="W216" s="44">
        <v>-21679</v>
      </c>
      <c r="X216" s="44"/>
      <c r="Y216" s="44">
        <v>0</v>
      </c>
      <c r="Z216" s="44"/>
      <c r="AA216" s="44">
        <f t="shared" si="15"/>
        <v>11575134</v>
      </c>
      <c r="AB216" s="44"/>
      <c r="AC216" s="44">
        <f t="shared" si="16"/>
        <v>14720336</v>
      </c>
    </row>
    <row r="217" spans="1:30" s="47" customFormat="1" ht="12.75" customHeight="1" x14ac:dyDescent="0.2">
      <c r="A217" s="47" t="s">
        <v>242</v>
      </c>
      <c r="C217" s="47" t="s">
        <v>27</v>
      </c>
      <c r="E217" s="44">
        <v>5931534</v>
      </c>
      <c r="F217" s="44"/>
      <c r="G217" s="44">
        <v>2086801</v>
      </c>
      <c r="H217" s="44"/>
      <c r="I217" s="44">
        <v>5773857</v>
      </c>
      <c r="J217" s="44"/>
      <c r="K217" s="44">
        <f>424295+3460320+5324748</f>
        <v>9209363</v>
      </c>
      <c r="L217" s="44"/>
      <c r="M217" s="44">
        <f>26251391+2625174</f>
        <v>28876565</v>
      </c>
      <c r="N217" s="44"/>
      <c r="O217" s="44">
        <f>171572+325245+645974+848939</f>
        <v>1991730</v>
      </c>
      <c r="P217" s="44"/>
      <c r="Q217" s="44">
        <v>3673797</v>
      </c>
      <c r="R217" s="44"/>
      <c r="S217" s="44">
        <v>174298</v>
      </c>
      <c r="T217" s="44"/>
      <c r="U217" s="44">
        <v>4708</v>
      </c>
      <c r="V217" s="44"/>
      <c r="W217" s="44">
        <v>0</v>
      </c>
      <c r="X217" s="44"/>
      <c r="Y217" s="44">
        <v>0</v>
      </c>
      <c r="Z217" s="44"/>
      <c r="AA217" s="44">
        <f t="shared" si="15"/>
        <v>43930461</v>
      </c>
      <c r="AB217" s="44"/>
      <c r="AC217" s="44">
        <f t="shared" si="16"/>
        <v>57722653</v>
      </c>
    </row>
    <row r="218" spans="1:30" s="47" customFormat="1" ht="12.75" customHeight="1" x14ac:dyDescent="0.2">
      <c r="A218" s="47" t="s">
        <v>243</v>
      </c>
      <c r="C218" s="47" t="s">
        <v>163</v>
      </c>
      <c r="E218" s="44">
        <v>1792132</v>
      </c>
      <c r="F218" s="44"/>
      <c r="G218" s="44">
        <v>1959821</v>
      </c>
      <c r="H218" s="44"/>
      <c r="I218" s="44">
        <v>272706</v>
      </c>
      <c r="J218" s="44"/>
      <c r="K218" s="44">
        <v>1306732</v>
      </c>
      <c r="L218" s="44"/>
      <c r="M218" s="44">
        <v>8719891</v>
      </c>
      <c r="N218" s="44"/>
      <c r="O218" s="44">
        <v>0</v>
      </c>
      <c r="P218" s="44"/>
      <c r="Q218" s="44">
        <v>1614469</v>
      </c>
      <c r="R218" s="44"/>
      <c r="S218" s="44">
        <v>185794</v>
      </c>
      <c r="T218" s="44"/>
      <c r="U218" s="44">
        <v>293722</v>
      </c>
      <c r="V218" s="44"/>
      <c r="W218" s="44">
        <v>-31034</v>
      </c>
      <c r="X218" s="44"/>
      <c r="Y218" s="44">
        <v>0</v>
      </c>
      <c r="Z218" s="44"/>
      <c r="AA218" s="44">
        <f t="shared" si="15"/>
        <v>12089574</v>
      </c>
      <c r="AB218" s="44"/>
      <c r="AC218" s="44">
        <f t="shared" si="16"/>
        <v>16114233</v>
      </c>
    </row>
    <row r="219" spans="1:30" s="47" customFormat="1" ht="12.75" customHeight="1" x14ac:dyDescent="0.2">
      <c r="A219" s="47" t="s">
        <v>244</v>
      </c>
      <c r="C219" s="47" t="s">
        <v>13</v>
      </c>
      <c r="E219" s="44">
        <v>2670282</v>
      </c>
      <c r="F219" s="44"/>
      <c r="G219" s="44">
        <v>954482</v>
      </c>
      <c r="H219" s="44"/>
      <c r="I219" s="44">
        <v>426352</v>
      </c>
      <c r="J219" s="44"/>
      <c r="K219" s="44">
        <f>761493+1394224+108550</f>
        <v>2264267</v>
      </c>
      <c r="L219" s="44"/>
      <c r="M219" s="44">
        <v>7957003</v>
      </c>
      <c r="N219" s="44"/>
      <c r="O219" s="44">
        <v>0</v>
      </c>
      <c r="P219" s="44"/>
      <c r="Q219" s="44">
        <v>2317116</v>
      </c>
      <c r="R219" s="44"/>
      <c r="S219" s="44">
        <v>32582</v>
      </c>
      <c r="T219" s="44"/>
      <c r="U219" s="44">
        <v>96496</v>
      </c>
      <c r="V219" s="44"/>
      <c r="W219" s="44">
        <v>0</v>
      </c>
      <c r="X219" s="44"/>
      <c r="Y219" s="44">
        <v>0</v>
      </c>
      <c r="Z219" s="44"/>
      <c r="AA219" s="44">
        <f t="shared" si="15"/>
        <v>12667464</v>
      </c>
      <c r="AB219" s="44"/>
      <c r="AC219" s="44">
        <f t="shared" si="16"/>
        <v>16718580</v>
      </c>
    </row>
    <row r="220" spans="1:30" s="47" customFormat="1" ht="12.75" customHeight="1" x14ac:dyDescent="0.2">
      <c r="A220" s="47" t="s">
        <v>245</v>
      </c>
      <c r="C220" s="47" t="s">
        <v>110</v>
      </c>
      <c r="E220" s="44">
        <v>1350752</v>
      </c>
      <c r="F220" s="44"/>
      <c r="G220" s="44">
        <v>1397888</v>
      </c>
      <c r="H220" s="44"/>
      <c r="I220" s="44">
        <v>215776</v>
      </c>
      <c r="J220" s="44"/>
      <c r="K220" s="44">
        <f>1378506+118745+118745</f>
        <v>1615996</v>
      </c>
      <c r="L220" s="44"/>
      <c r="M220" s="44">
        <v>7260655</v>
      </c>
      <c r="N220" s="44"/>
      <c r="O220" s="44">
        <v>58606</v>
      </c>
      <c r="P220" s="44"/>
      <c r="Q220" s="44">
        <v>1055664</v>
      </c>
      <c r="R220" s="44"/>
      <c r="S220" s="44">
        <v>10023</v>
      </c>
      <c r="T220" s="44"/>
      <c r="U220" s="44">
        <f>118005+95696+26234</f>
        <v>239935</v>
      </c>
      <c r="V220" s="44"/>
      <c r="W220" s="44">
        <v>0</v>
      </c>
      <c r="X220" s="44"/>
      <c r="Y220" s="44">
        <v>0</v>
      </c>
      <c r="Z220" s="44"/>
      <c r="AA220" s="44">
        <f t="shared" si="15"/>
        <v>10240879</v>
      </c>
      <c r="AB220" s="44"/>
      <c r="AC220" s="44">
        <f t="shared" si="16"/>
        <v>13205295</v>
      </c>
    </row>
    <row r="221" spans="1:30" s="47" customFormat="1" ht="12.75" customHeight="1" x14ac:dyDescent="0.2">
      <c r="A221" s="47" t="s">
        <v>246</v>
      </c>
      <c r="C221" s="47" t="s">
        <v>209</v>
      </c>
      <c r="E221" s="44">
        <v>1375934</v>
      </c>
      <c r="F221" s="44"/>
      <c r="G221" s="44">
        <v>649294</v>
      </c>
      <c r="H221" s="44"/>
      <c r="I221" s="44">
        <v>926961</v>
      </c>
      <c r="J221" s="44"/>
      <c r="K221" s="44">
        <v>323887</v>
      </c>
      <c r="L221" s="44"/>
      <c r="M221" s="44">
        <v>4006199</v>
      </c>
      <c r="N221" s="44"/>
      <c r="O221" s="44">
        <v>58523</v>
      </c>
      <c r="P221" s="44"/>
      <c r="Q221" s="44">
        <v>1286470</v>
      </c>
      <c r="R221" s="44"/>
      <c r="S221" s="44">
        <v>91692</v>
      </c>
      <c r="T221" s="44"/>
      <c r="U221" s="44">
        <v>1194172</v>
      </c>
      <c r="V221" s="44"/>
      <c r="W221" s="44">
        <v>16000</v>
      </c>
      <c r="X221" s="44"/>
      <c r="Y221" s="44">
        <v>0</v>
      </c>
      <c r="Z221" s="44"/>
      <c r="AA221" s="44">
        <f t="shared" si="15"/>
        <v>6976943</v>
      </c>
      <c r="AB221" s="44"/>
      <c r="AC221" s="44">
        <f t="shared" si="16"/>
        <v>9929132</v>
      </c>
    </row>
    <row r="222" spans="1:30" s="122" customFormat="1" ht="12.75" hidden="1" customHeight="1" x14ac:dyDescent="0.2">
      <c r="A222" s="122" t="s">
        <v>247</v>
      </c>
      <c r="C222" s="122" t="s">
        <v>163</v>
      </c>
      <c r="E222" s="121">
        <v>99428000</v>
      </c>
      <c r="F222" s="121"/>
      <c r="G222" s="121">
        <v>34731000</v>
      </c>
      <c r="H222" s="121"/>
      <c r="I222" s="121">
        <v>4509000</v>
      </c>
      <c r="J222" s="121"/>
      <c r="K222" s="121">
        <v>12168000</v>
      </c>
      <c r="L222" s="121"/>
      <c r="M222" s="121">
        <v>152864000</v>
      </c>
      <c r="N222" s="121"/>
      <c r="O222" s="121">
        <v>0</v>
      </c>
      <c r="P222" s="121"/>
      <c r="Q222" s="121">
        <v>0</v>
      </c>
      <c r="R222" s="121"/>
      <c r="S222" s="121">
        <v>856000</v>
      </c>
      <c r="T222" s="121"/>
      <c r="U222" s="121">
        <f>7036000+859000</f>
        <v>7895000</v>
      </c>
      <c r="V222" s="121"/>
      <c r="W222" s="121">
        <v>10244000</v>
      </c>
      <c r="X222" s="121"/>
      <c r="Y222" s="121">
        <v>0</v>
      </c>
      <c r="Z222" s="121"/>
      <c r="AA222" s="121">
        <f t="shared" si="15"/>
        <v>184027000</v>
      </c>
      <c r="AB222" s="121"/>
      <c r="AC222" s="121">
        <f t="shared" si="16"/>
        <v>322695000</v>
      </c>
      <c r="AD222" s="122" t="s">
        <v>513</v>
      </c>
    </row>
    <row r="223" spans="1:30" s="47" customFormat="1" ht="12.75" customHeight="1" x14ac:dyDescent="0.2">
      <c r="A223" s="47" t="s">
        <v>248</v>
      </c>
      <c r="C223" s="47" t="s">
        <v>249</v>
      </c>
      <c r="E223" s="44">
        <v>206884</v>
      </c>
      <c r="F223" s="44"/>
      <c r="G223" s="44">
        <v>441981</v>
      </c>
      <c r="H223" s="44"/>
      <c r="I223" s="44">
        <v>16388</v>
      </c>
      <c r="J223" s="44"/>
      <c r="K223" s="44">
        <f>116981+41467</f>
        <v>158448</v>
      </c>
      <c r="L223" s="44"/>
      <c r="M223" s="44">
        <v>2494735</v>
      </c>
      <c r="N223" s="44"/>
      <c r="O223" s="44">
        <v>69500</v>
      </c>
      <c r="P223" s="44"/>
      <c r="Q223" s="44">
        <v>256538</v>
      </c>
      <c r="R223" s="44"/>
      <c r="S223" s="44">
        <v>0</v>
      </c>
      <c r="T223" s="44"/>
      <c r="U223" s="44">
        <v>44181</v>
      </c>
      <c r="V223" s="44"/>
      <c r="W223" s="44">
        <v>-94000</v>
      </c>
      <c r="X223" s="44"/>
      <c r="Y223" s="44">
        <v>0</v>
      </c>
      <c r="Z223" s="44"/>
      <c r="AA223" s="44">
        <f t="shared" si="15"/>
        <v>2929402</v>
      </c>
      <c r="AB223" s="44"/>
      <c r="AC223" s="44">
        <f t="shared" si="16"/>
        <v>3594655</v>
      </c>
    </row>
    <row r="224" spans="1:30" s="47" customFormat="1" ht="12.75" customHeight="1" x14ac:dyDescent="0.2">
      <c r="A224" s="47" t="s">
        <v>250</v>
      </c>
      <c r="C224" s="47" t="s">
        <v>103</v>
      </c>
      <c r="E224" s="44">
        <v>277648</v>
      </c>
      <c r="F224" s="44"/>
      <c r="G224" s="44">
        <v>941557</v>
      </c>
      <c r="H224" s="44"/>
      <c r="I224" s="44">
        <v>0</v>
      </c>
      <c r="J224" s="44"/>
      <c r="K224" s="44">
        <v>485164</v>
      </c>
      <c r="L224" s="44"/>
      <c r="M224" s="44">
        <v>1542230</v>
      </c>
      <c r="N224" s="44"/>
      <c r="O224" s="44">
        <f>28623+120819+68020+76350</f>
        <v>293812</v>
      </c>
      <c r="P224" s="44"/>
      <c r="Q224" s="44">
        <v>367655</v>
      </c>
      <c r="R224" s="44"/>
      <c r="S224" s="44">
        <v>27854</v>
      </c>
      <c r="T224" s="44"/>
      <c r="U224" s="44">
        <v>60700</v>
      </c>
      <c r="V224" s="44"/>
      <c r="W224" s="44">
        <v>0</v>
      </c>
      <c r="X224" s="44"/>
      <c r="Y224" s="44">
        <v>0</v>
      </c>
      <c r="Z224" s="44"/>
      <c r="AA224" s="44">
        <f t="shared" si="15"/>
        <v>2777415</v>
      </c>
      <c r="AB224" s="44"/>
      <c r="AC224" s="44">
        <f t="shared" si="16"/>
        <v>3996620</v>
      </c>
    </row>
    <row r="225" spans="1:31" s="47" customFormat="1" ht="12.75" customHeight="1" x14ac:dyDescent="0.2">
      <c r="A225" s="47" t="s">
        <v>251</v>
      </c>
      <c r="C225" s="47" t="s">
        <v>66</v>
      </c>
      <c r="E225" s="44">
        <v>2165391</v>
      </c>
      <c r="F225" s="44"/>
      <c r="G225" s="44">
        <v>1722345</v>
      </c>
      <c r="H225" s="44"/>
      <c r="I225" s="44">
        <v>1465441</v>
      </c>
      <c r="J225" s="44"/>
      <c r="K225" s="44">
        <f>1852469+3451260+77662</f>
        <v>5381391</v>
      </c>
      <c r="L225" s="44"/>
      <c r="M225" s="44">
        <v>5040411</v>
      </c>
      <c r="N225" s="44"/>
      <c r="O225" s="44">
        <v>266173</v>
      </c>
      <c r="P225" s="44"/>
      <c r="Q225" s="44">
        <v>625816</v>
      </c>
      <c r="R225" s="44"/>
      <c r="S225" s="44">
        <v>1628</v>
      </c>
      <c r="T225" s="44"/>
      <c r="U225" s="44">
        <v>265986</v>
      </c>
      <c r="V225" s="44"/>
      <c r="W225" s="44">
        <v>22500</v>
      </c>
      <c r="X225" s="44"/>
      <c r="Y225" s="44">
        <v>0</v>
      </c>
      <c r="Z225" s="44"/>
      <c r="AA225" s="44">
        <f t="shared" si="15"/>
        <v>11603905</v>
      </c>
      <c r="AB225" s="44"/>
      <c r="AC225" s="44">
        <f t="shared" si="16"/>
        <v>16957082</v>
      </c>
    </row>
    <row r="226" spans="1:31" s="47" customFormat="1" ht="12.75" customHeight="1" x14ac:dyDescent="0.2">
      <c r="A226" s="47" t="s">
        <v>252</v>
      </c>
      <c r="C226" s="47" t="s">
        <v>209</v>
      </c>
      <c r="E226" s="44">
        <v>4046374</v>
      </c>
      <c r="F226" s="44"/>
      <c r="G226" s="44">
        <v>1140154</v>
      </c>
      <c r="H226" s="44"/>
      <c r="I226" s="44">
        <v>1951040</v>
      </c>
      <c r="J226" s="44"/>
      <c r="K226" s="44">
        <f>1760509+47119</f>
        <v>1807628</v>
      </c>
      <c r="L226" s="44"/>
      <c r="M226" s="44">
        <v>14186343</v>
      </c>
      <c r="N226" s="44"/>
      <c r="O226" s="44">
        <v>208268</v>
      </c>
      <c r="P226" s="44"/>
      <c r="Q226" s="44">
        <v>1886775</v>
      </c>
      <c r="R226" s="44"/>
      <c r="S226" s="44">
        <v>975686</v>
      </c>
      <c r="T226" s="44"/>
      <c r="U226" s="44">
        <f>290969+95051</f>
        <v>386020</v>
      </c>
      <c r="V226" s="44"/>
      <c r="W226" s="44">
        <v>-645806</v>
      </c>
      <c r="X226" s="44"/>
      <c r="Y226" s="44">
        <v>0</v>
      </c>
      <c r="Z226" s="44"/>
      <c r="AA226" s="44">
        <f t="shared" si="15"/>
        <v>18804914</v>
      </c>
      <c r="AB226" s="44"/>
      <c r="AC226" s="44">
        <f t="shared" si="16"/>
        <v>25942482</v>
      </c>
    </row>
    <row r="227" spans="1:31" s="47" customFormat="1" ht="12.75" customHeight="1" x14ac:dyDescent="0.2">
      <c r="A227" s="47" t="s">
        <v>253</v>
      </c>
      <c r="C227" s="47" t="s">
        <v>13</v>
      </c>
      <c r="E227" s="44">
        <v>2809820</v>
      </c>
      <c r="F227" s="44"/>
      <c r="G227" s="44">
        <v>109477</v>
      </c>
      <c r="H227" s="44"/>
      <c r="I227" s="44">
        <v>819384</v>
      </c>
      <c r="J227" s="44"/>
      <c r="K227" s="44">
        <f>578350+876794</f>
        <v>1455144</v>
      </c>
      <c r="L227" s="44"/>
      <c r="M227" s="44">
        <v>20305224</v>
      </c>
      <c r="N227" s="44"/>
      <c r="O227" s="44">
        <v>0</v>
      </c>
      <c r="P227" s="44"/>
      <c r="Q227" s="44">
        <v>1566739</v>
      </c>
      <c r="R227" s="44"/>
      <c r="S227" s="44">
        <v>49544</v>
      </c>
      <c r="T227" s="44"/>
      <c r="U227" s="44">
        <v>51846</v>
      </c>
      <c r="V227" s="44"/>
      <c r="W227" s="44">
        <v>-2019171</v>
      </c>
      <c r="X227" s="44"/>
      <c r="Y227" s="44">
        <v>0</v>
      </c>
      <c r="Z227" s="44"/>
      <c r="AA227" s="44">
        <f t="shared" si="15"/>
        <v>21409326</v>
      </c>
      <c r="AB227" s="44"/>
      <c r="AC227" s="44">
        <f t="shared" si="16"/>
        <v>25148007</v>
      </c>
    </row>
    <row r="228" spans="1:31" s="47" customFormat="1" ht="12.75" customHeight="1" x14ac:dyDescent="0.2">
      <c r="A228" s="47" t="s">
        <v>254</v>
      </c>
      <c r="C228" s="47" t="s">
        <v>89</v>
      </c>
      <c r="E228" s="44">
        <v>140972</v>
      </c>
      <c r="F228" s="44"/>
      <c r="G228" s="44">
        <v>907683</v>
      </c>
      <c r="H228" s="44"/>
      <c r="I228" s="44">
        <v>206303</v>
      </c>
      <c r="J228" s="44"/>
      <c r="K228" s="44">
        <f>259305+97179+94548+24295+60823+29152</f>
        <v>565302</v>
      </c>
      <c r="L228" s="44"/>
      <c r="M228" s="44">
        <f>1026863+280054</f>
        <v>1306917</v>
      </c>
      <c r="N228" s="44"/>
      <c r="O228" s="44">
        <v>0</v>
      </c>
      <c r="P228" s="44"/>
      <c r="Q228" s="44">
        <v>319915</v>
      </c>
      <c r="R228" s="44"/>
      <c r="S228" s="44">
        <v>8614</v>
      </c>
      <c r="T228" s="44"/>
      <c r="U228" s="44">
        <v>82690</v>
      </c>
      <c r="V228" s="44"/>
      <c r="W228" s="44">
        <v>-182093</v>
      </c>
      <c r="X228" s="44"/>
      <c r="Y228" s="44">
        <v>0</v>
      </c>
      <c r="Z228" s="44"/>
      <c r="AA228" s="44">
        <f t="shared" si="15"/>
        <v>2101345</v>
      </c>
      <c r="AB228" s="44"/>
      <c r="AC228" s="44">
        <f t="shared" si="16"/>
        <v>3356303</v>
      </c>
    </row>
    <row r="229" spans="1:31" s="47" customFormat="1" ht="12.75" customHeight="1" x14ac:dyDescent="0.2">
      <c r="A229" s="47" t="s">
        <v>159</v>
      </c>
      <c r="C229" s="47" t="s">
        <v>66</v>
      </c>
      <c r="E229" s="44">
        <v>1234985</v>
      </c>
      <c r="F229" s="44"/>
      <c r="G229" s="44">
        <v>581408</v>
      </c>
      <c r="H229" s="44"/>
      <c r="I229" s="44">
        <v>61912</v>
      </c>
      <c r="J229" s="44"/>
      <c r="K229" s="44">
        <v>1536149</v>
      </c>
      <c r="L229" s="44"/>
      <c r="M229" s="44">
        <v>561899</v>
      </c>
      <c r="N229" s="44"/>
      <c r="O229" s="44">
        <v>0</v>
      </c>
      <c r="P229" s="44"/>
      <c r="Q229" s="44">
        <v>247728</v>
      </c>
      <c r="R229" s="44"/>
      <c r="S229" s="44">
        <v>1991</v>
      </c>
      <c r="T229" s="44"/>
      <c r="U229" s="44">
        <v>27741</v>
      </c>
      <c r="V229" s="44"/>
      <c r="W229" s="44">
        <v>0</v>
      </c>
      <c r="X229" s="44"/>
      <c r="Y229" s="44">
        <v>0</v>
      </c>
      <c r="Z229" s="44"/>
      <c r="AA229" s="44">
        <f t="shared" si="15"/>
        <v>2375508</v>
      </c>
      <c r="AB229" s="44"/>
      <c r="AC229" s="44">
        <f t="shared" si="16"/>
        <v>4253813</v>
      </c>
    </row>
    <row r="230" spans="1:31" s="47" customFormat="1" ht="12.75" customHeight="1" x14ac:dyDescent="0.2">
      <c r="A230" s="47" t="s">
        <v>255</v>
      </c>
      <c r="C230" s="47" t="s">
        <v>27</v>
      </c>
      <c r="E230" s="44">
        <v>2092656</v>
      </c>
      <c r="F230" s="44"/>
      <c r="G230" s="44">
        <v>751825</v>
      </c>
      <c r="H230" s="44"/>
      <c r="I230" s="44">
        <v>2254131</v>
      </c>
      <c r="J230" s="44"/>
      <c r="K230" s="44">
        <f>2183223+472015+134860</f>
        <v>2790098</v>
      </c>
      <c r="L230" s="44"/>
      <c r="M230" s="44">
        <v>8299220</v>
      </c>
      <c r="N230" s="44"/>
      <c r="O230" s="44">
        <f>149108+2091391</f>
        <v>2240499</v>
      </c>
      <c r="P230" s="44"/>
      <c r="Q230" s="44">
        <v>1087631</v>
      </c>
      <c r="R230" s="44"/>
      <c r="S230" s="44">
        <v>4029</v>
      </c>
      <c r="T230" s="44"/>
      <c r="U230" s="44">
        <f>114141</f>
        <v>114141</v>
      </c>
      <c r="V230" s="44"/>
      <c r="W230" s="44">
        <v>0</v>
      </c>
      <c r="X230" s="44"/>
      <c r="Y230" s="44">
        <v>0</v>
      </c>
      <c r="Z230" s="44"/>
      <c r="AA230" s="44">
        <f t="shared" si="15"/>
        <v>14535618</v>
      </c>
      <c r="AB230" s="44"/>
      <c r="AC230" s="44">
        <f t="shared" si="16"/>
        <v>19634230</v>
      </c>
    </row>
    <row r="231" spans="1:31" s="44" customFormat="1" ht="12.75" customHeight="1" x14ac:dyDescent="0.2">
      <c r="A231" s="44" t="s">
        <v>256</v>
      </c>
      <c r="C231" s="44" t="s">
        <v>43</v>
      </c>
      <c r="E231" s="44">
        <v>4074076</v>
      </c>
      <c r="G231" s="44">
        <v>2181629</v>
      </c>
      <c r="I231" s="44">
        <v>1538728</v>
      </c>
      <c r="K231" s="44">
        <v>9043696</v>
      </c>
      <c r="M231" s="44">
        <v>16045185</v>
      </c>
      <c r="O231" s="44">
        <v>3652119</v>
      </c>
      <c r="Q231" s="44">
        <v>4593081</v>
      </c>
      <c r="S231" s="44">
        <v>609097</v>
      </c>
      <c r="U231" s="44">
        <v>354982</v>
      </c>
      <c r="W231" s="44">
        <v>-2035462</v>
      </c>
      <c r="Y231" s="44">
        <v>0</v>
      </c>
      <c r="AA231" s="44">
        <f t="shared" si="15"/>
        <v>32262698</v>
      </c>
      <c r="AC231" s="44">
        <f t="shared" si="16"/>
        <v>40057131</v>
      </c>
    </row>
    <row r="232" spans="1:31" s="47" customFormat="1" ht="12.75" customHeight="1" x14ac:dyDescent="0.2">
      <c r="A232" s="47" t="s">
        <v>257</v>
      </c>
      <c r="C232" s="47" t="s">
        <v>258</v>
      </c>
      <c r="E232" s="44">
        <v>986052</v>
      </c>
      <c r="F232" s="44"/>
      <c r="G232" s="44">
        <v>479928</v>
      </c>
      <c r="H232" s="44"/>
      <c r="I232" s="44">
        <v>767484</v>
      </c>
      <c r="J232" s="44"/>
      <c r="K232" s="44">
        <v>1323</v>
      </c>
      <c r="L232" s="44"/>
      <c r="M232" s="44">
        <v>2379010</v>
      </c>
      <c r="N232" s="44"/>
      <c r="O232" s="44">
        <v>0</v>
      </c>
      <c r="P232" s="44"/>
      <c r="Q232" s="44">
        <v>840933</v>
      </c>
      <c r="R232" s="44"/>
      <c r="S232" s="44">
        <v>1447</v>
      </c>
      <c r="T232" s="44"/>
      <c r="U232" s="44">
        <v>79213</v>
      </c>
      <c r="V232" s="44"/>
      <c r="W232" s="44">
        <v>653122</v>
      </c>
      <c r="X232" s="44"/>
      <c r="Y232" s="44">
        <v>0</v>
      </c>
      <c r="Z232" s="44"/>
      <c r="AA232" s="44">
        <f t="shared" si="15"/>
        <v>3955048</v>
      </c>
      <c r="AB232" s="44"/>
      <c r="AC232" s="44">
        <f t="shared" si="16"/>
        <v>6188512</v>
      </c>
    </row>
    <row r="233" spans="1:31" s="47" customFormat="1" ht="12.75" customHeight="1" x14ac:dyDescent="0.2">
      <c r="A233" s="47" t="s">
        <v>259</v>
      </c>
      <c r="C233" s="47" t="s">
        <v>260</v>
      </c>
      <c r="E233" s="44">
        <v>2227651</v>
      </c>
      <c r="F233" s="44"/>
      <c r="G233" s="44">
        <v>1846379</v>
      </c>
      <c r="H233" s="44"/>
      <c r="I233" s="44">
        <v>2138703</v>
      </c>
      <c r="J233" s="44"/>
      <c r="K233" s="44">
        <v>605924</v>
      </c>
      <c r="L233" s="44"/>
      <c r="M233" s="44">
        <v>5071176</v>
      </c>
      <c r="N233" s="44"/>
      <c r="O233" s="44">
        <v>0</v>
      </c>
      <c r="P233" s="44"/>
      <c r="Q233" s="44">
        <v>930751</v>
      </c>
      <c r="R233" s="44"/>
      <c r="S233" s="44">
        <v>38043</v>
      </c>
      <c r="T233" s="44"/>
      <c r="U233" s="44">
        <f>201720+1350</f>
        <v>203070</v>
      </c>
      <c r="V233" s="44"/>
      <c r="W233" s="44">
        <v>0</v>
      </c>
      <c r="X233" s="44"/>
      <c r="Y233" s="44">
        <v>0</v>
      </c>
      <c r="Z233" s="44"/>
      <c r="AA233" s="44">
        <f t="shared" si="15"/>
        <v>6848964</v>
      </c>
      <c r="AB233" s="44"/>
      <c r="AC233" s="44">
        <f t="shared" si="16"/>
        <v>13061697</v>
      </c>
    </row>
    <row r="234" spans="1:31" s="47" customFormat="1" ht="12.75" customHeight="1" x14ac:dyDescent="0.2">
      <c r="A234" s="47" t="s">
        <v>261</v>
      </c>
      <c r="C234" s="47" t="s">
        <v>66</v>
      </c>
      <c r="E234" s="44">
        <v>5384950</v>
      </c>
      <c r="F234" s="44"/>
      <c r="G234" s="44">
        <v>1272681</v>
      </c>
      <c r="H234" s="44"/>
      <c r="I234" s="44">
        <v>818757</v>
      </c>
      <c r="J234" s="44"/>
      <c r="K234" s="44">
        <v>1548086</v>
      </c>
      <c r="L234" s="44"/>
      <c r="M234" s="44">
        <v>11709263</v>
      </c>
      <c r="N234" s="44"/>
      <c r="O234" s="44">
        <v>107720</v>
      </c>
      <c r="P234" s="44"/>
      <c r="Q234" s="44">
        <v>1764465</v>
      </c>
      <c r="R234" s="44"/>
      <c r="S234" s="44">
        <v>492580</v>
      </c>
      <c r="T234" s="44"/>
      <c r="U234" s="44">
        <f>59415+11040</f>
        <v>70455</v>
      </c>
      <c r="V234" s="44"/>
      <c r="W234" s="44">
        <v>-618967</v>
      </c>
      <c r="X234" s="44"/>
      <c r="Y234" s="44">
        <v>0</v>
      </c>
      <c r="Z234" s="44"/>
      <c r="AA234" s="44">
        <f t="shared" si="15"/>
        <v>15073602</v>
      </c>
      <c r="AB234" s="44"/>
      <c r="AC234" s="44">
        <f t="shared" si="16"/>
        <v>22549990</v>
      </c>
    </row>
    <row r="235" spans="1:31" s="47" customFormat="1" ht="12.75" customHeight="1" x14ac:dyDescent="0.2">
      <c r="A235" s="47" t="s">
        <v>262</v>
      </c>
      <c r="C235" s="47" t="s">
        <v>132</v>
      </c>
      <c r="E235" s="44">
        <v>2445277</v>
      </c>
      <c r="F235" s="44"/>
      <c r="G235" s="44">
        <v>1142865</v>
      </c>
      <c r="H235" s="44"/>
      <c r="I235" s="44">
        <v>59034</v>
      </c>
      <c r="J235" s="44"/>
      <c r="K235" s="44">
        <f>1995514+336697+77764+388496</f>
        <v>2798471</v>
      </c>
      <c r="L235" s="44"/>
      <c r="M235" s="44">
        <v>1602950</v>
      </c>
      <c r="N235" s="44"/>
      <c r="O235" s="44">
        <v>0</v>
      </c>
      <c r="P235" s="44"/>
      <c r="Q235" s="44">
        <v>941727</v>
      </c>
      <c r="R235" s="44"/>
      <c r="S235" s="44">
        <v>107511</v>
      </c>
      <c r="T235" s="44"/>
      <c r="U235" s="44">
        <f>2500+185010</f>
        <v>187510</v>
      </c>
      <c r="V235" s="44"/>
      <c r="W235" s="44">
        <v>-35313</v>
      </c>
      <c r="X235" s="44"/>
      <c r="Y235" s="44">
        <v>0</v>
      </c>
      <c r="Z235" s="44"/>
      <c r="AA235" s="44">
        <f t="shared" si="15"/>
        <v>5602856</v>
      </c>
      <c r="AB235" s="44"/>
      <c r="AC235" s="44">
        <f t="shared" si="16"/>
        <v>9250032</v>
      </c>
    </row>
    <row r="236" spans="1:31" s="47" customFormat="1" ht="12.75" customHeight="1" x14ac:dyDescent="0.2">
      <c r="A236" s="44" t="s">
        <v>512</v>
      </c>
      <c r="C236" s="44" t="s">
        <v>45</v>
      </c>
      <c r="E236" s="44">
        <v>406949</v>
      </c>
      <c r="F236" s="44"/>
      <c r="G236" s="44">
        <v>308173</v>
      </c>
      <c r="H236" s="44"/>
      <c r="I236" s="44">
        <v>865495</v>
      </c>
      <c r="J236" s="44"/>
      <c r="K236" s="44">
        <v>806743</v>
      </c>
      <c r="L236" s="44"/>
      <c r="M236" s="44">
        <v>5852274</v>
      </c>
      <c r="N236" s="44"/>
      <c r="O236" s="44">
        <v>0</v>
      </c>
      <c r="P236" s="44"/>
      <c r="Q236" s="44">
        <v>5869462</v>
      </c>
      <c r="R236" s="44"/>
      <c r="S236" s="44">
        <v>480065</v>
      </c>
      <c r="T236" s="44"/>
      <c r="U236" s="44">
        <v>477932</v>
      </c>
      <c r="V236" s="44"/>
      <c r="W236" s="44">
        <v>0</v>
      </c>
      <c r="X236" s="44"/>
      <c r="Y236" s="44">
        <v>0</v>
      </c>
      <c r="Z236" s="44"/>
      <c r="AA236" s="44">
        <f t="shared" si="15"/>
        <v>13486476</v>
      </c>
      <c r="AB236" s="44"/>
      <c r="AC236" s="44">
        <f t="shared" si="16"/>
        <v>15067093</v>
      </c>
    </row>
    <row r="237" spans="1:31" s="47" customFormat="1" ht="12.75" customHeight="1" x14ac:dyDescent="0.2">
      <c r="A237" s="47" t="s">
        <v>263</v>
      </c>
      <c r="C237" s="47" t="s">
        <v>53</v>
      </c>
      <c r="E237" s="44">
        <v>2321462</v>
      </c>
      <c r="F237" s="44"/>
      <c r="G237" s="44">
        <v>2394237</v>
      </c>
      <c r="H237" s="44"/>
      <c r="I237" s="44">
        <v>430963</v>
      </c>
      <c r="J237" s="44"/>
      <c r="K237" s="44">
        <f>959950+1190052+891198</f>
        <v>3041200</v>
      </c>
      <c r="L237" s="44"/>
      <c r="M237" s="44">
        <v>6851870</v>
      </c>
      <c r="N237" s="44"/>
      <c r="O237" s="44">
        <v>105000</v>
      </c>
      <c r="P237" s="44"/>
      <c r="Q237" s="44">
        <v>2527284</v>
      </c>
      <c r="R237" s="44"/>
      <c r="S237" s="44">
        <v>150965</v>
      </c>
      <c r="T237" s="44"/>
      <c r="U237" s="44">
        <f>1400+75241</f>
        <v>76641</v>
      </c>
      <c r="V237" s="44"/>
      <c r="W237" s="44">
        <v>0</v>
      </c>
      <c r="X237" s="44"/>
      <c r="Y237" s="44">
        <v>0</v>
      </c>
      <c r="Z237" s="44"/>
      <c r="AA237" s="44">
        <f t="shared" si="15"/>
        <v>12752960</v>
      </c>
      <c r="AB237" s="44"/>
      <c r="AC237" s="44">
        <f t="shared" si="16"/>
        <v>17899622</v>
      </c>
      <c r="AE237" s="44"/>
    </row>
    <row r="238" spans="1:31" s="47" customFormat="1" ht="12" customHeight="1" x14ac:dyDescent="0.2">
      <c r="A238" s="47" t="s">
        <v>264</v>
      </c>
      <c r="C238" s="47" t="s">
        <v>239</v>
      </c>
      <c r="E238" s="44">
        <v>819313</v>
      </c>
      <c r="F238" s="44"/>
      <c r="G238" s="44">
        <v>582636</v>
      </c>
      <c r="H238" s="44"/>
      <c r="I238" s="44">
        <v>572510</v>
      </c>
      <c r="J238" s="44"/>
      <c r="K238" s="44">
        <f>369263+92756</f>
        <v>462019</v>
      </c>
      <c r="L238" s="44"/>
      <c r="M238" s="44">
        <v>2271225</v>
      </c>
      <c r="N238" s="44"/>
      <c r="O238" s="44">
        <f>642164+83736</f>
        <v>725900</v>
      </c>
      <c r="P238" s="44"/>
      <c r="Q238" s="44">
        <v>550652</v>
      </c>
      <c r="R238" s="44"/>
      <c r="S238" s="44">
        <v>35706</v>
      </c>
      <c r="T238" s="44"/>
      <c r="U238" s="44">
        <f>1374+48596</f>
        <v>49970</v>
      </c>
      <c r="V238" s="44"/>
      <c r="W238" s="44">
        <v>-582256</v>
      </c>
      <c r="X238" s="44"/>
      <c r="Y238" s="44">
        <v>0</v>
      </c>
      <c r="Z238" s="44"/>
      <c r="AA238" s="44">
        <f t="shared" si="15"/>
        <v>3513216</v>
      </c>
      <c r="AB238" s="44"/>
      <c r="AC238" s="44">
        <f t="shared" si="16"/>
        <v>5487675</v>
      </c>
    </row>
    <row r="239" spans="1:31" s="47" customFormat="1" ht="12.75" customHeight="1" x14ac:dyDescent="0.2">
      <c r="A239" s="47" t="s">
        <v>111</v>
      </c>
      <c r="C239" s="47" t="s">
        <v>80</v>
      </c>
      <c r="E239" s="44">
        <v>4691494</v>
      </c>
      <c r="F239" s="44"/>
      <c r="G239" s="44">
        <v>5974388</v>
      </c>
      <c r="H239" s="44"/>
      <c r="I239" s="44">
        <v>2646972</v>
      </c>
      <c r="J239" s="44"/>
      <c r="K239" s="44">
        <f>1223713+128896+117974</f>
        <v>1470583</v>
      </c>
      <c r="L239" s="44"/>
      <c r="M239" s="44">
        <v>17292458</v>
      </c>
      <c r="N239" s="44"/>
      <c r="O239" s="44">
        <v>0</v>
      </c>
      <c r="P239" s="44"/>
      <c r="Q239" s="44">
        <v>4750099</v>
      </c>
      <c r="R239" s="44"/>
      <c r="S239" s="44">
        <v>128848</v>
      </c>
      <c r="T239" s="44"/>
      <c r="U239" s="44">
        <v>834099</v>
      </c>
      <c r="V239" s="44"/>
      <c r="W239" s="44">
        <v>-220975</v>
      </c>
      <c r="X239" s="44"/>
      <c r="Y239" s="44">
        <v>0</v>
      </c>
      <c r="Z239" s="44"/>
      <c r="AA239" s="44">
        <f t="shared" si="15"/>
        <v>24255112</v>
      </c>
      <c r="AB239" s="44"/>
      <c r="AC239" s="44">
        <f t="shared" si="16"/>
        <v>37567966</v>
      </c>
    </row>
    <row r="240" spans="1:31" s="47" customFormat="1" ht="12.75" customHeight="1" x14ac:dyDescent="0.2">
      <c r="A240" s="47" t="s">
        <v>265</v>
      </c>
      <c r="C240" s="47" t="s">
        <v>27</v>
      </c>
      <c r="E240" s="44">
        <v>1465814</v>
      </c>
      <c r="F240" s="44"/>
      <c r="G240" s="44">
        <v>1114875</v>
      </c>
      <c r="H240" s="44"/>
      <c r="I240" s="44">
        <v>295780</v>
      </c>
      <c r="J240" s="44"/>
      <c r="K240" s="44">
        <f>611674+661791+662777</f>
        <v>1936242</v>
      </c>
      <c r="L240" s="44"/>
      <c r="M240" s="44">
        <v>13185755</v>
      </c>
      <c r="N240" s="44"/>
      <c r="O240" s="44">
        <v>0</v>
      </c>
      <c r="P240" s="44"/>
      <c r="Q240" s="44">
        <v>1091130</v>
      </c>
      <c r="R240" s="44"/>
      <c r="S240" s="44">
        <v>7054</v>
      </c>
      <c r="T240" s="44"/>
      <c r="U240" s="44">
        <v>72301</v>
      </c>
      <c r="V240" s="44"/>
      <c r="W240" s="44">
        <v>0</v>
      </c>
      <c r="X240" s="44"/>
      <c r="Y240" s="44">
        <v>0</v>
      </c>
      <c r="Z240" s="44"/>
      <c r="AA240" s="44">
        <f t="shared" ref="AA240:AA261" si="17">SUM(K240:Y240)</f>
        <v>16292482</v>
      </c>
      <c r="AB240" s="44"/>
      <c r="AC240" s="44">
        <f t="shared" si="16"/>
        <v>19168951</v>
      </c>
    </row>
    <row r="241" spans="1:29" s="47" customFormat="1" ht="12.75" customHeight="1" x14ac:dyDescent="0.2">
      <c r="A241" s="47" t="s">
        <v>514</v>
      </c>
      <c r="C241" s="47" t="s">
        <v>451</v>
      </c>
      <c r="E241" s="44">
        <v>1674680</v>
      </c>
      <c r="F241" s="44"/>
      <c r="G241" s="44">
        <v>334826</v>
      </c>
      <c r="H241" s="44"/>
      <c r="I241" s="44">
        <v>540263</v>
      </c>
      <c r="J241" s="44"/>
      <c r="K241" s="44">
        <v>1352510</v>
      </c>
      <c r="L241" s="44"/>
      <c r="M241" s="44">
        <v>5091866</v>
      </c>
      <c r="N241" s="44"/>
      <c r="O241" s="44">
        <v>852197</v>
      </c>
      <c r="P241" s="44"/>
      <c r="Q241" s="44">
        <f>1576689+3100</f>
        <v>1579789</v>
      </c>
      <c r="R241" s="44"/>
      <c r="S241" s="44">
        <v>39391</v>
      </c>
      <c r="T241" s="44"/>
      <c r="U241" s="44">
        <v>190206</v>
      </c>
      <c r="V241" s="44"/>
      <c r="W241" s="44">
        <v>-39200</v>
      </c>
      <c r="X241" s="44"/>
      <c r="Y241" s="44">
        <v>0</v>
      </c>
      <c r="Z241" s="44"/>
      <c r="AA241" s="44">
        <f t="shared" si="17"/>
        <v>9066759</v>
      </c>
      <c r="AB241" s="44"/>
      <c r="AC241" s="44">
        <f t="shared" si="16"/>
        <v>11616528</v>
      </c>
    </row>
    <row r="242" spans="1:29" s="47" customFormat="1" ht="12.75" customHeight="1" x14ac:dyDescent="0.2">
      <c r="A242" s="44" t="s">
        <v>515</v>
      </c>
      <c r="C242" s="44" t="s">
        <v>163</v>
      </c>
      <c r="E242" s="44">
        <v>412181</v>
      </c>
      <c r="F242" s="44"/>
      <c r="G242" s="44">
        <v>415034</v>
      </c>
      <c r="H242" s="44"/>
      <c r="I242" s="44">
        <v>488786</v>
      </c>
      <c r="J242" s="44"/>
      <c r="K242" s="44">
        <f>362358+33966</f>
        <v>396324</v>
      </c>
      <c r="L242" s="44"/>
      <c r="M242" s="44">
        <v>2608771</v>
      </c>
      <c r="N242" s="44"/>
      <c r="O242" s="44">
        <v>79403</v>
      </c>
      <c r="P242" s="44"/>
      <c r="Q242" s="44">
        <v>447161</v>
      </c>
      <c r="R242" s="44"/>
      <c r="S242" s="44">
        <v>57734</v>
      </c>
      <c r="T242" s="44"/>
      <c r="U242" s="44">
        <v>80948</v>
      </c>
      <c r="V242" s="44"/>
      <c r="W242" s="44">
        <v>0</v>
      </c>
      <c r="X242" s="44"/>
      <c r="Y242" s="44">
        <v>0</v>
      </c>
      <c r="Z242" s="44"/>
      <c r="AA242" s="44">
        <f t="shared" ref="AA242" si="18">SUM(K242:Y242)</f>
        <v>3670341</v>
      </c>
      <c r="AB242" s="44"/>
      <c r="AC242" s="44">
        <f t="shared" si="16"/>
        <v>4986342</v>
      </c>
    </row>
    <row r="243" spans="1:29" s="47" customFormat="1" ht="12.75" customHeight="1" x14ac:dyDescent="0.2">
      <c r="A243" s="47" t="s">
        <v>266</v>
      </c>
      <c r="C243" s="47" t="s">
        <v>267</v>
      </c>
      <c r="E243" s="44">
        <v>528885</v>
      </c>
      <c r="F243" s="44"/>
      <c r="G243" s="44">
        <v>532008</v>
      </c>
      <c r="H243" s="44"/>
      <c r="I243" s="44">
        <v>127453</v>
      </c>
      <c r="J243" s="44"/>
      <c r="K243" s="44">
        <v>235862</v>
      </c>
      <c r="L243" s="44"/>
      <c r="M243" s="44">
        <v>3205427</v>
      </c>
      <c r="N243" s="44"/>
      <c r="O243" s="44">
        <v>0</v>
      </c>
      <c r="P243" s="44"/>
      <c r="Q243" s="44">
        <v>367220</v>
      </c>
      <c r="R243" s="44"/>
      <c r="S243" s="44">
        <v>32820</v>
      </c>
      <c r="T243" s="44"/>
      <c r="U243" s="44">
        <v>246708</v>
      </c>
      <c r="V243" s="44"/>
      <c r="W243" s="44">
        <v>0</v>
      </c>
      <c r="X243" s="44"/>
      <c r="Y243" s="44">
        <v>0</v>
      </c>
      <c r="Z243" s="44"/>
      <c r="AA243" s="44">
        <f t="shared" si="17"/>
        <v>4088037</v>
      </c>
      <c r="AB243" s="44"/>
      <c r="AC243" s="44">
        <f t="shared" si="16"/>
        <v>5276383</v>
      </c>
    </row>
    <row r="244" spans="1:29" s="47" customFormat="1" ht="12.75" customHeight="1" x14ac:dyDescent="0.2">
      <c r="A244" s="47" t="s">
        <v>268</v>
      </c>
      <c r="C244" s="47" t="s">
        <v>269</v>
      </c>
      <c r="E244" s="44">
        <v>146263</v>
      </c>
      <c r="F244" s="44"/>
      <c r="G244" s="44">
        <v>217510</v>
      </c>
      <c r="H244" s="44"/>
      <c r="I244" s="44">
        <v>0</v>
      </c>
      <c r="J244" s="44"/>
      <c r="K244" s="44">
        <f>41170+515287+1284477</f>
        <v>1840934</v>
      </c>
      <c r="L244" s="44"/>
      <c r="M244" s="44">
        <v>0</v>
      </c>
      <c r="N244" s="44"/>
      <c r="O244" s="44">
        <v>0</v>
      </c>
      <c r="P244" s="44"/>
      <c r="Q244" s="44">
        <v>599439</v>
      </c>
      <c r="R244" s="44"/>
      <c r="S244" s="44">
        <v>1336</v>
      </c>
      <c r="T244" s="44"/>
      <c r="U244" s="44">
        <v>112813</v>
      </c>
      <c r="V244" s="44"/>
      <c r="W244" s="44">
        <v>-70000</v>
      </c>
      <c r="X244" s="44"/>
      <c r="Y244" s="44">
        <v>0</v>
      </c>
      <c r="Z244" s="44"/>
      <c r="AA244" s="44">
        <f t="shared" si="17"/>
        <v>2484522</v>
      </c>
      <c r="AB244" s="44"/>
      <c r="AC244" s="44">
        <f t="shared" si="16"/>
        <v>2848295</v>
      </c>
    </row>
    <row r="245" spans="1:29" s="47" customFormat="1" ht="12.75" customHeight="1" x14ac:dyDescent="0.2">
      <c r="A245" s="47" t="s">
        <v>270</v>
      </c>
      <c r="C245" s="47" t="s">
        <v>136</v>
      </c>
      <c r="E245" s="44">
        <v>188325</v>
      </c>
      <c r="F245" s="44"/>
      <c r="G245" s="44">
        <v>1092757</v>
      </c>
      <c r="H245" s="44"/>
      <c r="I245" s="44">
        <v>0</v>
      </c>
      <c r="J245" s="44"/>
      <c r="K245" s="44">
        <f>170648+227937</f>
        <v>398585</v>
      </c>
      <c r="L245" s="44"/>
      <c r="M245" s="44">
        <v>1069108</v>
      </c>
      <c r="N245" s="44"/>
      <c r="O245" s="44">
        <v>0</v>
      </c>
      <c r="P245" s="44"/>
      <c r="Q245" s="44">
        <v>228338</v>
      </c>
      <c r="R245" s="44"/>
      <c r="S245" s="44">
        <v>65849</v>
      </c>
      <c r="T245" s="44"/>
      <c r="U245" s="44">
        <f>1271+57694</f>
        <v>58965</v>
      </c>
      <c r="V245" s="44"/>
      <c r="W245" s="44">
        <v>0</v>
      </c>
      <c r="X245" s="44"/>
      <c r="Y245" s="44">
        <v>398096</v>
      </c>
      <c r="Z245" s="44"/>
      <c r="AA245" s="44">
        <f t="shared" si="17"/>
        <v>2218941</v>
      </c>
      <c r="AB245" s="44"/>
      <c r="AC245" s="44">
        <f t="shared" si="16"/>
        <v>3500023</v>
      </c>
    </row>
    <row r="246" spans="1:29" s="47" customFormat="1" ht="12.75" customHeight="1" x14ac:dyDescent="0.2">
      <c r="A246" s="47" t="s">
        <v>271</v>
      </c>
      <c r="C246" s="47" t="s">
        <v>66</v>
      </c>
      <c r="E246" s="44">
        <v>1533616</v>
      </c>
      <c r="F246" s="44"/>
      <c r="G246" s="44">
        <v>17720</v>
      </c>
      <c r="H246" s="44"/>
      <c r="I246" s="44">
        <v>349306</v>
      </c>
      <c r="J246" s="44"/>
      <c r="K246" s="44">
        <f>1271623+125588</f>
        <v>1397211</v>
      </c>
      <c r="L246" s="44"/>
      <c r="M246" s="44">
        <v>5869951</v>
      </c>
      <c r="N246" s="44"/>
      <c r="O246" s="44">
        <v>0</v>
      </c>
      <c r="P246" s="44"/>
      <c r="Q246" s="44">
        <v>387021</v>
      </c>
      <c r="R246" s="44"/>
      <c r="S246" s="44">
        <v>16450</v>
      </c>
      <c r="T246" s="44"/>
      <c r="U246" s="44">
        <v>358780</v>
      </c>
      <c r="V246" s="44"/>
      <c r="W246" s="44">
        <v>0</v>
      </c>
      <c r="X246" s="44"/>
      <c r="Y246" s="44">
        <v>0</v>
      </c>
      <c r="Z246" s="44"/>
      <c r="AA246" s="44">
        <f t="shared" si="17"/>
        <v>8029413</v>
      </c>
      <c r="AB246" s="44"/>
      <c r="AC246" s="44">
        <f t="shared" si="16"/>
        <v>9930055</v>
      </c>
    </row>
    <row r="247" spans="1:29" s="47" customFormat="1" ht="12.75" customHeight="1" x14ac:dyDescent="0.2">
      <c r="A247" s="47" t="s">
        <v>272</v>
      </c>
      <c r="C247" s="47" t="s">
        <v>43</v>
      </c>
      <c r="E247" s="44">
        <v>6660694</v>
      </c>
      <c r="F247" s="44"/>
      <c r="G247" s="44">
        <v>5607392</v>
      </c>
      <c r="H247" s="44"/>
      <c r="I247" s="44">
        <v>1380241</v>
      </c>
      <c r="J247" s="44"/>
      <c r="K247" s="44">
        <f>3055796+9407517+188737</f>
        <v>12652050</v>
      </c>
      <c r="L247" s="44"/>
      <c r="M247" s="44">
        <f>26205288+7214875+4596666</f>
        <v>38016829</v>
      </c>
      <c r="N247" s="44"/>
      <c r="O247" s="44">
        <f>584447+3859808</f>
        <v>4444255</v>
      </c>
      <c r="P247" s="44"/>
      <c r="Q247" s="44">
        <v>5811570</v>
      </c>
      <c r="R247" s="44"/>
      <c r="S247" s="44">
        <v>1914882</v>
      </c>
      <c r="T247" s="44"/>
      <c r="U247" s="44">
        <v>160995</v>
      </c>
      <c r="V247" s="44"/>
      <c r="W247" s="44">
        <v>-589772</v>
      </c>
      <c r="X247" s="44"/>
      <c r="Y247" s="44">
        <v>0</v>
      </c>
      <c r="Z247" s="44"/>
      <c r="AA247" s="44">
        <f t="shared" si="17"/>
        <v>62410809</v>
      </c>
      <c r="AB247" s="44"/>
      <c r="AC247" s="44">
        <f t="shared" si="16"/>
        <v>76059136</v>
      </c>
    </row>
    <row r="248" spans="1:29" s="47" customFormat="1" ht="12.75" customHeight="1" x14ac:dyDescent="0.2">
      <c r="A248" s="47" t="s">
        <v>273</v>
      </c>
      <c r="C248" s="47" t="s">
        <v>27</v>
      </c>
      <c r="E248" s="44">
        <v>4941176</v>
      </c>
      <c r="F248" s="44"/>
      <c r="G248" s="44">
        <v>2815006</v>
      </c>
      <c r="H248" s="44"/>
      <c r="I248" s="44">
        <v>1546514</v>
      </c>
      <c r="J248" s="44"/>
      <c r="K248" s="44">
        <f>9766663+366250+366250+1098750+122084</f>
        <v>11719997</v>
      </c>
      <c r="L248" s="44"/>
      <c r="M248" s="44">
        <f>14091446+259448+1857968+4995362</f>
        <v>21204224</v>
      </c>
      <c r="N248" s="44"/>
      <c r="O248" s="44">
        <f>187280+431774+523339</f>
        <v>1142393</v>
      </c>
      <c r="P248" s="44"/>
      <c r="Q248" s="44">
        <v>6066176</v>
      </c>
      <c r="R248" s="44"/>
      <c r="S248" s="44">
        <v>652951</v>
      </c>
      <c r="T248" s="44"/>
      <c r="U248" s="44">
        <f>5296+1422095</f>
        <v>1427391</v>
      </c>
      <c r="V248" s="44"/>
      <c r="W248" s="44">
        <v>-6010</v>
      </c>
      <c r="X248" s="44"/>
      <c r="Y248" s="44">
        <v>0</v>
      </c>
      <c r="Z248" s="44"/>
      <c r="AA248" s="44">
        <f t="shared" si="17"/>
        <v>42207122</v>
      </c>
      <c r="AB248" s="44"/>
      <c r="AC248" s="44">
        <f t="shared" si="16"/>
        <v>51509818</v>
      </c>
    </row>
    <row r="249" spans="1:29" s="47" customFormat="1" ht="12.75" customHeight="1" x14ac:dyDescent="0.2">
      <c r="A249" s="47" t="s">
        <v>274</v>
      </c>
      <c r="C249" s="47" t="s">
        <v>43</v>
      </c>
      <c r="E249" s="44">
        <v>2216976</v>
      </c>
      <c r="F249" s="44"/>
      <c r="G249" s="44">
        <v>1169979</v>
      </c>
      <c r="H249" s="44"/>
      <c r="I249" s="44">
        <v>1800747</v>
      </c>
      <c r="J249" s="44"/>
      <c r="K249" s="44">
        <v>393669</v>
      </c>
      <c r="L249" s="44"/>
      <c r="M249" s="44">
        <v>20570658</v>
      </c>
      <c r="N249" s="44"/>
      <c r="O249" s="44">
        <f>92749+408308</f>
        <v>501057</v>
      </c>
      <c r="P249" s="44"/>
      <c r="Q249" s="44">
        <v>1604801</v>
      </c>
      <c r="R249" s="44"/>
      <c r="S249" s="44">
        <v>72370</v>
      </c>
      <c r="T249" s="44"/>
      <c r="U249" s="44">
        <v>360148</v>
      </c>
      <c r="V249" s="44"/>
      <c r="W249" s="44">
        <v>0</v>
      </c>
      <c r="X249" s="44"/>
      <c r="Y249" s="44">
        <v>0</v>
      </c>
      <c r="Z249" s="44"/>
      <c r="AA249" s="44">
        <f t="shared" si="17"/>
        <v>23502703</v>
      </c>
      <c r="AB249" s="44"/>
      <c r="AC249" s="44">
        <f t="shared" si="16"/>
        <v>28690405</v>
      </c>
    </row>
    <row r="250" spans="1:29" s="47" customFormat="1" ht="12.75" customHeight="1" x14ac:dyDescent="0.2">
      <c r="A250" s="47" t="s">
        <v>275</v>
      </c>
      <c r="C250" s="47" t="s">
        <v>92</v>
      </c>
      <c r="E250" s="44">
        <v>1627517</v>
      </c>
      <c r="F250" s="44"/>
      <c r="G250" s="44">
        <v>843406</v>
      </c>
      <c r="H250" s="44"/>
      <c r="I250" s="44">
        <v>118006</v>
      </c>
      <c r="J250" s="44"/>
      <c r="K250" s="44">
        <v>2434459</v>
      </c>
      <c r="L250" s="44"/>
      <c r="M250" s="44">
        <v>14075672</v>
      </c>
      <c r="N250" s="44"/>
      <c r="O250" s="44">
        <v>203472</v>
      </c>
      <c r="P250" s="44"/>
      <c r="Q250" s="44">
        <v>2506773</v>
      </c>
      <c r="R250" s="44"/>
      <c r="S250" s="44">
        <v>18649</v>
      </c>
      <c r="T250" s="44"/>
      <c r="U250" s="44">
        <v>123584</v>
      </c>
      <c r="V250" s="44"/>
      <c r="W250" s="44">
        <v>0</v>
      </c>
      <c r="X250" s="44"/>
      <c r="Y250" s="44">
        <v>0</v>
      </c>
      <c r="Z250" s="44"/>
      <c r="AA250" s="44">
        <f t="shared" si="17"/>
        <v>19362609</v>
      </c>
      <c r="AB250" s="44"/>
      <c r="AC250" s="44">
        <f t="shared" si="16"/>
        <v>21951538</v>
      </c>
    </row>
    <row r="251" spans="1:29" s="47" customFormat="1" ht="12.75" customHeight="1" x14ac:dyDescent="0.2">
      <c r="A251" s="47" t="s">
        <v>276</v>
      </c>
      <c r="C251" s="47" t="s">
        <v>38</v>
      </c>
      <c r="E251" s="44">
        <v>874993</v>
      </c>
      <c r="F251" s="44"/>
      <c r="G251" s="44">
        <v>333148</v>
      </c>
      <c r="H251" s="44"/>
      <c r="I251" s="44">
        <v>435906</v>
      </c>
      <c r="J251" s="44"/>
      <c r="K251" s="44">
        <f>246007+44351+24019</f>
        <v>314377</v>
      </c>
      <c r="L251" s="44"/>
      <c r="M251" s="44">
        <f>2518901+279854+559707</f>
        <v>3358462</v>
      </c>
      <c r="N251" s="44"/>
      <c r="O251" s="44">
        <v>64540</v>
      </c>
      <c r="P251" s="44"/>
      <c r="Q251" s="44">
        <v>546183</v>
      </c>
      <c r="R251" s="44"/>
      <c r="S251" s="44">
        <v>27475</v>
      </c>
      <c r="T251" s="44"/>
      <c r="U251" s="44">
        <v>26643</v>
      </c>
      <c r="V251" s="44"/>
      <c r="W251" s="44">
        <v>-25245</v>
      </c>
      <c r="X251" s="44"/>
      <c r="Y251" s="44">
        <v>0</v>
      </c>
      <c r="Z251" s="44"/>
      <c r="AA251" s="44">
        <f t="shared" si="17"/>
        <v>4312435</v>
      </c>
      <c r="AB251" s="44"/>
      <c r="AC251" s="44">
        <f t="shared" si="16"/>
        <v>5956482</v>
      </c>
    </row>
    <row r="252" spans="1:29" s="47" customFormat="1" ht="12.75" customHeight="1" x14ac:dyDescent="0.2">
      <c r="A252" s="47" t="s">
        <v>277</v>
      </c>
      <c r="C252" s="47" t="s">
        <v>92</v>
      </c>
      <c r="E252" s="44">
        <v>4885432</v>
      </c>
      <c r="F252" s="44"/>
      <c r="G252" s="44">
        <v>593812</v>
      </c>
      <c r="H252" s="44"/>
      <c r="I252" s="44">
        <v>119678</v>
      </c>
      <c r="J252" s="44"/>
      <c r="K252" s="44">
        <f>1878093+1612617+973639+112448</f>
        <v>4576797</v>
      </c>
      <c r="L252" s="44"/>
      <c r="M252" s="44">
        <v>15419498</v>
      </c>
      <c r="N252" s="44"/>
      <c r="O252" s="44">
        <v>0</v>
      </c>
      <c r="P252" s="44"/>
      <c r="Q252" s="44">
        <v>5936611</v>
      </c>
      <c r="R252" s="44"/>
      <c r="S252" s="44">
        <v>194153</v>
      </c>
      <c r="T252" s="44"/>
      <c r="U252" s="44">
        <v>13115</v>
      </c>
      <c r="V252" s="44"/>
      <c r="W252" s="44">
        <v>-75000</v>
      </c>
      <c r="X252" s="44"/>
      <c r="Y252" s="44">
        <v>0</v>
      </c>
      <c r="Z252" s="44"/>
      <c r="AA252" s="44">
        <f t="shared" si="17"/>
        <v>26065174</v>
      </c>
      <c r="AB252" s="44"/>
      <c r="AC252" s="44">
        <f t="shared" si="16"/>
        <v>31664096</v>
      </c>
    </row>
    <row r="253" spans="1:29" s="47" customFormat="1" ht="12.75" customHeight="1" x14ac:dyDescent="0.2">
      <c r="A253" s="47" t="s">
        <v>278</v>
      </c>
      <c r="C253" s="47" t="s">
        <v>92</v>
      </c>
      <c r="E253" s="44">
        <v>3048350</v>
      </c>
      <c r="F253" s="44"/>
      <c r="G253" s="44">
        <v>1104014</v>
      </c>
      <c r="H253" s="44"/>
      <c r="I253" s="44">
        <v>113214</v>
      </c>
      <c r="J253" s="44"/>
      <c r="K253" s="44">
        <f>596552+125414+79950+480302+658034</f>
        <v>1940252</v>
      </c>
      <c r="L253" s="44"/>
      <c r="M253" s="44">
        <v>4652883</v>
      </c>
      <c r="N253" s="44"/>
      <c r="O253" s="44">
        <f>112080+94539+19776</f>
        <v>226395</v>
      </c>
      <c r="P253" s="44"/>
      <c r="Q253" s="44">
        <v>918753</v>
      </c>
      <c r="R253" s="44"/>
      <c r="S253" s="44">
        <v>2498</v>
      </c>
      <c r="T253" s="44"/>
      <c r="U253" s="44">
        <v>47316</v>
      </c>
      <c r="V253" s="44"/>
      <c r="W253" s="44">
        <v>0</v>
      </c>
      <c r="X253" s="44"/>
      <c r="Y253" s="44">
        <v>0</v>
      </c>
      <c r="Z253" s="44"/>
      <c r="AA253" s="44">
        <f t="shared" si="17"/>
        <v>7788097</v>
      </c>
      <c r="AB253" s="44"/>
      <c r="AC253" s="44">
        <f t="shared" si="16"/>
        <v>12053675</v>
      </c>
    </row>
    <row r="254" spans="1:29" s="47" customFormat="1" ht="12.75" customHeight="1" x14ac:dyDescent="0.2">
      <c r="A254" s="47" t="s">
        <v>279</v>
      </c>
      <c r="C254" s="47" t="s">
        <v>92</v>
      </c>
      <c r="E254" s="44">
        <v>1134430</v>
      </c>
      <c r="F254" s="44"/>
      <c r="G254" s="44">
        <v>300866</v>
      </c>
      <c r="H254" s="44"/>
      <c r="I254" s="44">
        <v>875628</v>
      </c>
      <c r="J254" s="44"/>
      <c r="K254" s="44">
        <v>4325202</v>
      </c>
      <c r="L254" s="44"/>
      <c r="M254" s="44">
        <v>2451485</v>
      </c>
      <c r="N254" s="44"/>
      <c r="O254" s="44">
        <v>0</v>
      </c>
      <c r="P254" s="44"/>
      <c r="Q254" s="44">
        <v>3284600</v>
      </c>
      <c r="R254" s="44"/>
      <c r="S254" s="44">
        <v>8095</v>
      </c>
      <c r="T254" s="44"/>
      <c r="U254" s="44">
        <v>39012</v>
      </c>
      <c r="V254" s="44"/>
      <c r="W254" s="44">
        <v>-257770</v>
      </c>
      <c r="X254" s="44"/>
      <c r="Y254" s="44">
        <v>0</v>
      </c>
      <c r="Z254" s="44"/>
      <c r="AA254" s="44">
        <f t="shared" si="17"/>
        <v>9850624</v>
      </c>
      <c r="AB254" s="44"/>
      <c r="AC254" s="44">
        <f t="shared" si="16"/>
        <v>12161548</v>
      </c>
    </row>
    <row r="255" spans="1:29" s="47" customFormat="1" ht="12.75" customHeight="1" x14ac:dyDescent="0.2">
      <c r="A255" s="47" t="s">
        <v>280</v>
      </c>
      <c r="C255" s="47" t="s">
        <v>281</v>
      </c>
      <c r="E255" s="44">
        <v>2277095</v>
      </c>
      <c r="F255" s="44"/>
      <c r="G255" s="44">
        <v>1780630</v>
      </c>
      <c r="H255" s="44"/>
      <c r="I255" s="44">
        <v>0</v>
      </c>
      <c r="J255" s="44"/>
      <c r="K255" s="44">
        <f>394182+963992+219150+265851</f>
        <v>1843175</v>
      </c>
      <c r="L255" s="44"/>
      <c r="M255" s="44">
        <v>3817945</v>
      </c>
      <c r="N255" s="44"/>
      <c r="O255" s="44">
        <v>0</v>
      </c>
      <c r="P255" s="44"/>
      <c r="Q255" s="44">
        <v>2070647</v>
      </c>
      <c r="R255" s="44"/>
      <c r="S255" s="44">
        <v>13453</v>
      </c>
      <c r="T255" s="44"/>
      <c r="U255" s="44">
        <v>357534</v>
      </c>
      <c r="V255" s="44"/>
      <c r="W255" s="44">
        <v>-163604</v>
      </c>
      <c r="X255" s="44"/>
      <c r="Y255" s="44">
        <v>0</v>
      </c>
      <c r="Z255" s="44"/>
      <c r="AA255" s="44">
        <f t="shared" si="17"/>
        <v>7939150</v>
      </c>
      <c r="AB255" s="44"/>
      <c r="AC255" s="44">
        <f t="shared" si="16"/>
        <v>11996875</v>
      </c>
    </row>
    <row r="256" spans="1:29" s="47" customFormat="1" ht="12.75" customHeight="1" x14ac:dyDescent="0.2">
      <c r="A256" s="47" t="s">
        <v>282</v>
      </c>
      <c r="C256" s="47" t="s">
        <v>199</v>
      </c>
      <c r="E256" s="44">
        <v>2120790</v>
      </c>
      <c r="F256" s="44"/>
      <c r="G256" s="44">
        <v>1920574</v>
      </c>
      <c r="H256" s="44"/>
      <c r="I256" s="44">
        <v>2024896</v>
      </c>
      <c r="J256" s="44"/>
      <c r="K256" s="44">
        <v>2181978</v>
      </c>
      <c r="L256" s="44"/>
      <c r="M256" s="44">
        <v>9670667</v>
      </c>
      <c r="N256" s="44"/>
      <c r="O256" s="44">
        <f>1279657+188835</f>
        <v>1468492</v>
      </c>
      <c r="P256" s="44"/>
      <c r="Q256" s="44">
        <v>1519463</v>
      </c>
      <c r="R256" s="44"/>
      <c r="S256" s="44">
        <v>286128</v>
      </c>
      <c r="T256" s="44"/>
      <c r="U256" s="44">
        <v>189107</v>
      </c>
      <c r="V256" s="44"/>
      <c r="W256" s="44">
        <v>0</v>
      </c>
      <c r="X256" s="44"/>
      <c r="Y256" s="44">
        <v>0</v>
      </c>
      <c r="Z256" s="44"/>
      <c r="AA256" s="44">
        <f t="shared" si="17"/>
        <v>15315835</v>
      </c>
      <c r="AB256" s="44"/>
      <c r="AC256" s="44">
        <f t="shared" si="16"/>
        <v>21382095</v>
      </c>
    </row>
    <row r="257" spans="1:29" s="47" customFormat="1" ht="12.75" customHeight="1" x14ac:dyDescent="0.2">
      <c r="A257" s="47" t="s">
        <v>283</v>
      </c>
      <c r="C257" s="47" t="s">
        <v>43</v>
      </c>
      <c r="E257" s="44">
        <v>3802214</v>
      </c>
      <c r="F257" s="44"/>
      <c r="G257" s="44">
        <v>1350663</v>
      </c>
      <c r="H257" s="44"/>
      <c r="I257" s="44">
        <v>0</v>
      </c>
      <c r="J257" s="44"/>
      <c r="K257" s="44">
        <v>2527234</v>
      </c>
      <c r="L257" s="44"/>
      <c r="M257" s="44">
        <v>20286588</v>
      </c>
      <c r="N257" s="44"/>
      <c r="O257" s="44">
        <v>170836</v>
      </c>
      <c r="P257" s="44"/>
      <c r="Q257" s="44">
        <v>1365348</v>
      </c>
      <c r="R257" s="44"/>
      <c r="S257" s="44">
        <v>101432</v>
      </c>
      <c r="T257" s="44"/>
      <c r="U257" s="44">
        <v>540794</v>
      </c>
      <c r="V257" s="44"/>
      <c r="W257" s="44">
        <v>0</v>
      </c>
      <c r="X257" s="44"/>
      <c r="Y257" s="44">
        <v>0</v>
      </c>
      <c r="Z257" s="44"/>
      <c r="AA257" s="44">
        <f t="shared" si="17"/>
        <v>24992232</v>
      </c>
      <c r="AB257" s="44"/>
      <c r="AC257" s="44">
        <f t="shared" si="16"/>
        <v>30145109</v>
      </c>
    </row>
    <row r="258" spans="1:29" s="47" customFormat="1" ht="12.75" customHeight="1" x14ac:dyDescent="0.2">
      <c r="A258" s="47" t="s">
        <v>284</v>
      </c>
      <c r="C258" s="47" t="s">
        <v>45</v>
      </c>
      <c r="E258" s="44">
        <v>1196474</v>
      </c>
      <c r="F258" s="44"/>
      <c r="G258" s="44">
        <v>614638</v>
      </c>
      <c r="H258" s="44"/>
      <c r="I258" s="44">
        <v>452925</v>
      </c>
      <c r="J258" s="44"/>
      <c r="K258" s="44">
        <v>2755848</v>
      </c>
      <c r="L258" s="44"/>
      <c r="M258" s="44">
        <v>3496215</v>
      </c>
      <c r="N258" s="44"/>
      <c r="O258" s="44">
        <v>0</v>
      </c>
      <c r="P258" s="44"/>
      <c r="Q258" s="44">
        <v>1157415</v>
      </c>
      <c r="R258" s="44"/>
      <c r="S258" s="44">
        <v>36126</v>
      </c>
      <c r="T258" s="44"/>
      <c r="U258" s="44">
        <v>161227</v>
      </c>
      <c r="V258" s="44"/>
      <c r="W258" s="44">
        <v>0</v>
      </c>
      <c r="X258" s="44"/>
      <c r="Y258" s="44">
        <v>0</v>
      </c>
      <c r="Z258" s="44"/>
      <c r="AA258" s="44">
        <f t="shared" si="17"/>
        <v>7606831</v>
      </c>
      <c r="AB258" s="44"/>
      <c r="AC258" s="44">
        <f t="shared" si="16"/>
        <v>9870868</v>
      </c>
    </row>
    <row r="259" spans="1:29" s="47" customFormat="1" ht="12.75" customHeight="1" x14ac:dyDescent="0.2">
      <c r="A259" s="47" t="s">
        <v>285</v>
      </c>
      <c r="C259" s="47" t="s">
        <v>30</v>
      </c>
      <c r="E259" s="44">
        <v>3257412</v>
      </c>
      <c r="F259" s="44"/>
      <c r="G259" s="44">
        <v>398496</v>
      </c>
      <c r="H259" s="44"/>
      <c r="I259" s="44">
        <v>1634700</v>
      </c>
      <c r="J259" s="44"/>
      <c r="K259" s="44">
        <v>1361654</v>
      </c>
      <c r="L259" s="44"/>
      <c r="M259" s="44">
        <v>10969297</v>
      </c>
      <c r="N259" s="44"/>
      <c r="O259" s="44">
        <f>36655+1418289</f>
        <v>1454944</v>
      </c>
      <c r="P259" s="44"/>
      <c r="Q259" s="44">
        <v>1895351</v>
      </c>
      <c r="R259" s="44"/>
      <c r="S259" s="44">
        <v>63811</v>
      </c>
      <c r="T259" s="44"/>
      <c r="U259" s="44">
        <v>385145</v>
      </c>
      <c r="V259" s="44"/>
      <c r="W259" s="44">
        <v>104499</v>
      </c>
      <c r="X259" s="44"/>
      <c r="Y259" s="44">
        <v>0</v>
      </c>
      <c r="Z259" s="44"/>
      <c r="AA259" s="44">
        <f t="shared" si="17"/>
        <v>16234701</v>
      </c>
      <c r="AB259" s="44"/>
      <c r="AC259" s="44">
        <f t="shared" si="16"/>
        <v>21525309</v>
      </c>
    </row>
    <row r="260" spans="1:29" s="47" customFormat="1" ht="12.75" customHeight="1" x14ac:dyDescent="0.2">
      <c r="A260" s="47" t="s">
        <v>286</v>
      </c>
      <c r="C260" s="47" t="s">
        <v>61</v>
      </c>
      <c r="E260" s="44">
        <v>11200706</v>
      </c>
      <c r="F260" s="44"/>
      <c r="G260" s="44">
        <v>13129173</v>
      </c>
      <c r="H260" s="44"/>
      <c r="I260" s="44">
        <v>8831285</v>
      </c>
      <c r="J260" s="44"/>
      <c r="K260" s="44">
        <f>3400757+232641</f>
        <v>3633398</v>
      </c>
      <c r="L260" s="44"/>
      <c r="M260" s="44">
        <f>24099560+6648403+8871940+4631831</f>
        <v>44251734</v>
      </c>
      <c r="N260" s="44"/>
      <c r="O260" s="44">
        <v>588159</v>
      </c>
      <c r="P260" s="44"/>
      <c r="Q260" s="44">
        <v>4462605</v>
      </c>
      <c r="R260" s="44"/>
      <c r="S260" s="44">
        <v>11984</v>
      </c>
      <c r="T260" s="44"/>
      <c r="U260" s="44">
        <v>988365</v>
      </c>
      <c r="V260" s="44"/>
      <c r="W260" s="44">
        <v>0</v>
      </c>
      <c r="X260" s="44"/>
      <c r="Y260" s="44">
        <v>0</v>
      </c>
      <c r="Z260" s="44"/>
      <c r="AA260" s="44">
        <f t="shared" si="17"/>
        <v>53936245</v>
      </c>
      <c r="AB260" s="44"/>
      <c r="AC260" s="44">
        <f t="shared" si="16"/>
        <v>87097409</v>
      </c>
    </row>
    <row r="261" spans="1:29" s="47" customFormat="1" ht="12.75" customHeight="1" x14ac:dyDescent="0.2">
      <c r="A261" s="47" t="s">
        <v>287</v>
      </c>
      <c r="C261" s="47" t="s">
        <v>288</v>
      </c>
      <c r="E261" s="44">
        <v>2024003</v>
      </c>
      <c r="F261" s="44"/>
      <c r="G261" s="44">
        <v>2799793</v>
      </c>
      <c r="H261" s="44"/>
      <c r="I261" s="44">
        <v>817085</v>
      </c>
      <c r="J261" s="44"/>
      <c r="K261" s="44">
        <f>663350+5693+370638</f>
        <v>1039681</v>
      </c>
      <c r="L261" s="44"/>
      <c r="M261" s="44">
        <f>7663011+3586008+1433495+1435222</f>
        <v>14117736</v>
      </c>
      <c r="N261" s="44"/>
      <c r="O261" s="44">
        <f>606855+396603</f>
        <v>1003458</v>
      </c>
      <c r="P261" s="44"/>
      <c r="Q261" s="44">
        <v>3332021</v>
      </c>
      <c r="R261" s="44"/>
      <c r="S261" s="44">
        <v>95054</v>
      </c>
      <c r="T261" s="44"/>
      <c r="U261" s="44">
        <f>26553+93353</f>
        <v>119906</v>
      </c>
      <c r="V261" s="44"/>
      <c r="W261" s="44">
        <v>-60895</v>
      </c>
      <c r="X261" s="44"/>
      <c r="Y261" s="44">
        <v>0</v>
      </c>
      <c r="Z261" s="44"/>
      <c r="AA261" s="44">
        <f t="shared" si="17"/>
        <v>19646961</v>
      </c>
      <c r="AB261" s="44"/>
      <c r="AC261" s="44">
        <f t="shared" si="16"/>
        <v>25287842</v>
      </c>
    </row>
    <row r="262" spans="1:29" s="47" customFormat="1" ht="12.75" customHeight="1" x14ac:dyDescent="0.2">
      <c r="A262" s="47" t="s">
        <v>471</v>
      </c>
      <c r="C262" s="49"/>
      <c r="D262" s="49"/>
    </row>
    <row r="263" spans="1:29" s="47" customFormat="1" ht="12.75" customHeight="1" x14ac:dyDescent="0.2">
      <c r="A263" s="49"/>
      <c r="C263" s="49"/>
      <c r="D263" s="49"/>
    </row>
    <row r="264" spans="1:29" s="47" customFormat="1" ht="12.75" customHeight="1" x14ac:dyDescent="0.2"/>
    <row r="265" spans="1:29" s="47" customFormat="1" ht="12.75" customHeight="1" x14ac:dyDescent="0.2"/>
    <row r="266" spans="1:29" s="47" customFormat="1" ht="12.75" customHeight="1" x14ac:dyDescent="0.2"/>
    <row r="267" spans="1:29" s="47" customFormat="1" ht="12.75" customHeight="1" x14ac:dyDescent="0.2"/>
    <row r="268" spans="1:29" s="47" customFormat="1" ht="12.75" customHeight="1" x14ac:dyDescent="0.2"/>
    <row r="269" spans="1:29" s="47" customFormat="1" ht="12.75" customHeight="1" x14ac:dyDescent="0.2"/>
    <row r="270" spans="1:29" s="47" customFormat="1" ht="12.75" customHeight="1" x14ac:dyDescent="0.2"/>
    <row r="271" spans="1:29" s="47" customFormat="1" ht="12.75" customHeight="1" x14ac:dyDescent="0.2"/>
    <row r="272" spans="1:29" s="47" customFormat="1" ht="12.75" customHeight="1" x14ac:dyDescent="0.2"/>
  </sheetData>
  <mergeCells count="1">
    <mergeCell ref="K5:U5"/>
  </mergeCells>
  <phoneticPr fontId="4" type="noConversion"/>
  <printOptions horizontalCentered="1"/>
  <pageMargins left="0.75" right="0.75" top="0.5" bottom="0.5" header="0" footer="0.25"/>
  <pageSetup scale="79" firstPageNumber="14" pageOrder="overThenDown" orientation="portrait" useFirstPageNumber="1" r:id="rId1"/>
  <headerFooter alignWithMargins="0">
    <oddFooter>&amp;C&amp;"Times New Roman,Regular"&amp;11&amp;P</oddFooter>
  </headerFooter>
  <rowBreaks count="3" manualBreakCount="3">
    <brk id="73" max="28" man="1"/>
    <brk id="138" max="28" man="1"/>
    <brk id="200" max="28" man="1"/>
  </rowBreaks>
  <colBreaks count="1" manualBreakCount="1">
    <brk id="13" min="9" max="25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68"/>
  <sheetViews>
    <sheetView view="pageBreakPreview" zoomScale="70" zoomScaleNormal="100" zoomScaleSheetLayoutView="70" workbookViewId="0">
      <pane xSplit="3" ySplit="8" topLeftCell="D214" activePane="bottomRight" state="frozen"/>
      <selection pane="topRight" activeCell="D1" sqref="D1"/>
      <selection pane="bottomLeft" activeCell="A10" sqref="A10"/>
      <selection pane="bottomRight" activeCell="A4" sqref="A4"/>
    </sheetView>
  </sheetViews>
  <sheetFormatPr defaultColWidth="9.140625" defaultRowHeight="12.75" customHeight="1" x14ac:dyDescent="0.2"/>
  <cols>
    <col min="1" max="1" width="21.5703125" style="10" customWidth="1"/>
    <col min="2" max="2" width="1.7109375" customWidth="1"/>
    <col min="3" max="3" width="11.7109375" style="10" customWidth="1"/>
    <col min="4" max="4" width="1.7109375" style="10" customWidth="1"/>
    <col min="5" max="5" width="12.42578125" style="10" bestFit="1" customWidth="1"/>
    <col min="6" max="6" width="1.7109375" style="10" customWidth="1"/>
    <col min="7" max="7" width="11.7109375" style="10" customWidth="1"/>
    <col min="8" max="8" width="1.7109375" style="10" customWidth="1"/>
    <col min="9" max="9" width="11.7109375" style="10" customWidth="1"/>
    <col min="10" max="10" width="1.7109375" style="10" customWidth="1"/>
    <col min="11" max="11" width="11.7109375" style="10" customWidth="1"/>
    <col min="12" max="12" width="1.7109375" style="10" customWidth="1"/>
    <col min="13" max="13" width="11.7109375" style="10" customWidth="1"/>
    <col min="14" max="14" width="1.7109375" style="10" customWidth="1"/>
    <col min="15" max="15" width="11.7109375" style="10" customWidth="1"/>
    <col min="16" max="16" width="1.7109375" style="10" customWidth="1"/>
    <col min="17" max="17" width="11.7109375" style="10" customWidth="1"/>
    <col min="18" max="18" width="1.7109375" style="10" customWidth="1"/>
    <col min="19" max="19" width="13.42578125" style="10" customWidth="1"/>
    <col min="20" max="20" width="1.7109375" style="10" customWidth="1"/>
    <col min="21" max="21" width="11.7109375" style="10" customWidth="1"/>
    <col min="22" max="22" width="1.7109375" style="10" customWidth="1"/>
    <col min="23" max="23" width="13" style="10" bestFit="1" customWidth="1"/>
    <col min="24" max="24" width="1.7109375" style="10" customWidth="1"/>
    <col min="25" max="25" width="13.7109375" style="10" bestFit="1" customWidth="1"/>
    <col min="26" max="26" width="1.7109375" style="10" customWidth="1"/>
    <col min="27" max="27" width="13.7109375" style="10" bestFit="1" customWidth="1"/>
    <col min="28" max="28" width="1.7109375" style="10" customWidth="1"/>
    <col min="29" max="29" width="11.85546875" style="47" customWidth="1"/>
    <col min="30" max="30" width="12" style="10" bestFit="1" customWidth="1"/>
    <col min="31" max="31" width="10.5703125" style="10" bestFit="1" customWidth="1"/>
    <col min="32" max="16384" width="9.140625" style="10"/>
  </cols>
  <sheetData>
    <row r="1" spans="1:30" ht="12.75" customHeight="1" x14ac:dyDescent="0.2">
      <c r="A1" s="9" t="s">
        <v>385</v>
      </c>
    </row>
    <row r="2" spans="1:30" ht="12.75" customHeight="1" x14ac:dyDescent="0.2">
      <c r="A2" s="9" t="s">
        <v>501</v>
      </c>
    </row>
    <row r="3" spans="1:30" ht="12.75" customHeight="1" x14ac:dyDescent="0.2">
      <c r="A3" s="9" t="s">
        <v>289</v>
      </c>
    </row>
    <row r="4" spans="1:30" ht="12.75" customHeight="1" x14ac:dyDescent="0.2">
      <c r="A4" s="9" t="s">
        <v>484</v>
      </c>
    </row>
    <row r="5" spans="1:30" ht="12.75" customHeight="1" x14ac:dyDescent="0.2">
      <c r="A5" s="9"/>
      <c r="E5" s="157" t="s">
        <v>420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72"/>
      <c r="R5" s="72"/>
      <c r="S5" s="72"/>
      <c r="T5" s="72"/>
      <c r="U5" s="72"/>
      <c r="V5" s="56"/>
      <c r="W5" s="56"/>
    </row>
    <row r="6" spans="1:30" ht="12.75" customHeight="1" x14ac:dyDescent="0.2">
      <c r="E6" s="12" t="s">
        <v>396</v>
      </c>
      <c r="V6" s="19"/>
      <c r="Y6" s="12" t="s">
        <v>2</v>
      </c>
      <c r="Z6" s="12"/>
      <c r="AA6" s="12" t="s">
        <v>427</v>
      </c>
    </row>
    <row r="7" spans="1:30" ht="12.75" customHeight="1" x14ac:dyDescent="0.2">
      <c r="A7" s="11"/>
      <c r="C7" s="11"/>
      <c r="E7" s="12" t="s">
        <v>398</v>
      </c>
      <c r="F7" s="12"/>
      <c r="G7" s="12" t="s">
        <v>305</v>
      </c>
      <c r="H7" s="12"/>
      <c r="I7" s="12" t="s">
        <v>306</v>
      </c>
      <c r="J7" s="12"/>
      <c r="K7" s="12" t="s">
        <v>333</v>
      </c>
      <c r="L7" s="12"/>
      <c r="M7" s="12"/>
      <c r="N7" s="12"/>
      <c r="O7" s="12" t="s">
        <v>307</v>
      </c>
      <c r="P7" s="12"/>
      <c r="Q7" s="12" t="s">
        <v>296</v>
      </c>
      <c r="R7" s="12"/>
      <c r="S7" s="12"/>
      <c r="T7" s="12"/>
      <c r="U7" s="12" t="s">
        <v>308</v>
      </c>
      <c r="V7" s="12"/>
      <c r="W7" s="12" t="s">
        <v>6</v>
      </c>
      <c r="X7" s="12"/>
      <c r="Y7" s="12" t="s">
        <v>452</v>
      </c>
      <c r="Z7" s="12"/>
      <c r="AA7" s="12" t="s">
        <v>459</v>
      </c>
      <c r="AC7" s="97" t="s">
        <v>428</v>
      </c>
    </row>
    <row r="8" spans="1:30" s="47" customFormat="1" ht="12.75" customHeight="1" x14ac:dyDescent="0.2">
      <c r="A8" s="100" t="s">
        <v>8</v>
      </c>
      <c r="B8" s="51"/>
      <c r="C8" s="100" t="s">
        <v>9</v>
      </c>
      <c r="E8" s="16" t="s">
        <v>397</v>
      </c>
      <c r="F8" s="18"/>
      <c r="G8" s="16" t="s">
        <v>309</v>
      </c>
      <c r="H8" s="18"/>
      <c r="I8" s="16" t="s">
        <v>310</v>
      </c>
      <c r="J8" s="18"/>
      <c r="K8" s="16" t="s">
        <v>311</v>
      </c>
      <c r="L8" s="18"/>
      <c r="M8" s="16" t="s">
        <v>312</v>
      </c>
      <c r="N8" s="18"/>
      <c r="O8" s="16" t="s">
        <v>313</v>
      </c>
      <c r="P8" s="18"/>
      <c r="Q8" s="16" t="s">
        <v>314</v>
      </c>
      <c r="R8" s="18"/>
      <c r="S8" s="16" t="s">
        <v>294</v>
      </c>
      <c r="T8" s="18"/>
      <c r="U8" s="16" t="s">
        <v>340</v>
      </c>
      <c r="V8" s="18"/>
      <c r="W8" s="16" t="s">
        <v>374</v>
      </c>
      <c r="X8" s="18"/>
      <c r="Y8" s="16" t="s">
        <v>453</v>
      </c>
      <c r="Z8" s="97"/>
      <c r="AA8" s="16" t="s">
        <v>460</v>
      </c>
      <c r="AC8" s="102" t="s">
        <v>429</v>
      </c>
    </row>
    <row r="9" spans="1:30" s="47" customFormat="1" ht="12.75" customHeight="1" x14ac:dyDescent="0.2">
      <c r="A9" s="26"/>
      <c r="B9" s="51"/>
      <c r="C9" s="26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1:30" s="46" customFormat="1" ht="12.75" hidden="1" customHeight="1" x14ac:dyDescent="0.2">
      <c r="A10" s="46" t="s">
        <v>12</v>
      </c>
      <c r="B10" s="66"/>
      <c r="C10" s="46" t="s">
        <v>13</v>
      </c>
      <c r="E10" s="46">
        <f>50268506+109950785</f>
        <v>160219291</v>
      </c>
      <c r="G10" s="46">
        <v>3517378</v>
      </c>
      <c r="I10" s="46">
        <v>5801457</v>
      </c>
      <c r="K10" s="46">
        <v>56713838</v>
      </c>
      <c r="M10" s="46">
        <v>0</v>
      </c>
      <c r="O10" s="46">
        <v>0</v>
      </c>
      <c r="Q10" s="46">
        <v>48717920</v>
      </c>
      <c r="S10" s="46">
        <v>15358939</v>
      </c>
      <c r="U10" s="46">
        <v>22212625</v>
      </c>
      <c r="W10" s="46">
        <f t="shared" ref="W10:W11" si="0">SUM(E10:U10)</f>
        <v>312541448</v>
      </c>
      <c r="Y10" s="46">
        <v>332832953</v>
      </c>
      <c r="AA10" s="46">
        <f>+'Stmt net assets'!Y10</f>
        <v>369196779</v>
      </c>
      <c r="AC10" s="46">
        <f>+Y10+'Stmt of activities-GA rev'!AC10-'Stmt of activities-GAexp'!W10-AA10</f>
        <v>0</v>
      </c>
    </row>
    <row r="11" spans="1:30" s="46" customFormat="1" ht="12.75" customHeight="1" x14ac:dyDescent="0.2">
      <c r="A11" s="46" t="s">
        <v>14</v>
      </c>
      <c r="B11" s="66"/>
      <c r="C11" s="46" t="s">
        <v>15</v>
      </c>
      <c r="E11" s="46">
        <v>9033362</v>
      </c>
      <c r="G11" s="46">
        <v>1034561</v>
      </c>
      <c r="I11" s="46">
        <v>770365</v>
      </c>
      <c r="K11" s="46">
        <v>1856513</v>
      </c>
      <c r="M11" s="46">
        <v>2015461</v>
      </c>
      <c r="O11" s="46">
        <v>60904</v>
      </c>
      <c r="Q11" s="46">
        <v>3280078</v>
      </c>
      <c r="S11" s="46">
        <v>0</v>
      </c>
      <c r="U11" s="46">
        <v>71335</v>
      </c>
      <c r="W11" s="46">
        <f t="shared" si="0"/>
        <v>18122579</v>
      </c>
      <c r="Y11" s="46">
        <v>31651879</v>
      </c>
      <c r="AA11" s="46">
        <f>+'Stmt net assets'!Y11</f>
        <v>30640071</v>
      </c>
      <c r="AC11" s="46">
        <f>+Y11+'Stmt of activities-GA rev'!AC11-'Stmt of activities-GAexp'!W11-AA11</f>
        <v>0</v>
      </c>
    </row>
    <row r="12" spans="1:30" s="47" customFormat="1" ht="12.75" customHeight="1" x14ac:dyDescent="0.2">
      <c r="A12" s="47" t="s">
        <v>16</v>
      </c>
      <c r="B12" s="51"/>
      <c r="C12" s="47" t="s">
        <v>17</v>
      </c>
      <c r="E12" s="44">
        <v>3630708</v>
      </c>
      <c r="F12" s="44"/>
      <c r="G12" s="44">
        <v>182119</v>
      </c>
      <c r="H12" s="44"/>
      <c r="I12" s="44">
        <v>208193</v>
      </c>
      <c r="J12" s="44"/>
      <c r="K12" s="44">
        <v>120958</v>
      </c>
      <c r="L12" s="44"/>
      <c r="M12" s="44">
        <v>2158982</v>
      </c>
      <c r="N12" s="44"/>
      <c r="O12" s="44">
        <v>0</v>
      </c>
      <c r="P12" s="44"/>
      <c r="Q12" s="44">
        <v>1253538</v>
      </c>
      <c r="R12" s="44"/>
      <c r="S12" s="44">
        <v>0</v>
      </c>
      <c r="T12" s="44"/>
      <c r="U12" s="44">
        <v>156333</v>
      </c>
      <c r="V12" s="44"/>
      <c r="W12" s="44">
        <f t="shared" ref="W12:W71" si="1">SUM(E12:U12)</f>
        <v>7710831</v>
      </c>
      <c r="X12" s="44"/>
      <c r="Y12" s="44">
        <v>31446313</v>
      </c>
      <c r="Z12" s="44"/>
      <c r="AA12" s="44">
        <f>+'Stmt net assets'!Y12</f>
        <v>31512921</v>
      </c>
      <c r="AB12" s="44"/>
      <c r="AC12" s="44">
        <f>+Y12+'Stmt of activities-GA rev'!AC12-'Stmt of activities-GAexp'!W12-AA12</f>
        <v>0</v>
      </c>
    </row>
    <row r="13" spans="1:30" s="44" customFormat="1" ht="12.75" customHeight="1" x14ac:dyDescent="0.2">
      <c r="A13" s="47" t="s">
        <v>18</v>
      </c>
      <c r="B13" s="51"/>
      <c r="C13" s="47" t="s">
        <v>18</v>
      </c>
      <c r="D13" s="47"/>
      <c r="E13" s="44">
        <v>6836097</v>
      </c>
      <c r="G13" s="44">
        <v>315944</v>
      </c>
      <c r="I13" s="44">
        <v>1181955</v>
      </c>
      <c r="K13" s="44">
        <v>455576</v>
      </c>
      <c r="M13" s="44">
        <v>2785525</v>
      </c>
      <c r="O13" s="44">
        <v>0</v>
      </c>
      <c r="Q13" s="44">
        <v>5341766</v>
      </c>
      <c r="S13" s="44">
        <v>0</v>
      </c>
      <c r="U13" s="44">
        <v>127022</v>
      </c>
      <c r="W13" s="44">
        <f t="shared" si="1"/>
        <v>17043885</v>
      </c>
      <c r="Y13" s="44">
        <v>24411769</v>
      </c>
      <c r="AA13" s="44">
        <f>+'Stmt net assets'!Y13</f>
        <v>25343918</v>
      </c>
      <c r="AC13" s="44">
        <f>+Y13+'Stmt of activities-GA rev'!AC13-'Stmt of activities-GAexp'!W13-AA13</f>
        <v>0</v>
      </c>
    </row>
    <row r="14" spans="1:30" s="122" customFormat="1" ht="12.75" hidden="1" customHeight="1" x14ac:dyDescent="0.2">
      <c r="A14" s="121" t="s">
        <v>19</v>
      </c>
      <c r="B14" s="121"/>
      <c r="C14" s="121" t="s">
        <v>19</v>
      </c>
      <c r="D14" s="121"/>
      <c r="E14" s="121">
        <f>3655811+2767995</f>
        <v>6423806</v>
      </c>
      <c r="F14" s="121"/>
      <c r="G14" s="121">
        <v>328901</v>
      </c>
      <c r="H14" s="121"/>
      <c r="I14" s="121">
        <v>24655</v>
      </c>
      <c r="J14" s="121"/>
      <c r="K14" s="121">
        <v>1002021</v>
      </c>
      <c r="L14" s="121"/>
      <c r="M14" s="121">
        <v>4237540</v>
      </c>
      <c r="N14" s="121"/>
      <c r="O14" s="121">
        <v>116525</v>
      </c>
      <c r="P14" s="121"/>
      <c r="Q14" s="121">
        <f>2792683+1084083</f>
        <v>3876766</v>
      </c>
      <c r="R14" s="121"/>
      <c r="S14" s="121">
        <v>0</v>
      </c>
      <c r="T14" s="121"/>
      <c r="U14" s="121">
        <v>23355</v>
      </c>
      <c r="V14" s="121"/>
      <c r="W14" s="121">
        <f t="shared" si="1"/>
        <v>16033569</v>
      </c>
      <c r="X14" s="121"/>
      <c r="Y14" s="121">
        <v>22491542</v>
      </c>
      <c r="Z14" s="121"/>
      <c r="AA14" s="121">
        <f>+'Stmt net assets'!Y14</f>
        <v>27249172</v>
      </c>
      <c r="AB14" s="121"/>
      <c r="AC14" s="121">
        <f>+Y14+'Stmt of activities-GA rev'!AC14-'Stmt of activities-GAexp'!W14-AA14</f>
        <v>567475</v>
      </c>
      <c r="AD14" s="121" t="s">
        <v>502</v>
      </c>
    </row>
    <row r="15" spans="1:30" s="47" customFormat="1" ht="12.75" customHeight="1" x14ac:dyDescent="0.2">
      <c r="A15" s="47" t="s">
        <v>20</v>
      </c>
      <c r="B15" s="51"/>
      <c r="C15" s="47" t="s">
        <v>20</v>
      </c>
      <c r="E15" s="44">
        <f>3490329+2627684</f>
        <v>6118013</v>
      </c>
      <c r="F15" s="44"/>
      <c r="G15" s="44">
        <v>0</v>
      </c>
      <c r="H15" s="44"/>
      <c r="I15" s="44">
        <v>2154962</v>
      </c>
      <c r="J15" s="44"/>
      <c r="K15" s="44">
        <v>754092</v>
      </c>
      <c r="L15" s="44"/>
      <c r="M15" s="44">
        <v>4617343</v>
      </c>
      <c r="N15" s="44"/>
      <c r="O15" s="44">
        <v>0</v>
      </c>
      <c r="P15" s="44"/>
      <c r="Q15" s="44">
        <v>4904924</v>
      </c>
      <c r="R15" s="44"/>
      <c r="S15" s="44">
        <v>0</v>
      </c>
      <c r="T15" s="44"/>
      <c r="U15" s="44">
        <v>80308</v>
      </c>
      <c r="V15" s="44"/>
      <c r="W15" s="44">
        <f t="shared" si="1"/>
        <v>18629642</v>
      </c>
      <c r="X15" s="44"/>
      <c r="Y15" s="44">
        <v>68846793</v>
      </c>
      <c r="Z15" s="44"/>
      <c r="AA15" s="44">
        <f>+'Stmt net assets'!Y15</f>
        <v>71948115</v>
      </c>
      <c r="AB15" s="44"/>
      <c r="AC15" s="44">
        <f>+Y15+'Stmt of activities-GA rev'!AC15-'Stmt of activities-GAexp'!W15-AA15</f>
        <v>0</v>
      </c>
      <c r="AD15" s="44"/>
    </row>
    <row r="16" spans="1:30" s="47" customFormat="1" ht="12.75" customHeight="1" x14ac:dyDescent="0.2">
      <c r="A16" s="47" t="s">
        <v>21</v>
      </c>
      <c r="B16" s="51"/>
      <c r="C16" s="47" t="s">
        <v>22</v>
      </c>
      <c r="E16" s="44">
        <v>7460765</v>
      </c>
      <c r="F16" s="44"/>
      <c r="G16" s="44">
        <v>0</v>
      </c>
      <c r="H16" s="44"/>
      <c r="I16" s="44">
        <v>1434279</v>
      </c>
      <c r="J16" s="44"/>
      <c r="K16" s="44">
        <v>852540</v>
      </c>
      <c r="L16" s="44"/>
      <c r="M16" s="44">
        <v>3148354</v>
      </c>
      <c r="N16" s="44"/>
      <c r="O16" s="44">
        <v>0</v>
      </c>
      <c r="P16" s="44"/>
      <c r="Q16" s="44">
        <v>2680164</v>
      </c>
      <c r="R16" s="44"/>
      <c r="S16" s="44">
        <v>1012</v>
      </c>
      <c r="T16" s="44"/>
      <c r="U16" s="44">
        <v>440310</v>
      </c>
      <c r="V16" s="44"/>
      <c r="W16" s="44">
        <f t="shared" si="1"/>
        <v>16017424</v>
      </c>
      <c r="X16" s="44"/>
      <c r="Y16" s="44">
        <v>74270872</v>
      </c>
      <c r="Z16" s="44"/>
      <c r="AA16" s="44">
        <f>+'Stmt net assets'!Y16</f>
        <v>79843769</v>
      </c>
      <c r="AB16" s="44"/>
      <c r="AC16" s="44">
        <f>+Y16+'Stmt of activities-GA rev'!AC16-'Stmt of activities-GAexp'!W16-AA16</f>
        <v>0</v>
      </c>
    </row>
    <row r="17" spans="1:29" s="47" customFormat="1" ht="12.75" customHeight="1" x14ac:dyDescent="0.2">
      <c r="A17" s="47" t="s">
        <v>23</v>
      </c>
      <c r="B17" s="51"/>
      <c r="C17" s="47" t="s">
        <v>17</v>
      </c>
      <c r="E17" s="44">
        <v>8769685</v>
      </c>
      <c r="F17" s="44"/>
      <c r="G17" s="44">
        <v>0</v>
      </c>
      <c r="H17" s="44"/>
      <c r="I17" s="44">
        <v>1464779</v>
      </c>
      <c r="J17" s="44"/>
      <c r="K17" s="44">
        <v>1320973</v>
      </c>
      <c r="L17" s="44"/>
      <c r="M17" s="44">
        <v>4150279</v>
      </c>
      <c r="N17" s="44"/>
      <c r="O17" s="44">
        <v>682667</v>
      </c>
      <c r="P17" s="44"/>
      <c r="Q17" s="44">
        <v>4525898</v>
      </c>
      <c r="R17" s="44"/>
      <c r="S17" s="44">
        <v>0</v>
      </c>
      <c r="T17" s="44"/>
      <c r="U17" s="44">
        <v>2300130</v>
      </c>
      <c r="V17" s="44"/>
      <c r="W17" s="44">
        <f t="shared" si="1"/>
        <v>23214411</v>
      </c>
      <c r="X17" s="44"/>
      <c r="Y17" s="44">
        <v>56450811</v>
      </c>
      <c r="Z17" s="44"/>
      <c r="AA17" s="44">
        <f>+'Stmt net assets'!Y17</f>
        <v>46259510</v>
      </c>
      <c r="AB17" s="44"/>
      <c r="AC17" s="44">
        <f>+Y17+'Stmt of activities-GA rev'!AC17-'Stmt of activities-GAexp'!W17-AA17</f>
        <v>0</v>
      </c>
    </row>
    <row r="18" spans="1:29" s="47" customFormat="1" ht="12.75" customHeight="1" x14ac:dyDescent="0.2">
      <c r="A18" s="47" t="s">
        <v>24</v>
      </c>
      <c r="B18" s="51"/>
      <c r="C18" s="47" t="s">
        <v>17</v>
      </c>
      <c r="E18" s="44">
        <v>8503399</v>
      </c>
      <c r="F18" s="44"/>
      <c r="G18" s="44">
        <v>153410</v>
      </c>
      <c r="H18" s="44"/>
      <c r="I18" s="44">
        <v>1266323</v>
      </c>
      <c r="J18" s="44"/>
      <c r="K18" s="44">
        <v>395885</v>
      </c>
      <c r="L18" s="44"/>
      <c r="M18" s="44">
        <v>7264429</v>
      </c>
      <c r="N18" s="44"/>
      <c r="O18" s="44">
        <v>621573</v>
      </c>
      <c r="P18" s="44"/>
      <c r="Q18" s="44">
        <v>2941143</v>
      </c>
      <c r="R18" s="44"/>
      <c r="S18" s="44">
        <v>0</v>
      </c>
      <c r="T18" s="44"/>
      <c r="U18" s="44">
        <v>523145</v>
      </c>
      <c r="V18" s="44"/>
      <c r="W18" s="44">
        <f t="shared" ref="W18" si="2">SUM(E18:U18)</f>
        <v>21669307</v>
      </c>
      <c r="X18" s="44"/>
      <c r="Y18" s="44">
        <v>62959237</v>
      </c>
      <c r="Z18" s="44"/>
      <c r="AA18" s="44">
        <f>+'Stmt net assets'!Y18</f>
        <v>61176213</v>
      </c>
      <c r="AB18" s="44"/>
      <c r="AC18" s="44">
        <f>+Y18+'Stmt of activities-GA rev'!AC18-'Stmt of activities-GAexp'!W18-AA18</f>
        <v>0</v>
      </c>
    </row>
    <row r="19" spans="1:29" s="47" customFormat="1" ht="12.75" customHeight="1" x14ac:dyDescent="0.2">
      <c r="A19" s="47" t="s">
        <v>25</v>
      </c>
      <c r="B19" s="51"/>
      <c r="C19" s="47" t="s">
        <v>13</v>
      </c>
      <c r="E19" s="44">
        <v>10096123</v>
      </c>
      <c r="F19" s="44"/>
      <c r="G19" s="44">
        <v>28342</v>
      </c>
      <c r="H19" s="44"/>
      <c r="I19" s="44">
        <v>1328524</v>
      </c>
      <c r="J19" s="44"/>
      <c r="K19" s="44">
        <v>2741517</v>
      </c>
      <c r="L19" s="44"/>
      <c r="M19" s="44">
        <v>2730584</v>
      </c>
      <c r="N19" s="44"/>
      <c r="O19" s="44">
        <v>0</v>
      </c>
      <c r="P19" s="44"/>
      <c r="Q19" s="44">
        <v>4408029</v>
      </c>
      <c r="R19" s="44"/>
      <c r="S19" s="44">
        <v>0</v>
      </c>
      <c r="T19" s="44"/>
      <c r="U19" s="44">
        <v>233974</v>
      </c>
      <c r="V19" s="44"/>
      <c r="W19" s="44">
        <f t="shared" si="1"/>
        <v>21567093</v>
      </c>
      <c r="X19" s="44"/>
      <c r="Y19" s="44">
        <v>25096370</v>
      </c>
      <c r="Z19" s="44"/>
      <c r="AA19" s="44">
        <f>+'Stmt net assets'!Y19</f>
        <v>27413946</v>
      </c>
      <c r="AB19" s="44"/>
      <c r="AC19" s="44">
        <f>+Y19+'Stmt of activities-GA rev'!AC19-'Stmt of activities-GAexp'!W19-AA19</f>
        <v>0</v>
      </c>
    </row>
    <row r="20" spans="1:29" s="47" customFormat="1" ht="12.75" customHeight="1" x14ac:dyDescent="0.2">
      <c r="A20" s="47" t="s">
        <v>26</v>
      </c>
      <c r="B20" s="51"/>
      <c r="C20" s="47" t="s">
        <v>27</v>
      </c>
      <c r="E20" s="44">
        <v>6816628</v>
      </c>
      <c r="F20" s="44"/>
      <c r="G20" s="44">
        <v>400825</v>
      </c>
      <c r="H20" s="44"/>
      <c r="I20" s="44">
        <v>957931</v>
      </c>
      <c r="J20" s="44"/>
      <c r="K20" s="44">
        <v>670741</v>
      </c>
      <c r="L20" s="44"/>
      <c r="M20" s="44">
        <v>2771883</v>
      </c>
      <c r="N20" s="44"/>
      <c r="O20" s="44">
        <v>1859129</v>
      </c>
      <c r="P20" s="44"/>
      <c r="Q20" s="44">
        <v>2788614</v>
      </c>
      <c r="R20" s="44"/>
      <c r="S20" s="44">
        <v>0</v>
      </c>
      <c r="T20" s="44"/>
      <c r="U20" s="44">
        <v>445057</v>
      </c>
      <c r="V20" s="44"/>
      <c r="W20" s="44">
        <f t="shared" si="1"/>
        <v>16710808</v>
      </c>
      <c r="X20" s="44"/>
      <c r="Y20" s="44">
        <v>26741938</v>
      </c>
      <c r="Z20" s="44"/>
      <c r="AA20" s="44">
        <f>+'Stmt net assets'!Y20</f>
        <v>26222473</v>
      </c>
      <c r="AB20" s="44"/>
      <c r="AC20" s="44">
        <f>+Y20+'Stmt of activities-GA rev'!AC20-'Stmt of activities-GAexp'!W20-AA20</f>
        <v>0</v>
      </c>
    </row>
    <row r="21" spans="1:29" s="47" customFormat="1" ht="12.75" customHeight="1" x14ac:dyDescent="0.2">
      <c r="A21" s="47" t="s">
        <v>28</v>
      </c>
      <c r="B21" s="51"/>
      <c r="C21" s="47" t="s">
        <v>27</v>
      </c>
      <c r="E21" s="44">
        <f>8038163+5955042</f>
        <v>13993205</v>
      </c>
      <c r="F21" s="44"/>
      <c r="G21" s="44">
        <v>549513</v>
      </c>
      <c r="H21" s="44"/>
      <c r="I21" s="44">
        <v>2608014</v>
      </c>
      <c r="J21" s="44"/>
      <c r="K21" s="44">
        <v>968373</v>
      </c>
      <c r="L21" s="44"/>
      <c r="M21" s="44">
        <v>10348729</v>
      </c>
      <c r="N21" s="44"/>
      <c r="O21" s="44">
        <v>0</v>
      </c>
      <c r="P21" s="44"/>
      <c r="Q21" s="44">
        <v>4533871</v>
      </c>
      <c r="R21" s="44"/>
      <c r="S21" s="44">
        <v>0</v>
      </c>
      <c r="T21" s="44"/>
      <c r="U21" s="44">
        <v>925241</v>
      </c>
      <c r="V21" s="44"/>
      <c r="W21" s="44">
        <f t="shared" si="1"/>
        <v>33926946</v>
      </c>
      <c r="X21" s="44"/>
      <c r="Y21" s="44">
        <v>101456981</v>
      </c>
      <c r="Z21" s="44"/>
      <c r="AA21" s="44">
        <f>+'Stmt net assets'!Y21</f>
        <v>108061944</v>
      </c>
      <c r="AB21" s="44"/>
      <c r="AC21" s="44">
        <f>+Y21+'Stmt of activities-GA rev'!AC21-'Stmt of activities-GAexp'!W21-AA21</f>
        <v>0</v>
      </c>
    </row>
    <row r="22" spans="1:29" s="47" customFormat="1" ht="12.75" customHeight="1" x14ac:dyDescent="0.2">
      <c r="A22" s="47" t="s">
        <v>29</v>
      </c>
      <c r="B22" s="51"/>
      <c r="C22" s="47" t="s">
        <v>30</v>
      </c>
      <c r="E22" s="44">
        <v>7682456</v>
      </c>
      <c r="F22" s="44"/>
      <c r="G22" s="44">
        <v>152040</v>
      </c>
      <c r="H22" s="44"/>
      <c r="I22" s="44">
        <v>1721879</v>
      </c>
      <c r="J22" s="44"/>
      <c r="K22" s="44">
        <v>649998</v>
      </c>
      <c r="L22" s="44"/>
      <c r="M22" s="44">
        <v>10221998</v>
      </c>
      <c r="N22" s="44"/>
      <c r="O22" s="44">
        <v>78663</v>
      </c>
      <c r="P22" s="44"/>
      <c r="Q22" s="44">
        <v>2709927</v>
      </c>
      <c r="R22" s="44"/>
      <c r="S22" s="44">
        <v>0</v>
      </c>
      <c r="T22" s="44"/>
      <c r="U22" s="44">
        <v>528013</v>
      </c>
      <c r="V22" s="44"/>
      <c r="W22" s="44">
        <f t="shared" si="1"/>
        <v>23744974</v>
      </c>
      <c r="X22" s="44"/>
      <c r="Y22" s="44">
        <v>208126493</v>
      </c>
      <c r="Z22" s="44"/>
      <c r="AA22" s="44">
        <f>+'Stmt net assets'!Y22</f>
        <v>208319335</v>
      </c>
      <c r="AB22" s="44"/>
      <c r="AC22" s="44">
        <f>+Y22+'Stmt of activities-GA rev'!AC22-'Stmt of activities-GAexp'!W22-AA22</f>
        <v>0</v>
      </c>
    </row>
    <row r="23" spans="1:29" s="47" customFormat="1" ht="12.75" customHeight="1" x14ac:dyDescent="0.2">
      <c r="A23" s="47" t="s">
        <v>31</v>
      </c>
      <c r="B23" s="51"/>
      <c r="C23" s="47" t="s">
        <v>27</v>
      </c>
      <c r="E23" s="44">
        <f>5290725+3779111</f>
        <v>9069836</v>
      </c>
      <c r="F23" s="44"/>
      <c r="G23" s="44">
        <v>194643</v>
      </c>
      <c r="H23" s="44"/>
      <c r="I23" s="44">
        <v>1324108</v>
      </c>
      <c r="J23" s="44"/>
      <c r="K23" s="44">
        <v>843855</v>
      </c>
      <c r="L23" s="44"/>
      <c r="M23" s="44">
        <v>4303602</v>
      </c>
      <c r="N23" s="44"/>
      <c r="O23" s="44">
        <v>1010797</v>
      </c>
      <c r="P23" s="44"/>
      <c r="Q23" s="44">
        <v>5091308</v>
      </c>
      <c r="R23" s="44"/>
      <c r="S23" s="44">
        <v>0</v>
      </c>
      <c r="T23" s="44"/>
      <c r="U23" s="44">
        <v>560422</v>
      </c>
      <c r="V23" s="44"/>
      <c r="W23" s="44">
        <f t="shared" si="1"/>
        <v>22398571</v>
      </c>
      <c r="X23" s="44"/>
      <c r="Y23" s="44">
        <v>37755219</v>
      </c>
      <c r="Z23" s="44"/>
      <c r="AA23" s="44">
        <f>+'Stmt net assets'!Y23</f>
        <v>37930957</v>
      </c>
      <c r="AB23" s="44"/>
      <c r="AC23" s="44">
        <f>+Y23+'Stmt of activities-GA rev'!AC23-'Stmt of activities-GAexp'!W23-AA23</f>
        <v>0</v>
      </c>
    </row>
    <row r="24" spans="1:29" s="47" customFormat="1" ht="12.75" customHeight="1" x14ac:dyDescent="0.2">
      <c r="A24" s="47" t="s">
        <v>32</v>
      </c>
      <c r="B24" s="51"/>
      <c r="C24" s="47" t="s">
        <v>27</v>
      </c>
      <c r="E24" s="44">
        <v>10674485</v>
      </c>
      <c r="F24" s="44"/>
      <c r="G24" s="44">
        <v>384536</v>
      </c>
      <c r="H24" s="44"/>
      <c r="I24" s="44">
        <v>1593836</v>
      </c>
      <c r="J24" s="44"/>
      <c r="K24" s="44">
        <v>433382</v>
      </c>
      <c r="L24" s="44"/>
      <c r="M24" s="44">
        <v>1651457</v>
      </c>
      <c r="N24" s="44"/>
      <c r="O24" s="44">
        <v>677440</v>
      </c>
      <c r="P24" s="44"/>
      <c r="Q24" s="44">
        <v>3731659</v>
      </c>
      <c r="R24" s="44"/>
      <c r="S24" s="44">
        <v>0</v>
      </c>
      <c r="T24" s="44"/>
      <c r="U24" s="44">
        <v>151458</v>
      </c>
      <c r="V24" s="44"/>
      <c r="W24" s="44">
        <f t="shared" si="1"/>
        <v>19298253</v>
      </c>
      <c r="X24" s="44"/>
      <c r="Y24" s="44">
        <v>17801544</v>
      </c>
      <c r="Z24" s="44"/>
      <c r="AA24" s="44">
        <f>+'Stmt net assets'!Y24</f>
        <v>18749251</v>
      </c>
      <c r="AB24" s="44"/>
      <c r="AC24" s="44">
        <f>+Y24+'Stmt of activities-GA rev'!AC24-'Stmt of activities-GAexp'!W24-AA24</f>
        <v>0</v>
      </c>
    </row>
    <row r="25" spans="1:29" s="47" customFormat="1" ht="12.75" customHeight="1" x14ac:dyDescent="0.2">
      <c r="A25" s="47" t="s">
        <v>34</v>
      </c>
      <c r="B25" s="51"/>
      <c r="C25" s="47" t="s">
        <v>30</v>
      </c>
      <c r="E25" s="44">
        <v>2751013</v>
      </c>
      <c r="F25" s="44"/>
      <c r="G25" s="44">
        <v>0</v>
      </c>
      <c r="H25" s="44"/>
      <c r="I25" s="44">
        <v>14789</v>
      </c>
      <c r="J25" s="44"/>
      <c r="K25" s="44">
        <v>88307</v>
      </c>
      <c r="L25" s="44"/>
      <c r="M25" s="44">
        <v>606677</v>
      </c>
      <c r="N25" s="44"/>
      <c r="O25" s="44">
        <v>0</v>
      </c>
      <c r="P25" s="44"/>
      <c r="Q25" s="44">
        <v>490103</v>
      </c>
      <c r="R25" s="44"/>
      <c r="S25" s="44">
        <v>0</v>
      </c>
      <c r="T25" s="44"/>
      <c r="U25" s="44">
        <v>0</v>
      </c>
      <c r="V25" s="44"/>
      <c r="W25" s="44">
        <f t="shared" si="1"/>
        <v>3950889</v>
      </c>
      <c r="X25" s="44"/>
      <c r="Y25" s="44">
        <v>9024829</v>
      </c>
      <c r="Z25" s="44"/>
      <c r="AA25" s="44">
        <f>+'Stmt net assets'!Y25</f>
        <v>9530079</v>
      </c>
      <c r="AB25" s="44"/>
      <c r="AC25" s="44">
        <f>+Y25+'Stmt of activities-GA rev'!AC25-'Stmt of activities-GAexp'!W25-AA25</f>
        <v>0</v>
      </c>
    </row>
    <row r="26" spans="1:29" s="47" customFormat="1" ht="12.75" customHeight="1" x14ac:dyDescent="0.2">
      <c r="A26" s="47" t="s">
        <v>35</v>
      </c>
      <c r="B26" s="51"/>
      <c r="C26" s="47" t="s">
        <v>36</v>
      </c>
      <c r="E26" s="44">
        <v>4105679</v>
      </c>
      <c r="F26" s="44"/>
      <c r="G26" s="44">
        <v>214457</v>
      </c>
      <c r="H26" s="44"/>
      <c r="I26" s="44">
        <v>581884</v>
      </c>
      <c r="J26" s="44"/>
      <c r="K26" s="44">
        <v>719075</v>
      </c>
      <c r="L26" s="44"/>
      <c r="M26" s="44">
        <v>1314789</v>
      </c>
      <c r="N26" s="44"/>
      <c r="O26" s="44">
        <v>381769</v>
      </c>
      <c r="P26" s="44"/>
      <c r="Q26" s="44">
        <v>2168778</v>
      </c>
      <c r="R26" s="44"/>
      <c r="S26" s="44">
        <v>0</v>
      </c>
      <c r="T26" s="44"/>
      <c r="U26" s="44">
        <v>39134</v>
      </c>
      <c r="V26" s="44"/>
      <c r="W26" s="44">
        <f t="shared" si="1"/>
        <v>9525565</v>
      </c>
      <c r="X26" s="44"/>
      <c r="Y26" s="44">
        <v>29638350</v>
      </c>
      <c r="Z26" s="44"/>
      <c r="AA26" s="44">
        <f>+'Stmt net assets'!Y26</f>
        <v>29015527</v>
      </c>
      <c r="AB26" s="44"/>
      <c r="AC26" s="44">
        <f>+Y26+'Stmt of activities-GA rev'!AC26-'Stmt of activities-GAexp'!W26-AA26</f>
        <v>0</v>
      </c>
    </row>
    <row r="27" spans="1:29" s="47" customFormat="1" ht="12.75" customHeight="1" x14ac:dyDescent="0.2">
      <c r="A27" s="47" t="s">
        <v>37</v>
      </c>
      <c r="B27" s="51"/>
      <c r="C27" s="47" t="s">
        <v>38</v>
      </c>
      <c r="E27" s="44">
        <v>2320299</v>
      </c>
      <c r="F27" s="44"/>
      <c r="G27" s="44">
        <v>207217</v>
      </c>
      <c r="H27" s="44"/>
      <c r="I27" s="44">
        <v>568736</v>
      </c>
      <c r="J27" s="44"/>
      <c r="K27" s="44">
        <v>145247</v>
      </c>
      <c r="L27" s="44"/>
      <c r="M27" s="44">
        <v>786604</v>
      </c>
      <c r="N27" s="44"/>
      <c r="O27" s="44">
        <v>0</v>
      </c>
      <c r="P27" s="44"/>
      <c r="Q27" s="44">
        <f>1462997+305952</f>
        <v>1768949</v>
      </c>
      <c r="R27" s="44"/>
      <c r="S27" s="44">
        <v>0</v>
      </c>
      <c r="T27" s="44"/>
      <c r="U27" s="44">
        <v>72825</v>
      </c>
      <c r="V27" s="44"/>
      <c r="W27" s="44">
        <f t="shared" si="1"/>
        <v>5869877</v>
      </c>
      <c r="X27" s="44"/>
      <c r="Y27" s="44">
        <v>16943055</v>
      </c>
      <c r="Z27" s="44"/>
      <c r="AA27" s="44">
        <f>+'Stmt net assets'!Y27</f>
        <v>17388704</v>
      </c>
      <c r="AB27" s="44"/>
      <c r="AC27" s="44">
        <f>+Y27+'Stmt of activities-GA rev'!AC27-'Stmt of activities-GAexp'!W27-AA27</f>
        <v>0</v>
      </c>
    </row>
    <row r="28" spans="1:29" s="47" customFormat="1" ht="12.75" customHeight="1" x14ac:dyDescent="0.2">
      <c r="A28" s="47" t="s">
        <v>39</v>
      </c>
      <c r="B28" s="51"/>
      <c r="C28" s="47" t="s">
        <v>40</v>
      </c>
      <c r="E28" s="44">
        <f>1085349+244149</f>
        <v>1329498</v>
      </c>
      <c r="F28" s="44"/>
      <c r="G28" s="44">
        <v>483728</v>
      </c>
      <c r="H28" s="44"/>
      <c r="I28" s="44">
        <f>63866+130299+102922</f>
        <v>297087</v>
      </c>
      <c r="J28" s="44"/>
      <c r="K28" s="44">
        <v>249937</v>
      </c>
      <c r="L28" s="44"/>
      <c r="M28" s="44">
        <v>1355137</v>
      </c>
      <c r="N28" s="44"/>
      <c r="O28" s="44">
        <v>0</v>
      </c>
      <c r="P28" s="44"/>
      <c r="Q28" s="44">
        <v>684354</v>
      </c>
      <c r="R28" s="44"/>
      <c r="S28" s="44">
        <v>0</v>
      </c>
      <c r="T28" s="44"/>
      <c r="U28" s="44">
        <v>37626</v>
      </c>
      <c r="V28" s="44"/>
      <c r="W28" s="44">
        <f t="shared" si="1"/>
        <v>4437367</v>
      </c>
      <c r="X28" s="44"/>
      <c r="Y28" s="44">
        <v>15198072</v>
      </c>
      <c r="Z28" s="44"/>
      <c r="AA28" s="44">
        <f>+'Stmt net assets'!Y28</f>
        <v>14481904</v>
      </c>
      <c r="AB28" s="44"/>
      <c r="AC28" s="44">
        <f>+Y28+'Stmt of activities-GA rev'!AC28-'Stmt of activities-GAexp'!W28-AA28</f>
        <v>0</v>
      </c>
    </row>
    <row r="29" spans="1:29" s="47" customFormat="1" ht="12.75" customHeight="1" x14ac:dyDescent="0.2">
      <c r="A29" s="47" t="s">
        <v>41</v>
      </c>
      <c r="B29" s="51"/>
      <c r="C29" s="47" t="s">
        <v>27</v>
      </c>
      <c r="E29" s="44">
        <v>6441638</v>
      </c>
      <c r="F29" s="44"/>
      <c r="G29" s="44">
        <v>187320</v>
      </c>
      <c r="H29" s="44"/>
      <c r="I29" s="44">
        <v>2714029</v>
      </c>
      <c r="J29" s="44"/>
      <c r="K29" s="44">
        <v>455883</v>
      </c>
      <c r="L29" s="44"/>
      <c r="M29" s="44">
        <v>1422584</v>
      </c>
      <c r="N29" s="44"/>
      <c r="O29" s="44">
        <v>1370499</v>
      </c>
      <c r="P29" s="44"/>
      <c r="Q29" s="44">
        <v>6201327</v>
      </c>
      <c r="R29" s="44"/>
      <c r="S29" s="44">
        <v>0</v>
      </c>
      <c r="T29" s="44"/>
      <c r="U29" s="44">
        <v>450989</v>
      </c>
      <c r="V29" s="44"/>
      <c r="W29" s="44">
        <f t="shared" si="1"/>
        <v>19244269</v>
      </c>
      <c r="X29" s="44"/>
      <c r="Y29" s="44">
        <v>69168988</v>
      </c>
      <c r="Z29" s="44"/>
      <c r="AA29" s="44">
        <f>+'Stmt net assets'!Y29</f>
        <v>68471755</v>
      </c>
      <c r="AB29" s="44"/>
      <c r="AC29" s="44">
        <f>+Y29+'Stmt of activities-GA rev'!AC29-'Stmt of activities-GAexp'!W29-AA29</f>
        <v>0</v>
      </c>
    </row>
    <row r="30" spans="1:29" s="47" customFormat="1" ht="12.75" customHeight="1" x14ac:dyDescent="0.2">
      <c r="A30" s="47" t="s">
        <v>42</v>
      </c>
      <c r="B30" s="51"/>
      <c r="C30" s="47" t="s">
        <v>43</v>
      </c>
      <c r="E30" s="44">
        <v>6335948</v>
      </c>
      <c r="F30" s="44"/>
      <c r="G30" s="44">
        <v>86629</v>
      </c>
      <c r="H30" s="44"/>
      <c r="I30" s="44">
        <v>1511908</v>
      </c>
      <c r="J30" s="44"/>
      <c r="K30" s="44">
        <v>192907</v>
      </c>
      <c r="L30" s="44"/>
      <c r="M30" s="44">
        <v>1850192</v>
      </c>
      <c r="N30" s="44"/>
      <c r="O30" s="44">
        <v>0</v>
      </c>
      <c r="P30" s="44"/>
      <c r="Q30" s="44">
        <v>2903848</v>
      </c>
      <c r="R30" s="44"/>
      <c r="S30" s="44">
        <v>580</v>
      </c>
      <c r="T30" s="44"/>
      <c r="U30" s="44">
        <v>755274</v>
      </c>
      <c r="V30" s="44"/>
      <c r="W30" s="44">
        <f t="shared" si="1"/>
        <v>13637286</v>
      </c>
      <c r="X30" s="44"/>
      <c r="Y30" s="44">
        <v>24307484</v>
      </c>
      <c r="Z30" s="44"/>
      <c r="AA30" s="44">
        <f>+'Stmt net assets'!Y30</f>
        <v>21226066</v>
      </c>
      <c r="AB30" s="44"/>
      <c r="AC30" s="44">
        <f>+Y30+'Stmt of activities-GA rev'!AC30-'Stmt of activities-GAexp'!W30-AA30</f>
        <v>0</v>
      </c>
    </row>
    <row r="31" spans="1:29" s="47" customFormat="1" ht="12.75" customHeight="1" x14ac:dyDescent="0.2">
      <c r="A31" s="47" t="s">
        <v>44</v>
      </c>
      <c r="B31" s="51"/>
      <c r="C31" s="47" t="s">
        <v>45</v>
      </c>
      <c r="E31" s="44">
        <v>10106451</v>
      </c>
      <c r="F31" s="44"/>
      <c r="G31" s="44">
        <v>0</v>
      </c>
      <c r="H31" s="44"/>
      <c r="I31" s="44">
        <v>12798189</v>
      </c>
      <c r="J31" s="44"/>
      <c r="K31" s="44">
        <v>1228985</v>
      </c>
      <c r="L31" s="44"/>
      <c r="M31" s="44">
        <v>4916322</v>
      </c>
      <c r="N31" s="44"/>
      <c r="O31" s="44">
        <v>0</v>
      </c>
      <c r="P31" s="44"/>
      <c r="Q31" s="44">
        <v>9061273</v>
      </c>
      <c r="R31" s="44"/>
      <c r="S31" s="44">
        <v>0</v>
      </c>
      <c r="T31" s="44"/>
      <c r="U31" s="44">
        <v>2216492</v>
      </c>
      <c r="V31" s="44"/>
      <c r="W31" s="44">
        <f t="shared" si="1"/>
        <v>40327712</v>
      </c>
      <c r="X31" s="44"/>
      <c r="Y31" s="44">
        <v>78087494</v>
      </c>
      <c r="Z31" s="44"/>
      <c r="AA31" s="44">
        <f>+'Stmt net assets'!Y31</f>
        <v>76575853</v>
      </c>
      <c r="AB31" s="44"/>
      <c r="AC31" s="44">
        <f>+Y31+'Stmt of activities-GA rev'!AC31-'Stmt of activities-GAexp'!W31-AA31</f>
        <v>0</v>
      </c>
    </row>
    <row r="32" spans="1:29" s="47" customFormat="1" ht="12.75" customHeight="1" x14ac:dyDescent="0.2">
      <c r="A32" s="47" t="s">
        <v>46</v>
      </c>
      <c r="B32" s="51"/>
      <c r="C32" s="47" t="s">
        <v>47</v>
      </c>
      <c r="E32" s="44">
        <f>5592238+5661189</f>
        <v>11253427</v>
      </c>
      <c r="F32" s="44"/>
      <c r="G32" s="44">
        <v>86498</v>
      </c>
      <c r="H32" s="44"/>
      <c r="I32" s="44">
        <v>1958041</v>
      </c>
      <c r="J32" s="44"/>
      <c r="K32" s="44">
        <v>903063</v>
      </c>
      <c r="L32" s="44"/>
      <c r="M32" s="44">
        <v>4899587</v>
      </c>
      <c r="N32" s="44"/>
      <c r="O32" s="44">
        <v>601968</v>
      </c>
      <c r="P32" s="44"/>
      <c r="Q32" s="44">
        <f>1541566+7005590</f>
        <v>8547156</v>
      </c>
      <c r="R32" s="44"/>
      <c r="S32" s="44">
        <v>44029</v>
      </c>
      <c r="T32" s="44"/>
      <c r="U32" s="44">
        <v>1032250</v>
      </c>
      <c r="V32" s="44"/>
      <c r="W32" s="44">
        <f t="shared" si="1"/>
        <v>29326019</v>
      </c>
      <c r="X32" s="44"/>
      <c r="Y32" s="44">
        <v>34049206</v>
      </c>
      <c r="Z32" s="44"/>
      <c r="AA32" s="44">
        <f>+'Stmt net assets'!Y32</f>
        <v>31290496</v>
      </c>
      <c r="AB32" s="44"/>
      <c r="AC32" s="44">
        <f>+Y32+'Stmt of activities-GA rev'!AC32-'Stmt of activities-GAexp'!W32-AA32</f>
        <v>0</v>
      </c>
    </row>
    <row r="33" spans="1:30" s="47" customFormat="1" ht="12.75" customHeight="1" x14ac:dyDescent="0.2">
      <c r="A33" s="47" t="s">
        <v>48</v>
      </c>
      <c r="C33" s="47" t="s">
        <v>27</v>
      </c>
      <c r="E33" s="44">
        <f>3992061+2314537</f>
        <v>6306598</v>
      </c>
      <c r="F33" s="44"/>
      <c r="G33" s="44">
        <v>1048646</v>
      </c>
      <c r="H33" s="44"/>
      <c r="I33" s="44">
        <v>2078502</v>
      </c>
      <c r="J33" s="44"/>
      <c r="K33" s="44">
        <v>852056</v>
      </c>
      <c r="L33" s="44"/>
      <c r="M33" s="44">
        <v>4059126</v>
      </c>
      <c r="N33" s="44"/>
      <c r="O33" s="44">
        <v>1726275</v>
      </c>
      <c r="P33" s="44"/>
      <c r="Q33" s="44">
        <f>5499027+198239</f>
        <v>5697266</v>
      </c>
      <c r="R33" s="44"/>
      <c r="S33" s="44">
        <v>0</v>
      </c>
      <c r="T33" s="44"/>
      <c r="U33" s="44">
        <v>557354</v>
      </c>
      <c r="V33" s="44"/>
      <c r="W33" s="44">
        <f t="shared" si="1"/>
        <v>22325823</v>
      </c>
      <c r="X33" s="44"/>
      <c r="Y33" s="44">
        <v>84787921</v>
      </c>
      <c r="Z33" s="44"/>
      <c r="AA33" s="44">
        <f>+'Stmt net assets'!Y33</f>
        <v>87693592</v>
      </c>
      <c r="AB33" s="44"/>
      <c r="AC33" s="44">
        <f>+Y33+'Stmt of activities-GA rev'!AC33-'Stmt of activities-GAexp'!W33-AA33</f>
        <v>0</v>
      </c>
    </row>
    <row r="34" spans="1:30" s="47" customFormat="1" ht="12.75" customHeight="1" x14ac:dyDescent="0.2">
      <c r="A34" s="47" t="s">
        <v>49</v>
      </c>
      <c r="B34" s="51"/>
      <c r="C34" s="47" t="s">
        <v>27</v>
      </c>
      <c r="E34" s="44">
        <v>7311500</v>
      </c>
      <c r="F34" s="44"/>
      <c r="G34" s="44">
        <v>288004</v>
      </c>
      <c r="H34" s="44"/>
      <c r="I34" s="44">
        <v>1191015</v>
      </c>
      <c r="J34" s="44"/>
      <c r="K34" s="44">
        <v>478970</v>
      </c>
      <c r="L34" s="44"/>
      <c r="M34" s="44">
        <v>3221993</v>
      </c>
      <c r="N34" s="44"/>
      <c r="O34" s="44">
        <v>836375</v>
      </c>
      <c r="P34" s="44"/>
      <c r="Q34" s="44">
        <v>5678737</v>
      </c>
      <c r="R34" s="44"/>
      <c r="S34" s="44">
        <v>0</v>
      </c>
      <c r="T34" s="44"/>
      <c r="U34" s="44">
        <v>425037</v>
      </c>
      <c r="V34" s="44"/>
      <c r="W34" s="44">
        <f t="shared" si="1"/>
        <v>19431631</v>
      </c>
      <c r="X34" s="44"/>
      <c r="Y34" s="44">
        <v>34033370</v>
      </c>
      <c r="Z34" s="44"/>
      <c r="AA34" s="44">
        <f>+'Stmt net assets'!Y34</f>
        <v>35964315</v>
      </c>
      <c r="AB34" s="44"/>
      <c r="AC34" s="44">
        <f>+Y34+'Stmt of activities-GA rev'!AC34-'Stmt of activities-GAexp'!W34-AA34</f>
        <v>0</v>
      </c>
    </row>
    <row r="35" spans="1:30" s="47" customFormat="1" ht="12.75" customHeight="1" x14ac:dyDescent="0.2">
      <c r="A35" s="47" t="s">
        <v>50</v>
      </c>
      <c r="B35" s="51"/>
      <c r="C35" s="47" t="s">
        <v>27</v>
      </c>
      <c r="E35" s="44">
        <f>6533633+4897035</f>
        <v>11430668</v>
      </c>
      <c r="F35" s="44"/>
      <c r="G35" s="44">
        <v>412809</v>
      </c>
      <c r="H35" s="44"/>
      <c r="I35" s="44">
        <v>2562792</v>
      </c>
      <c r="J35" s="44"/>
      <c r="K35" s="44">
        <v>1428069</v>
      </c>
      <c r="L35" s="44"/>
      <c r="M35" s="44">
        <v>2486308</v>
      </c>
      <c r="N35" s="44"/>
      <c r="O35" s="44">
        <v>3547146</v>
      </c>
      <c r="P35" s="44"/>
      <c r="Q35" s="44">
        <v>5047013</v>
      </c>
      <c r="R35" s="44"/>
      <c r="S35" s="44">
        <v>0</v>
      </c>
      <c r="T35" s="44"/>
      <c r="U35" s="44">
        <v>46100</v>
      </c>
      <c r="V35" s="44"/>
      <c r="W35" s="44">
        <f t="shared" si="1"/>
        <v>26960905</v>
      </c>
      <c r="X35" s="44"/>
      <c r="Y35" s="44">
        <v>82862745</v>
      </c>
      <c r="Z35" s="44"/>
      <c r="AA35" s="44">
        <f>+'Stmt net assets'!Y35</f>
        <v>83302120</v>
      </c>
      <c r="AB35" s="44"/>
      <c r="AC35" s="44">
        <f>+Y35+'Stmt of activities-GA rev'!AC35-'Stmt of activities-GAexp'!W35-AA35</f>
        <v>0</v>
      </c>
    </row>
    <row r="36" spans="1:30" s="47" customFormat="1" ht="12.75" customHeight="1" x14ac:dyDescent="0.2">
      <c r="A36" s="47" t="s">
        <v>51</v>
      </c>
      <c r="B36" s="51"/>
      <c r="C36" s="47" t="s">
        <v>27</v>
      </c>
      <c r="E36" s="44">
        <v>8076800</v>
      </c>
      <c r="F36" s="44"/>
      <c r="G36" s="44">
        <v>0</v>
      </c>
      <c r="H36" s="44"/>
      <c r="I36" s="44">
        <v>2292411</v>
      </c>
      <c r="J36" s="44"/>
      <c r="K36" s="44">
        <v>1689927</v>
      </c>
      <c r="L36" s="44"/>
      <c r="M36" s="44">
        <v>861872</v>
      </c>
      <c r="N36" s="44"/>
      <c r="O36" s="44">
        <v>2194323</v>
      </c>
      <c r="P36" s="44"/>
      <c r="Q36" s="44">
        <v>2267286</v>
      </c>
      <c r="R36" s="44"/>
      <c r="S36" s="44">
        <v>0</v>
      </c>
      <c r="T36" s="44"/>
      <c r="U36" s="44">
        <v>315865</v>
      </c>
      <c r="V36" s="44"/>
      <c r="W36" s="44">
        <f t="shared" si="1"/>
        <v>17698484</v>
      </c>
      <c r="X36" s="44"/>
      <c r="Y36" s="44">
        <v>28315420</v>
      </c>
      <c r="Z36" s="44"/>
      <c r="AA36" s="44">
        <f>+'Stmt net assets'!Y36</f>
        <v>32083112</v>
      </c>
      <c r="AB36" s="44"/>
      <c r="AC36" s="44">
        <f>+Y36+'Stmt of activities-GA rev'!AC36-'Stmt of activities-GAexp'!W36-AA36</f>
        <v>0</v>
      </c>
    </row>
    <row r="37" spans="1:30" s="47" customFormat="1" ht="12.75" customHeight="1" x14ac:dyDescent="0.2">
      <c r="A37" s="47" t="s">
        <v>462</v>
      </c>
      <c r="B37" s="51"/>
      <c r="C37" s="47" t="s">
        <v>66</v>
      </c>
      <c r="E37" s="44">
        <v>2221201</v>
      </c>
      <c r="F37" s="44"/>
      <c r="G37" s="44">
        <v>200000</v>
      </c>
      <c r="H37" s="44"/>
      <c r="I37" s="44">
        <v>240897</v>
      </c>
      <c r="J37" s="44"/>
      <c r="K37" s="44">
        <v>0</v>
      </c>
      <c r="L37" s="44"/>
      <c r="M37" s="44">
        <v>1110275</v>
      </c>
      <c r="N37" s="44"/>
      <c r="O37" s="44">
        <v>0</v>
      </c>
      <c r="P37" s="44"/>
      <c r="Q37" s="44">
        <v>1014898</v>
      </c>
      <c r="R37" s="44"/>
      <c r="S37" s="44">
        <v>0</v>
      </c>
      <c r="T37" s="44"/>
      <c r="U37" s="44">
        <v>67150</v>
      </c>
      <c r="V37" s="44"/>
      <c r="W37" s="44">
        <f t="shared" si="1"/>
        <v>4854421</v>
      </c>
      <c r="X37" s="44"/>
      <c r="Y37" s="44">
        <v>9730495</v>
      </c>
      <c r="Z37" s="44"/>
      <c r="AA37" s="44">
        <f>+'Stmt net assets'!Y37</f>
        <v>10243835</v>
      </c>
      <c r="AB37" s="44"/>
      <c r="AC37" s="44">
        <f>+Y37+'Stmt of activities-GA rev'!AC37-'Stmt of activities-GAexp'!W37-AA37</f>
        <v>0</v>
      </c>
    </row>
    <row r="38" spans="1:30" s="47" customFormat="1" ht="12.75" customHeight="1" x14ac:dyDescent="0.2">
      <c r="A38" s="47" t="s">
        <v>52</v>
      </c>
      <c r="B38" s="51"/>
      <c r="C38" s="47" t="s">
        <v>53</v>
      </c>
      <c r="E38" s="44">
        <v>9879154</v>
      </c>
      <c r="F38" s="44"/>
      <c r="G38" s="44">
        <v>29693</v>
      </c>
      <c r="H38" s="44"/>
      <c r="I38" s="44">
        <v>1561621</v>
      </c>
      <c r="J38" s="44"/>
      <c r="K38" s="44">
        <v>1850257</v>
      </c>
      <c r="L38" s="44"/>
      <c r="M38" s="44">
        <v>2895051</v>
      </c>
      <c r="N38" s="44"/>
      <c r="O38" s="44">
        <v>0</v>
      </c>
      <c r="P38" s="44"/>
      <c r="Q38" s="44">
        <v>2786107</v>
      </c>
      <c r="R38" s="44"/>
      <c r="S38" s="44">
        <v>0</v>
      </c>
      <c r="T38" s="44"/>
      <c r="U38" s="44">
        <v>314983</v>
      </c>
      <c r="V38" s="44"/>
      <c r="W38" s="44">
        <f t="shared" si="1"/>
        <v>19316866</v>
      </c>
      <c r="X38" s="44"/>
      <c r="Y38" s="44">
        <v>52116851</v>
      </c>
      <c r="Z38" s="44"/>
      <c r="AA38" s="44">
        <f>+'Stmt net assets'!Y38</f>
        <v>58067812</v>
      </c>
      <c r="AB38" s="44"/>
      <c r="AC38" s="44">
        <f>+Y38+'Stmt of activities-GA rev'!AC38-'Stmt of activities-GAexp'!W38-AA38</f>
        <v>0</v>
      </c>
    </row>
    <row r="39" spans="1:30" s="47" customFormat="1" ht="12.75" customHeight="1" x14ac:dyDescent="0.2">
      <c r="A39" s="47" t="s">
        <v>54</v>
      </c>
      <c r="B39" s="51"/>
      <c r="C39" s="47" t="s">
        <v>55</v>
      </c>
      <c r="E39" s="44">
        <v>2717869</v>
      </c>
      <c r="F39" s="44"/>
      <c r="G39" s="44">
        <v>79475</v>
      </c>
      <c r="H39" s="44"/>
      <c r="I39" s="44">
        <v>1157264</v>
      </c>
      <c r="J39" s="44"/>
      <c r="K39" s="44">
        <v>444968</v>
      </c>
      <c r="L39" s="44"/>
      <c r="M39" s="44">
        <v>1183386</v>
      </c>
      <c r="N39" s="44"/>
      <c r="O39" s="44">
        <v>0</v>
      </c>
      <c r="P39" s="44"/>
      <c r="Q39" s="44">
        <v>3601584</v>
      </c>
      <c r="R39" s="44"/>
      <c r="S39" s="44">
        <v>0</v>
      </c>
      <c r="T39" s="44"/>
      <c r="U39" s="44">
        <v>163154</v>
      </c>
      <c r="V39" s="44"/>
      <c r="W39" s="44">
        <f t="shared" si="1"/>
        <v>9347700</v>
      </c>
      <c r="X39" s="44"/>
      <c r="Y39" s="44">
        <v>37791802</v>
      </c>
      <c r="Z39" s="44"/>
      <c r="AA39" s="44">
        <f>+'Stmt net assets'!Y39</f>
        <v>38802673</v>
      </c>
      <c r="AB39" s="44"/>
      <c r="AC39" s="44">
        <f>+Y39+'Stmt of activities-GA rev'!AC39-'Stmt of activities-GAexp'!W39-AA39</f>
        <v>0</v>
      </c>
    </row>
    <row r="40" spans="1:30" s="47" customFormat="1" ht="12.75" customHeight="1" x14ac:dyDescent="0.2">
      <c r="A40" s="47" t="s">
        <v>56</v>
      </c>
      <c r="B40" s="51"/>
      <c r="C40" s="47" t="s">
        <v>57</v>
      </c>
      <c r="E40" s="44">
        <f>2112759+1437730+166543</f>
        <v>3717032</v>
      </c>
      <c r="F40" s="44"/>
      <c r="G40" s="44">
        <v>237123</v>
      </c>
      <c r="H40" s="44"/>
      <c r="I40" s="44">
        <v>167238</v>
      </c>
      <c r="J40" s="44"/>
      <c r="K40" s="44">
        <v>66514</v>
      </c>
      <c r="L40" s="44"/>
      <c r="M40" s="44">
        <v>1873517</v>
      </c>
      <c r="N40" s="44"/>
      <c r="O40" s="44">
        <v>46100</v>
      </c>
      <c r="P40" s="44"/>
      <c r="Q40" s="44">
        <v>1354774</v>
      </c>
      <c r="R40" s="44"/>
      <c r="S40" s="44">
        <v>0</v>
      </c>
      <c r="T40" s="44"/>
      <c r="U40" s="44">
        <v>21070</v>
      </c>
      <c r="V40" s="44"/>
      <c r="W40" s="44">
        <f t="shared" si="1"/>
        <v>7483368</v>
      </c>
      <c r="X40" s="44"/>
      <c r="Y40" s="44">
        <v>20426613</v>
      </c>
      <c r="Z40" s="44"/>
      <c r="AA40" s="44">
        <f>+'Stmt net assets'!Y40</f>
        <v>19892058</v>
      </c>
      <c r="AB40" s="44"/>
      <c r="AC40" s="44">
        <f>+Y40+'Stmt of activities-GA rev'!AC40-'Stmt of activities-GAexp'!W40-AA40</f>
        <v>0</v>
      </c>
    </row>
    <row r="41" spans="1:30" s="47" customFormat="1" ht="12.75" customHeight="1" x14ac:dyDescent="0.2">
      <c r="A41" s="47" t="s">
        <v>58</v>
      </c>
      <c r="B41" s="51"/>
      <c r="C41" s="47" t="s">
        <v>59</v>
      </c>
      <c r="E41" s="44">
        <v>4194846</v>
      </c>
      <c r="F41" s="44"/>
      <c r="G41" s="44">
        <v>257895</v>
      </c>
      <c r="H41" s="44"/>
      <c r="I41" s="44">
        <v>1012419</v>
      </c>
      <c r="J41" s="44"/>
      <c r="K41" s="44">
        <v>730471</v>
      </c>
      <c r="L41" s="44"/>
      <c r="M41" s="44">
        <v>1758380</v>
      </c>
      <c r="N41" s="44"/>
      <c r="O41" s="44">
        <v>0</v>
      </c>
      <c r="P41" s="44"/>
      <c r="Q41" s="44">
        <v>2974088</v>
      </c>
      <c r="R41" s="44"/>
      <c r="S41" s="44">
        <v>0</v>
      </c>
      <c r="T41" s="44"/>
      <c r="U41" s="44">
        <v>193890</v>
      </c>
      <c r="V41" s="44"/>
      <c r="W41" s="44">
        <f t="shared" si="1"/>
        <v>11121989</v>
      </c>
      <c r="X41" s="44"/>
      <c r="Y41" s="44">
        <v>22660360</v>
      </c>
      <c r="Z41" s="44"/>
      <c r="AA41" s="44">
        <f>+'Stmt net assets'!Y41</f>
        <v>26804545</v>
      </c>
      <c r="AB41" s="44"/>
      <c r="AC41" s="44">
        <f>+Y41+'Stmt of activities-GA rev'!AC41-'Stmt of activities-GAexp'!W41-AA41</f>
        <v>0</v>
      </c>
    </row>
    <row r="42" spans="1:30" s="47" customFormat="1" ht="12.75" customHeight="1" x14ac:dyDescent="0.2">
      <c r="A42" s="47" t="s">
        <v>476</v>
      </c>
      <c r="B42" s="51"/>
      <c r="C42" s="47" t="s">
        <v>15</v>
      </c>
      <c r="E42" s="44">
        <v>1544127</v>
      </c>
      <c r="F42" s="44"/>
      <c r="G42" s="44">
        <v>0</v>
      </c>
      <c r="H42" s="44"/>
      <c r="I42" s="44">
        <v>123679</v>
      </c>
      <c r="J42" s="44"/>
      <c r="K42" s="44">
        <v>0</v>
      </c>
      <c r="L42" s="44"/>
      <c r="M42" s="44">
        <v>391491</v>
      </c>
      <c r="N42" s="44"/>
      <c r="O42" s="44">
        <v>0</v>
      </c>
      <c r="P42" s="44"/>
      <c r="Q42" s="44">
        <v>699287</v>
      </c>
      <c r="R42" s="44"/>
      <c r="S42" s="44">
        <v>0</v>
      </c>
      <c r="T42" s="44"/>
      <c r="U42" s="44">
        <v>58840</v>
      </c>
      <c r="V42" s="44"/>
      <c r="W42" s="44">
        <f t="shared" si="1"/>
        <v>2817424</v>
      </c>
      <c r="X42" s="44"/>
      <c r="Y42" s="44">
        <v>9718974</v>
      </c>
      <c r="Z42" s="44"/>
      <c r="AA42" s="44">
        <f>+'Stmt net assets'!Y42</f>
        <v>10645618</v>
      </c>
      <c r="AB42" s="44"/>
      <c r="AC42" s="44">
        <f>+Y42+'Stmt of activities-GA rev'!AC42-'Stmt of activities-GAexp'!W42-AA42</f>
        <v>0</v>
      </c>
    </row>
    <row r="43" spans="1:30" s="47" customFormat="1" ht="12.75" customHeight="1" x14ac:dyDescent="0.2">
      <c r="A43" s="44" t="s">
        <v>504</v>
      </c>
      <c r="C43" s="44" t="s">
        <v>43</v>
      </c>
      <c r="E43" s="44">
        <v>1004476</v>
      </c>
      <c r="F43" s="44"/>
      <c r="G43" s="44">
        <v>62842</v>
      </c>
      <c r="H43" s="44"/>
      <c r="I43" s="44">
        <v>599212</v>
      </c>
      <c r="J43" s="44"/>
      <c r="K43" s="44">
        <v>470064</v>
      </c>
      <c r="L43" s="44"/>
      <c r="M43" s="44">
        <v>1108662</v>
      </c>
      <c r="N43" s="44"/>
      <c r="O43" s="44">
        <v>0</v>
      </c>
      <c r="P43" s="44"/>
      <c r="Q43" s="44">
        <v>1855977</v>
      </c>
      <c r="R43" s="44"/>
      <c r="S43" s="44">
        <v>0</v>
      </c>
      <c r="T43" s="44"/>
      <c r="U43" s="44">
        <v>287393</v>
      </c>
      <c r="V43" s="44"/>
      <c r="W43" s="44">
        <f t="shared" ref="W43" si="3">SUM(E43:U43)</f>
        <v>5388626</v>
      </c>
      <c r="X43" s="44"/>
      <c r="Y43" s="44">
        <v>-1038895</v>
      </c>
      <c r="Z43" s="44"/>
      <c r="AA43" s="44">
        <f>+'Stmt net assets'!Y43</f>
        <v>1065317</v>
      </c>
      <c r="AB43" s="44"/>
      <c r="AC43" s="44">
        <f>+Y43+'Stmt of activities-GA rev'!AC43-'Stmt of activities-GAexp'!W43-AA43</f>
        <v>0</v>
      </c>
    </row>
    <row r="44" spans="1:30" s="47" customFormat="1" ht="12.75" customHeight="1" x14ac:dyDescent="0.2">
      <c r="A44" s="47" t="s">
        <v>60</v>
      </c>
      <c r="B44" s="51"/>
      <c r="C44" s="47" t="s">
        <v>61</v>
      </c>
      <c r="E44" s="44">
        <v>2412144</v>
      </c>
      <c r="F44" s="44"/>
      <c r="G44" s="44">
        <v>115117</v>
      </c>
      <c r="H44" s="44"/>
      <c r="I44" s="44">
        <v>80097</v>
      </c>
      <c r="J44" s="44"/>
      <c r="K44" s="44">
        <v>92532</v>
      </c>
      <c r="L44" s="44"/>
      <c r="M44" s="44">
        <v>958969</v>
      </c>
      <c r="N44" s="44"/>
      <c r="O44" s="44">
        <v>0</v>
      </c>
      <c r="P44" s="44"/>
      <c r="Q44" s="44">
        <v>926176</v>
      </c>
      <c r="R44" s="44"/>
      <c r="S44" s="44">
        <v>0</v>
      </c>
      <c r="T44" s="44"/>
      <c r="U44" s="44">
        <v>49032</v>
      </c>
      <c r="V44" s="44"/>
      <c r="W44" s="44">
        <f t="shared" si="1"/>
        <v>4634067</v>
      </c>
      <c r="X44" s="44"/>
      <c r="Y44" s="44">
        <v>16735605</v>
      </c>
      <c r="Z44" s="44"/>
      <c r="AA44" s="44">
        <f>+'Stmt net assets'!Y44</f>
        <v>16840495</v>
      </c>
      <c r="AB44" s="44"/>
      <c r="AC44" s="44">
        <f>+Y44+'Stmt of activities-GA rev'!AC44-'Stmt of activities-GAexp'!W44-AA44</f>
        <v>0</v>
      </c>
    </row>
    <row r="45" spans="1:30" s="47" customFormat="1" ht="12.75" hidden="1" customHeight="1" x14ac:dyDescent="0.2">
      <c r="A45" s="47" t="s">
        <v>62</v>
      </c>
      <c r="B45" s="51"/>
      <c r="C45" s="47" t="s">
        <v>15</v>
      </c>
      <c r="E45" s="44">
        <v>39761690</v>
      </c>
      <c r="F45" s="44"/>
      <c r="G45" s="44">
        <v>6371348</v>
      </c>
      <c r="H45" s="44"/>
      <c r="I45" s="44">
        <v>2361904</v>
      </c>
      <c r="J45" s="44"/>
      <c r="K45" s="44">
        <v>8563514</v>
      </c>
      <c r="L45" s="44"/>
      <c r="M45" s="44">
        <v>12218799</v>
      </c>
      <c r="N45" s="44"/>
      <c r="O45" s="44">
        <v>0</v>
      </c>
      <c r="P45" s="44"/>
      <c r="Q45" s="44">
        <v>18507298</v>
      </c>
      <c r="R45" s="44"/>
      <c r="S45" s="44">
        <v>0</v>
      </c>
      <c r="T45" s="44"/>
      <c r="U45" s="44">
        <v>791471</v>
      </c>
      <c r="V45" s="44"/>
      <c r="W45" s="44">
        <f t="shared" si="1"/>
        <v>88576024</v>
      </c>
      <c r="X45" s="44"/>
      <c r="Y45" s="44">
        <v>126340656</v>
      </c>
      <c r="Z45" s="44"/>
      <c r="AA45" s="44">
        <f>+'Stmt net assets'!Y45</f>
        <v>128883922</v>
      </c>
      <c r="AB45" s="44"/>
      <c r="AC45" s="44">
        <f>+Y45+'Stmt of activities-GA rev'!AC45-'Stmt of activities-GAexp'!W45-AA45</f>
        <v>0</v>
      </c>
      <c r="AD45" s="121" t="s">
        <v>503</v>
      </c>
    </row>
    <row r="46" spans="1:30" s="122" customFormat="1" ht="12.75" hidden="1" customHeight="1" x14ac:dyDescent="0.2">
      <c r="A46" s="122" t="s">
        <v>485</v>
      </c>
      <c r="B46" s="124"/>
      <c r="C46" s="122" t="s">
        <v>111</v>
      </c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>
        <f t="shared" si="1"/>
        <v>0</v>
      </c>
      <c r="X46" s="121"/>
      <c r="Y46" s="121"/>
      <c r="Z46" s="121"/>
      <c r="AA46" s="121">
        <f>+'Stmt net assets'!Y46</f>
        <v>0</v>
      </c>
      <c r="AB46" s="121"/>
      <c r="AC46" s="121">
        <f>+Y46+'Stmt of activities-GA rev'!AC46-'Stmt of activities-GAexp'!W46-AA46</f>
        <v>0</v>
      </c>
      <c r="AD46" s="121" t="s">
        <v>505</v>
      </c>
    </row>
    <row r="47" spans="1:30" s="47" customFormat="1" ht="12.75" customHeight="1" x14ac:dyDescent="0.2">
      <c r="A47" s="47" t="s">
        <v>63</v>
      </c>
      <c r="B47" s="51"/>
      <c r="C47" s="47" t="s">
        <v>64</v>
      </c>
      <c r="E47" s="44">
        <v>3488744</v>
      </c>
      <c r="F47" s="44"/>
      <c r="G47" s="44">
        <v>79768</v>
      </c>
      <c r="H47" s="44"/>
      <c r="I47" s="44">
        <v>624881</v>
      </c>
      <c r="J47" s="44"/>
      <c r="K47" s="44">
        <v>193217</v>
      </c>
      <c r="L47" s="44"/>
      <c r="M47" s="44">
        <v>953865</v>
      </c>
      <c r="N47" s="44"/>
      <c r="O47" s="44">
        <v>255052</v>
      </c>
      <c r="P47" s="44"/>
      <c r="Q47" s="44">
        <v>1307435</v>
      </c>
      <c r="R47" s="44"/>
      <c r="S47" s="44">
        <v>212846</v>
      </c>
      <c r="T47" s="44"/>
      <c r="U47" s="44">
        <v>171591</v>
      </c>
      <c r="V47" s="44"/>
      <c r="W47" s="44">
        <f t="shared" si="1"/>
        <v>7287399</v>
      </c>
      <c r="X47" s="44"/>
      <c r="Y47" s="44">
        <v>16523754</v>
      </c>
      <c r="Z47" s="44"/>
      <c r="AA47" s="44">
        <f>+'Stmt net assets'!Y47</f>
        <v>20479278</v>
      </c>
      <c r="AB47" s="44"/>
      <c r="AC47" s="44">
        <f>+Y47+'Stmt of activities-GA rev'!AC47-'Stmt of activities-GAexp'!W47-AA47</f>
        <v>0</v>
      </c>
    </row>
    <row r="48" spans="1:30" s="47" customFormat="1" ht="12.75" customHeight="1" x14ac:dyDescent="0.2">
      <c r="A48" s="47" t="s">
        <v>65</v>
      </c>
      <c r="B48" s="51"/>
      <c r="C48" s="47" t="s">
        <v>66</v>
      </c>
      <c r="E48" s="44">
        <v>6814464</v>
      </c>
      <c r="F48" s="44"/>
      <c r="G48" s="44">
        <v>0</v>
      </c>
      <c r="H48" s="44"/>
      <c r="I48" s="44">
        <v>308379</v>
      </c>
      <c r="J48" s="44"/>
      <c r="K48" s="44">
        <v>264650</v>
      </c>
      <c r="L48" s="44"/>
      <c r="M48" s="44">
        <v>4233694</v>
      </c>
      <c r="N48" s="44"/>
      <c r="O48" s="44">
        <v>0</v>
      </c>
      <c r="P48" s="44"/>
      <c r="Q48" s="44">
        <v>4920870</v>
      </c>
      <c r="R48" s="44"/>
      <c r="S48" s="44">
        <v>0</v>
      </c>
      <c r="T48" s="44"/>
      <c r="U48" s="44">
        <v>386256</v>
      </c>
      <c r="V48" s="44"/>
      <c r="W48" s="44">
        <f t="shared" si="1"/>
        <v>16928313</v>
      </c>
      <c r="X48" s="44"/>
      <c r="Y48" s="44">
        <v>69194900</v>
      </c>
      <c r="Z48" s="44"/>
      <c r="AA48" s="44">
        <f>+'Stmt net assets'!Y48</f>
        <v>69396435</v>
      </c>
      <c r="AB48" s="44"/>
      <c r="AC48" s="44">
        <f>+Y48+'Stmt of activities-GA rev'!AC48-'Stmt of activities-GAexp'!W48-AA48</f>
        <v>0</v>
      </c>
    </row>
    <row r="49" spans="1:30" s="47" customFormat="1" ht="12.75" customHeight="1" x14ac:dyDescent="0.2">
      <c r="A49" s="47" t="s">
        <v>67</v>
      </c>
      <c r="B49" s="51"/>
      <c r="C49" s="47" t="s">
        <v>375</v>
      </c>
      <c r="E49" s="44">
        <v>2732300</v>
      </c>
      <c r="F49" s="44"/>
      <c r="G49" s="44">
        <v>86340</v>
      </c>
      <c r="H49" s="44"/>
      <c r="I49" s="44">
        <v>260468</v>
      </c>
      <c r="J49" s="44"/>
      <c r="K49" s="44">
        <v>214571</v>
      </c>
      <c r="L49" s="44"/>
      <c r="M49" s="44">
        <v>2369912</v>
      </c>
      <c r="N49" s="44"/>
      <c r="O49" s="44">
        <v>24</v>
      </c>
      <c r="P49" s="44"/>
      <c r="Q49" s="44">
        <v>3133522</v>
      </c>
      <c r="R49" s="44"/>
      <c r="S49" s="44">
        <v>0</v>
      </c>
      <c r="T49" s="44"/>
      <c r="U49" s="44">
        <v>34328</v>
      </c>
      <c r="V49" s="44"/>
      <c r="W49" s="44">
        <f t="shared" si="1"/>
        <v>8831465</v>
      </c>
      <c r="X49" s="44"/>
      <c r="Y49" s="44">
        <v>41336392</v>
      </c>
      <c r="Z49" s="44"/>
      <c r="AA49" s="44">
        <f>+'Stmt net assets'!Y49</f>
        <v>42017520</v>
      </c>
      <c r="AB49" s="44"/>
      <c r="AC49" s="44">
        <f>+Y49+'Stmt of activities-GA rev'!AC49-'Stmt of activities-GAexp'!W49-AA49</f>
        <v>0</v>
      </c>
    </row>
    <row r="50" spans="1:30" s="47" customFormat="1" ht="12.75" customHeight="1" x14ac:dyDescent="0.2">
      <c r="A50" s="47" t="s">
        <v>68</v>
      </c>
      <c r="B50" s="51"/>
      <c r="C50" s="47" t="s">
        <v>45</v>
      </c>
      <c r="E50" s="44">
        <v>2306794</v>
      </c>
      <c r="F50" s="44"/>
      <c r="G50" s="44">
        <v>21359</v>
      </c>
      <c r="H50" s="44"/>
      <c r="I50" s="44">
        <v>104981</v>
      </c>
      <c r="J50" s="44"/>
      <c r="K50" s="44">
        <v>153438</v>
      </c>
      <c r="L50" s="44"/>
      <c r="M50" s="44">
        <v>610103</v>
      </c>
      <c r="N50" s="44"/>
      <c r="O50" s="44">
        <v>381252</v>
      </c>
      <c r="P50" s="44"/>
      <c r="Q50" s="44">
        <v>1443226</v>
      </c>
      <c r="R50" s="44"/>
      <c r="S50" s="44">
        <v>0</v>
      </c>
      <c r="T50" s="44"/>
      <c r="U50" s="44">
        <v>641</v>
      </c>
      <c r="V50" s="44"/>
      <c r="W50" s="44">
        <f t="shared" si="1"/>
        <v>5021794</v>
      </c>
      <c r="X50" s="44"/>
      <c r="Y50" s="44">
        <v>5794437</v>
      </c>
      <c r="Z50" s="44"/>
      <c r="AA50" s="44">
        <f>+'Stmt net assets'!Y50</f>
        <v>6173788</v>
      </c>
      <c r="AB50" s="44"/>
      <c r="AC50" s="44">
        <f>+Y50+'Stmt of activities-GA rev'!AC50-'Stmt of activities-GAexp'!W50-AA50</f>
        <v>0</v>
      </c>
    </row>
    <row r="51" spans="1:30" s="47" customFormat="1" ht="12.75" customHeight="1" x14ac:dyDescent="0.2">
      <c r="A51" s="47" t="s">
        <v>69</v>
      </c>
      <c r="B51" s="51"/>
      <c r="C51" s="47" t="s">
        <v>70</v>
      </c>
      <c r="E51" s="44">
        <f>5347177+5486905</f>
        <v>10834082</v>
      </c>
      <c r="F51" s="44"/>
      <c r="G51" s="44">
        <v>0</v>
      </c>
      <c r="H51" s="44"/>
      <c r="I51" s="44">
        <v>863046</v>
      </c>
      <c r="J51" s="44"/>
      <c r="K51" s="44">
        <v>1432828</v>
      </c>
      <c r="L51" s="44"/>
      <c r="M51" s="44">
        <v>6504578</v>
      </c>
      <c r="N51" s="44"/>
      <c r="O51" s="44">
        <v>673426</v>
      </c>
      <c r="P51" s="44"/>
      <c r="Q51" s="44">
        <v>5714391</v>
      </c>
      <c r="R51" s="44"/>
      <c r="S51" s="44">
        <v>0</v>
      </c>
      <c r="T51" s="44"/>
      <c r="U51" s="44">
        <v>116032</v>
      </c>
      <c r="V51" s="44"/>
      <c r="W51" s="44">
        <f t="shared" si="1"/>
        <v>26138383</v>
      </c>
      <c r="X51" s="44"/>
      <c r="Y51" s="44">
        <v>42496459</v>
      </c>
      <c r="Z51" s="44"/>
      <c r="AA51" s="44">
        <f>+'Stmt net assets'!Y51</f>
        <v>41120000</v>
      </c>
      <c r="AB51" s="44"/>
      <c r="AC51" s="44">
        <f>+Y51+'Stmt of activities-GA rev'!AC51-'Stmt of activities-GAexp'!W51-AA51</f>
        <v>0</v>
      </c>
    </row>
    <row r="52" spans="1:30" s="47" customFormat="1" ht="12.75" customHeight="1" x14ac:dyDescent="0.2">
      <c r="A52" s="47" t="s">
        <v>71</v>
      </c>
      <c r="B52" s="51"/>
      <c r="C52" s="47" t="s">
        <v>45</v>
      </c>
      <c r="E52" s="44">
        <v>242159000</v>
      </c>
      <c r="F52" s="44"/>
      <c r="G52" s="44">
        <v>47862000</v>
      </c>
      <c r="H52" s="44"/>
      <c r="I52" s="44">
        <v>42419000</v>
      </c>
      <c r="J52" s="44"/>
      <c r="K52" s="44">
        <v>45274000</v>
      </c>
      <c r="L52" s="44"/>
      <c r="M52" s="44">
        <v>34121000</v>
      </c>
      <c r="N52" s="44"/>
      <c r="O52" s="44">
        <v>57415000</v>
      </c>
      <c r="P52" s="44"/>
      <c r="Q52" s="44">
        <v>116448000</v>
      </c>
      <c r="R52" s="44"/>
      <c r="S52" s="44">
        <v>41746000</v>
      </c>
      <c r="T52" s="44"/>
      <c r="U52" s="44">
        <v>23004000</v>
      </c>
      <c r="V52" s="44"/>
      <c r="W52" s="44">
        <f t="shared" si="1"/>
        <v>650448000</v>
      </c>
      <c r="X52" s="44"/>
      <c r="Y52" s="44">
        <v>795313000</v>
      </c>
      <c r="Z52" s="44"/>
      <c r="AA52" s="44">
        <f>+'Stmt net assets'!Y52</f>
        <v>854870000</v>
      </c>
      <c r="AB52" s="44"/>
      <c r="AC52" s="44">
        <f>+Y52+'Stmt of activities-GA rev'!AC52-'Stmt of activities-GAexp'!W52-AA52</f>
        <v>0</v>
      </c>
    </row>
    <row r="53" spans="1:30" s="47" customFormat="1" ht="12.75" customHeight="1" x14ac:dyDescent="0.2">
      <c r="A53" s="47" t="s">
        <v>463</v>
      </c>
      <c r="B53" s="51"/>
      <c r="C53" s="47" t="s">
        <v>464</v>
      </c>
      <c r="E53" s="44">
        <f>2589908+1787658+228191</f>
        <v>4605757</v>
      </c>
      <c r="F53" s="44"/>
      <c r="G53" s="44">
        <v>309164</v>
      </c>
      <c r="H53" s="44"/>
      <c r="I53" s="44">
        <f>166942+30350+25247</f>
        <v>222539</v>
      </c>
      <c r="J53" s="44"/>
      <c r="K53" s="44">
        <f>9145+515001</f>
        <v>524146</v>
      </c>
      <c r="L53" s="44"/>
      <c r="M53" s="44">
        <v>1951190</v>
      </c>
      <c r="N53" s="44"/>
      <c r="O53" s="44">
        <v>817</v>
      </c>
      <c r="P53" s="44"/>
      <c r="Q53" s="44">
        <v>2719916</v>
      </c>
      <c r="R53" s="44"/>
      <c r="S53" s="44">
        <v>0</v>
      </c>
      <c r="T53" s="44"/>
      <c r="U53" s="44">
        <v>246092</v>
      </c>
      <c r="V53" s="44"/>
      <c r="W53" s="44">
        <f t="shared" si="1"/>
        <v>10579621</v>
      </c>
      <c r="X53" s="44"/>
      <c r="Y53" s="44">
        <v>26569903</v>
      </c>
      <c r="Z53" s="44"/>
      <c r="AA53" s="44">
        <f>+'Stmt net assets'!Y53</f>
        <v>26701806</v>
      </c>
      <c r="AB53" s="44"/>
      <c r="AC53" s="44">
        <f>+Y53+'Stmt of activities-GA rev'!AC53-'Stmt of activities-GAexp'!W53-AA53</f>
        <v>0</v>
      </c>
    </row>
    <row r="54" spans="1:30" s="47" customFormat="1" ht="12.75" customHeight="1" x14ac:dyDescent="0.2">
      <c r="A54" s="47" t="s">
        <v>72</v>
      </c>
      <c r="B54" s="51"/>
      <c r="C54" s="47" t="s">
        <v>66</v>
      </c>
      <c r="E54" s="44">
        <v>3314654</v>
      </c>
      <c r="F54" s="44"/>
      <c r="G54" s="44">
        <v>4576</v>
      </c>
      <c r="H54" s="44"/>
      <c r="I54" s="44">
        <v>0</v>
      </c>
      <c r="J54" s="44"/>
      <c r="K54" s="44">
        <v>7935</v>
      </c>
      <c r="L54" s="44"/>
      <c r="M54" s="44">
        <v>1413580</v>
      </c>
      <c r="N54" s="44"/>
      <c r="O54" s="44">
        <v>0</v>
      </c>
      <c r="P54" s="44"/>
      <c r="Q54" s="44">
        <v>3078190</v>
      </c>
      <c r="R54" s="44"/>
      <c r="S54" s="44">
        <v>0</v>
      </c>
      <c r="T54" s="44"/>
      <c r="U54" s="44">
        <v>234683</v>
      </c>
      <c r="V54" s="44"/>
      <c r="W54" s="44">
        <f t="shared" si="1"/>
        <v>8053618</v>
      </c>
      <c r="X54" s="44"/>
      <c r="Y54" s="44">
        <v>10166739</v>
      </c>
      <c r="Z54" s="44"/>
      <c r="AA54" s="44">
        <f>+'Stmt net assets'!Y54</f>
        <v>12107008</v>
      </c>
      <c r="AB54" s="44"/>
      <c r="AC54" s="44">
        <f>+Y54+'Stmt of activities-GA rev'!AC54-'Stmt of activities-GAexp'!W54-AA54</f>
        <v>0</v>
      </c>
    </row>
    <row r="55" spans="1:30" s="47" customFormat="1" ht="12.75" customHeight="1" x14ac:dyDescent="0.2">
      <c r="A55" s="47" t="s">
        <v>73</v>
      </c>
      <c r="C55" s="47" t="s">
        <v>27</v>
      </c>
      <c r="E55" s="44">
        <v>308051000</v>
      </c>
      <c r="F55" s="44"/>
      <c r="G55" s="44">
        <v>19596000</v>
      </c>
      <c r="H55" s="44"/>
      <c r="I55" s="44">
        <v>55411000</v>
      </c>
      <c r="J55" s="44"/>
      <c r="K55" s="44">
        <f>75778000+14098000+22323000</f>
        <v>112199000</v>
      </c>
      <c r="L55" s="44"/>
      <c r="M55" s="44">
        <v>0</v>
      </c>
      <c r="N55" s="44"/>
      <c r="O55" s="44">
        <v>84166000</v>
      </c>
      <c r="P55" s="44"/>
      <c r="Q55" s="44">
        <v>95833000</v>
      </c>
      <c r="R55" s="44"/>
      <c r="S55" s="44">
        <v>0</v>
      </c>
      <c r="T55" s="44"/>
      <c r="U55" s="44">
        <v>27686000</v>
      </c>
      <c r="V55" s="44"/>
      <c r="W55" s="44">
        <f t="shared" si="1"/>
        <v>702942000</v>
      </c>
      <c r="X55" s="44"/>
      <c r="Y55" s="44">
        <v>627181000</v>
      </c>
      <c r="Z55" s="44"/>
      <c r="AA55" s="44">
        <f>+'Stmt net assets'!Y55</f>
        <v>641454000</v>
      </c>
      <c r="AB55" s="44"/>
      <c r="AC55" s="44">
        <f>+Y55+'Stmt of activities-GA rev'!AC55-'Stmt of activities-GAexp'!W55-AA55</f>
        <v>0</v>
      </c>
    </row>
    <row r="56" spans="1:30" s="47" customFormat="1" ht="12.75" customHeight="1" x14ac:dyDescent="0.2">
      <c r="A56" s="47" t="s">
        <v>74</v>
      </c>
      <c r="B56" s="51"/>
      <c r="C56" s="47" t="s">
        <v>27</v>
      </c>
      <c r="E56" s="44">
        <v>19139951</v>
      </c>
      <c r="F56" s="44"/>
      <c r="G56" s="44">
        <v>342507</v>
      </c>
      <c r="H56" s="44"/>
      <c r="I56" s="44">
        <v>3466238</v>
      </c>
      <c r="J56" s="44"/>
      <c r="K56" s="44">
        <v>6330335</v>
      </c>
      <c r="L56" s="44"/>
      <c r="M56" s="44">
        <v>5620385</v>
      </c>
      <c r="N56" s="44"/>
      <c r="O56" s="44">
        <v>2470427</v>
      </c>
      <c r="P56" s="44"/>
      <c r="Q56" s="44">
        <v>15240828</v>
      </c>
      <c r="R56" s="44"/>
      <c r="S56" s="44">
        <v>0</v>
      </c>
      <c r="T56" s="44"/>
      <c r="U56" s="44">
        <v>904102</v>
      </c>
      <c r="V56" s="44"/>
      <c r="W56" s="44">
        <f t="shared" si="1"/>
        <v>53514773</v>
      </c>
      <c r="X56" s="44"/>
      <c r="Y56" s="44">
        <v>82336492</v>
      </c>
      <c r="Z56" s="44"/>
      <c r="AA56" s="44">
        <f>+'Stmt net assets'!Y56</f>
        <v>88230627</v>
      </c>
      <c r="AB56" s="44"/>
      <c r="AC56" s="44">
        <f>+Y56+'Stmt of activities-GA rev'!AC56-'Stmt of activities-GAexp'!W56-AA56</f>
        <v>0</v>
      </c>
    </row>
    <row r="57" spans="1:30" s="47" customFormat="1" ht="12.75" customHeight="1" x14ac:dyDescent="0.2">
      <c r="A57" s="47" t="s">
        <v>75</v>
      </c>
      <c r="B57" s="51"/>
      <c r="C57" s="47" t="s">
        <v>76</v>
      </c>
      <c r="E57" s="44">
        <v>1992065</v>
      </c>
      <c r="F57" s="44"/>
      <c r="G57" s="44">
        <v>671427</v>
      </c>
      <c r="H57" s="44"/>
      <c r="I57" s="44">
        <v>214640</v>
      </c>
      <c r="J57" s="44"/>
      <c r="K57" s="44">
        <v>467298</v>
      </c>
      <c r="L57" s="44"/>
      <c r="M57" s="44">
        <v>745071</v>
      </c>
      <c r="N57" s="44"/>
      <c r="O57" s="44">
        <v>0</v>
      </c>
      <c r="P57" s="44"/>
      <c r="Q57" s="44">
        <v>974256</v>
      </c>
      <c r="R57" s="44"/>
      <c r="S57" s="44">
        <v>0</v>
      </c>
      <c r="T57" s="44"/>
      <c r="U57" s="44">
        <v>148282</v>
      </c>
      <c r="V57" s="44"/>
      <c r="W57" s="44">
        <f t="shared" si="1"/>
        <v>5213039</v>
      </c>
      <c r="X57" s="44"/>
      <c r="Y57" s="44">
        <v>14612770</v>
      </c>
      <c r="Z57" s="44"/>
      <c r="AA57" s="44">
        <f>+'Stmt net assets'!Y57</f>
        <v>15146445</v>
      </c>
      <c r="AB57" s="44"/>
      <c r="AC57" s="44">
        <f>+Y57+'Stmt of activities-GA rev'!AC57-'Stmt of activities-GAexp'!W57-AA57</f>
        <v>0</v>
      </c>
    </row>
    <row r="58" spans="1:30" s="47" customFormat="1" ht="12.75" hidden="1" customHeight="1" x14ac:dyDescent="0.2">
      <c r="A58" s="47" t="s">
        <v>77</v>
      </c>
      <c r="B58" s="51"/>
      <c r="C58" s="47" t="s">
        <v>43</v>
      </c>
      <c r="E58" s="44">
        <v>516021000</v>
      </c>
      <c r="F58" s="44"/>
      <c r="G58" s="44">
        <v>42667000</v>
      </c>
      <c r="H58" s="44"/>
      <c r="I58" s="44">
        <v>132801000</v>
      </c>
      <c r="J58" s="44"/>
      <c r="K58" s="44">
        <v>109966000</v>
      </c>
      <c r="L58" s="44"/>
      <c r="M58" s="44">
        <v>0</v>
      </c>
      <c r="N58" s="44"/>
      <c r="O58" s="44">
        <v>150037000</v>
      </c>
      <c r="P58" s="44"/>
      <c r="Q58" s="44">
        <v>126946000</v>
      </c>
      <c r="R58" s="44"/>
      <c r="S58" s="44">
        <v>0</v>
      </c>
      <c r="T58" s="44"/>
      <c r="U58" s="44">
        <v>40895000</v>
      </c>
      <c r="V58" s="44"/>
      <c r="W58" s="44">
        <f t="shared" si="1"/>
        <v>1119333000</v>
      </c>
      <c r="X58" s="44"/>
      <c r="Y58" s="44">
        <v>1338980000</v>
      </c>
      <c r="Z58" s="44"/>
      <c r="AA58" s="44">
        <f>+'Stmt net assets'!Y58</f>
        <v>1436736000</v>
      </c>
      <c r="AB58" s="44"/>
      <c r="AC58" s="44">
        <f>+Y58+'Stmt of activities-GA rev'!AC58-'Stmt of activities-GAexp'!W58-AA58</f>
        <v>0</v>
      </c>
    </row>
    <row r="59" spans="1:30" s="47" customFormat="1" ht="12.75" customHeight="1" x14ac:dyDescent="0.2">
      <c r="A59" s="47" t="s">
        <v>94</v>
      </c>
      <c r="B59" s="51"/>
      <c r="C59" s="47" t="s">
        <v>94</v>
      </c>
      <c r="E59" s="44">
        <v>1439553</v>
      </c>
      <c r="F59" s="44"/>
      <c r="G59" s="44">
        <v>185779</v>
      </c>
      <c r="H59" s="44"/>
      <c r="I59" s="44">
        <v>362251</v>
      </c>
      <c r="J59" s="44"/>
      <c r="K59" s="44">
        <v>0</v>
      </c>
      <c r="L59" s="44"/>
      <c r="M59" s="44">
        <v>573890</v>
      </c>
      <c r="N59" s="44"/>
      <c r="O59" s="44">
        <v>0</v>
      </c>
      <c r="P59" s="44"/>
      <c r="Q59" s="44">
        <v>727785</v>
      </c>
      <c r="R59" s="44"/>
      <c r="S59" s="44">
        <v>0</v>
      </c>
      <c r="T59" s="44"/>
      <c r="U59" s="44">
        <v>0</v>
      </c>
      <c r="V59" s="44"/>
      <c r="W59" s="44">
        <f t="shared" ref="W59" si="4">SUM(E59:U59)</f>
        <v>3289258</v>
      </c>
      <c r="X59" s="44"/>
      <c r="Y59" s="44">
        <v>8381803</v>
      </c>
      <c r="Z59" s="44"/>
      <c r="AA59" s="44">
        <f>+'Stmt net assets'!Y59</f>
        <v>9379766</v>
      </c>
      <c r="AB59" s="44"/>
      <c r="AC59" s="44">
        <f>+Y59+'Stmt of activities-GA rev'!AC59-'Stmt of activities-GAexp'!W59-AA59</f>
        <v>0</v>
      </c>
    </row>
    <row r="60" spans="1:30" s="47" customFormat="1" ht="12.75" customHeight="1" x14ac:dyDescent="0.2">
      <c r="A60" s="47" t="s">
        <v>78</v>
      </c>
      <c r="B60" s="51"/>
      <c r="C60" s="47" t="s">
        <v>19</v>
      </c>
      <c r="E60" s="44">
        <v>3043520</v>
      </c>
      <c r="F60" s="44"/>
      <c r="G60" s="44">
        <v>211538</v>
      </c>
      <c r="H60" s="44"/>
      <c r="I60" s="44">
        <v>141303</v>
      </c>
      <c r="J60" s="44"/>
      <c r="K60" s="44">
        <v>513096</v>
      </c>
      <c r="L60" s="44"/>
      <c r="M60" s="44">
        <v>2825779</v>
      </c>
      <c r="N60" s="44"/>
      <c r="O60" s="44">
        <v>155121</v>
      </c>
      <c r="P60" s="44"/>
      <c r="Q60" s="44">
        <v>1424515</v>
      </c>
      <c r="R60" s="44"/>
      <c r="S60" s="44">
        <v>0</v>
      </c>
      <c r="T60" s="44"/>
      <c r="U60" s="44">
        <v>111373</v>
      </c>
      <c r="V60" s="44"/>
      <c r="W60" s="44">
        <f t="shared" si="1"/>
        <v>8426245</v>
      </c>
      <c r="X60" s="44"/>
      <c r="Y60" s="44">
        <v>31440948</v>
      </c>
      <c r="Z60" s="44"/>
      <c r="AA60" s="44">
        <f>+'Stmt net assets'!Y60</f>
        <v>30533931</v>
      </c>
      <c r="AB60" s="44"/>
      <c r="AC60" s="44">
        <f>+Y60+'Stmt of activities-GA rev'!AC60-'Stmt of activities-GAexp'!W60-AA60</f>
        <v>0</v>
      </c>
    </row>
    <row r="61" spans="1:30" s="47" customFormat="1" ht="12.75" customHeight="1" x14ac:dyDescent="0.2">
      <c r="A61" s="47" t="s">
        <v>79</v>
      </c>
      <c r="B61" s="51"/>
      <c r="C61" s="47" t="s">
        <v>80</v>
      </c>
      <c r="E61" s="44">
        <v>2413027</v>
      </c>
      <c r="F61" s="44"/>
      <c r="G61" s="44">
        <v>30</v>
      </c>
      <c r="H61" s="44"/>
      <c r="I61" s="44">
        <v>62738</v>
      </c>
      <c r="J61" s="44"/>
      <c r="K61" s="44">
        <v>41816</v>
      </c>
      <c r="L61" s="44"/>
      <c r="M61" s="44">
        <v>707133</v>
      </c>
      <c r="N61" s="44"/>
      <c r="O61" s="44">
        <v>0</v>
      </c>
      <c r="P61" s="44"/>
      <c r="Q61" s="44">
        <v>521348</v>
      </c>
      <c r="R61" s="44"/>
      <c r="S61" s="44">
        <v>0</v>
      </c>
      <c r="T61" s="44"/>
      <c r="U61" s="44">
        <v>0</v>
      </c>
      <c r="V61" s="44"/>
      <c r="W61" s="44">
        <f t="shared" si="1"/>
        <v>3746092</v>
      </c>
      <c r="X61" s="44"/>
      <c r="Y61" s="44">
        <v>6048775</v>
      </c>
      <c r="Z61" s="44"/>
      <c r="AA61" s="44">
        <f>+'Stmt net assets'!Y61</f>
        <v>6324805</v>
      </c>
      <c r="AB61" s="44"/>
      <c r="AC61" s="44">
        <f>+Y61+'Stmt of activities-GA rev'!AC61-'Stmt of activities-GAexp'!W61-AA61</f>
        <v>0</v>
      </c>
    </row>
    <row r="62" spans="1:30" s="47" customFormat="1" ht="12.75" customHeight="1" x14ac:dyDescent="0.2">
      <c r="A62" s="47" t="s">
        <v>81</v>
      </c>
      <c r="B62" s="51"/>
      <c r="C62" s="47" t="s">
        <v>81</v>
      </c>
      <c r="E62" s="44">
        <v>3177729</v>
      </c>
      <c r="F62" s="44"/>
      <c r="G62" s="44">
        <v>1195082</v>
      </c>
      <c r="H62" s="44"/>
      <c r="I62" s="44">
        <v>214268</v>
      </c>
      <c r="J62" s="44"/>
      <c r="K62" s="44">
        <v>15706</v>
      </c>
      <c r="L62" s="44"/>
      <c r="M62" s="44">
        <v>1355982</v>
      </c>
      <c r="N62" s="44"/>
      <c r="O62" s="44">
        <v>0</v>
      </c>
      <c r="P62" s="44"/>
      <c r="Q62" s="44">
        <v>1901271</v>
      </c>
      <c r="R62" s="44"/>
      <c r="S62" s="44">
        <v>0</v>
      </c>
      <c r="T62" s="44"/>
      <c r="U62" s="44">
        <v>659425</v>
      </c>
      <c r="V62" s="44"/>
      <c r="W62" s="44">
        <f t="shared" si="1"/>
        <v>8519463</v>
      </c>
      <c r="X62" s="44"/>
      <c r="Y62" s="44">
        <v>8737871</v>
      </c>
      <c r="Z62" s="44"/>
      <c r="AA62" s="44">
        <f>+'Stmt net assets'!Y62</f>
        <v>8386883</v>
      </c>
      <c r="AB62" s="44"/>
      <c r="AC62" s="44">
        <f>+Y62+'Stmt of activities-GA rev'!AC62-'Stmt of activities-GAexp'!W62-AA62</f>
        <v>0</v>
      </c>
    </row>
    <row r="63" spans="1:30" s="122" customFormat="1" ht="12.75" hidden="1" customHeight="1" x14ac:dyDescent="0.2">
      <c r="A63" s="122" t="s">
        <v>465</v>
      </c>
      <c r="C63" s="122" t="s">
        <v>57</v>
      </c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>
        <f t="shared" si="1"/>
        <v>0</v>
      </c>
      <c r="X63" s="121"/>
      <c r="Y63" s="121"/>
      <c r="Z63" s="121"/>
      <c r="AA63" s="121">
        <f>+'Stmt net assets'!Y63</f>
        <v>0</v>
      </c>
      <c r="AB63" s="121"/>
      <c r="AC63" s="121">
        <f>+Y63+'Stmt of activities-GA rev'!AC63-'Stmt of activities-GAexp'!W63-AA63</f>
        <v>0</v>
      </c>
    </row>
    <row r="64" spans="1:30" s="47" customFormat="1" ht="12.75" customHeight="1" x14ac:dyDescent="0.2">
      <c r="A64" s="47" t="s">
        <v>82</v>
      </c>
      <c r="B64" s="51"/>
      <c r="C64" s="47" t="s">
        <v>13</v>
      </c>
      <c r="E64" s="44">
        <v>20176824</v>
      </c>
      <c r="F64" s="44"/>
      <c r="G64" s="44">
        <v>0</v>
      </c>
      <c r="H64" s="44"/>
      <c r="I64" s="44">
        <v>2582822</v>
      </c>
      <c r="J64" s="44"/>
      <c r="K64" s="44">
        <v>2698449</v>
      </c>
      <c r="L64" s="44"/>
      <c r="M64" s="44">
        <v>7635326</v>
      </c>
      <c r="N64" s="44"/>
      <c r="O64" s="44">
        <v>0</v>
      </c>
      <c r="P64" s="44"/>
      <c r="Q64" s="44">
        <v>7809403</v>
      </c>
      <c r="R64" s="44"/>
      <c r="S64" s="44">
        <v>0</v>
      </c>
      <c r="T64" s="44"/>
      <c r="U64" s="44">
        <v>364645</v>
      </c>
      <c r="V64" s="44"/>
      <c r="W64" s="44">
        <f t="shared" si="1"/>
        <v>41267469</v>
      </c>
      <c r="X64" s="44"/>
      <c r="Y64" s="44">
        <v>101989755</v>
      </c>
      <c r="Z64" s="44"/>
      <c r="AA64" s="44">
        <f>+'Stmt net assets'!Y64</f>
        <v>106169206</v>
      </c>
      <c r="AB64" s="44"/>
      <c r="AC64" s="44">
        <f>+Y64+'Stmt of activities-GA rev'!AC64-'Stmt of activities-GAexp'!W64-AA64</f>
        <v>0</v>
      </c>
      <c r="AD64" s="44"/>
    </row>
    <row r="65" spans="1:29" s="47" customFormat="1" ht="12.75" customHeight="1" x14ac:dyDescent="0.2">
      <c r="A65" s="46"/>
      <c r="B65" s="46"/>
      <c r="C65" s="46"/>
      <c r="D65" s="46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8" t="s">
        <v>484</v>
      </c>
      <c r="AB65" s="44"/>
      <c r="AC65" s="44"/>
    </row>
    <row r="66" spans="1:29" s="47" customFormat="1" ht="12.75" customHeight="1" x14ac:dyDescent="0.2">
      <c r="A66" s="47" t="s">
        <v>83</v>
      </c>
      <c r="B66" s="51"/>
      <c r="C66" s="47" t="s">
        <v>66</v>
      </c>
      <c r="E66" s="46">
        <v>94294723</v>
      </c>
      <c r="F66" s="46"/>
      <c r="G66" s="46">
        <v>2395344</v>
      </c>
      <c r="H66" s="46"/>
      <c r="I66" s="46">
        <v>0</v>
      </c>
      <c r="J66" s="46"/>
      <c r="K66" s="46">
        <f>32086879+10105180</f>
        <v>42192059</v>
      </c>
      <c r="L66" s="46"/>
      <c r="M66" s="46">
        <v>2922503</v>
      </c>
      <c r="N66" s="46"/>
      <c r="O66" s="46">
        <v>0</v>
      </c>
      <c r="P66" s="46"/>
      <c r="Q66" s="46">
        <v>15884692</v>
      </c>
      <c r="R66" s="46"/>
      <c r="S66" s="46">
        <v>40275561</v>
      </c>
      <c r="T66" s="46"/>
      <c r="U66" s="46">
        <v>4556429</v>
      </c>
      <c r="V66" s="46"/>
      <c r="W66" s="46">
        <f t="shared" si="1"/>
        <v>202521311</v>
      </c>
      <c r="X66" s="46"/>
      <c r="Y66" s="46">
        <v>428230811</v>
      </c>
      <c r="Z66" s="46"/>
      <c r="AA66" s="46">
        <f>+'Stmt net assets'!Y66</f>
        <v>453396108</v>
      </c>
      <c r="AB66" s="44"/>
      <c r="AC66" s="44">
        <f>+Y66+'Stmt of activities-GA rev'!AC65-'Stmt of activities-GAexp'!W66-AA66</f>
        <v>0</v>
      </c>
    </row>
    <row r="67" spans="1:29" s="47" customFormat="1" ht="12.75" customHeight="1" x14ac:dyDescent="0.2">
      <c r="A67" s="47" t="s">
        <v>84</v>
      </c>
      <c r="B67" s="51"/>
      <c r="C67" s="47" t="s">
        <v>45</v>
      </c>
      <c r="E67" s="44">
        <v>1253489</v>
      </c>
      <c r="F67" s="44"/>
      <c r="G67" s="44">
        <v>0</v>
      </c>
      <c r="H67" s="44"/>
      <c r="I67" s="44">
        <v>55088</v>
      </c>
      <c r="J67" s="44"/>
      <c r="K67" s="44">
        <v>3867</v>
      </c>
      <c r="L67" s="44"/>
      <c r="M67" s="44">
        <v>407291</v>
      </c>
      <c r="N67" s="44"/>
      <c r="O67" s="44">
        <v>0</v>
      </c>
      <c r="P67" s="44"/>
      <c r="Q67" s="44">
        <v>1152178</v>
      </c>
      <c r="R67" s="44"/>
      <c r="S67" s="44">
        <v>0</v>
      </c>
      <c r="T67" s="44"/>
      <c r="U67" s="44">
        <v>131829</v>
      </c>
      <c r="V67" s="44"/>
      <c r="W67" s="44">
        <f t="shared" si="1"/>
        <v>3003742</v>
      </c>
      <c r="X67" s="44"/>
      <c r="Y67" s="44">
        <v>3258309</v>
      </c>
      <c r="Z67" s="44"/>
      <c r="AA67" s="44">
        <f>+'Stmt net assets'!Y67</f>
        <v>3571262</v>
      </c>
      <c r="AB67" s="44"/>
      <c r="AC67" s="44">
        <f>+Y67+'Stmt of activities-GA rev'!AC66-'Stmt of activities-GAexp'!W67-AA67</f>
        <v>0</v>
      </c>
    </row>
    <row r="68" spans="1:29" s="47" customFormat="1" ht="12.75" customHeight="1" x14ac:dyDescent="0.2">
      <c r="A68" s="47" t="s">
        <v>85</v>
      </c>
      <c r="B68" s="51"/>
      <c r="C68" s="47" t="s">
        <v>85</v>
      </c>
      <c r="E68" s="44">
        <v>5429001</v>
      </c>
      <c r="F68" s="44"/>
      <c r="G68" s="44">
        <v>244943</v>
      </c>
      <c r="H68" s="44"/>
      <c r="I68" s="44">
        <v>650516</v>
      </c>
      <c r="J68" s="44"/>
      <c r="K68" s="44">
        <f>475458+903603</f>
        <v>1379061</v>
      </c>
      <c r="L68" s="44"/>
      <c r="M68" s="44">
        <v>1746391</v>
      </c>
      <c r="N68" s="44"/>
      <c r="O68" s="44">
        <v>5335</v>
      </c>
      <c r="P68" s="44"/>
      <c r="Q68" s="44">
        <v>2817789</v>
      </c>
      <c r="R68" s="44"/>
      <c r="S68" s="44">
        <v>0</v>
      </c>
      <c r="T68" s="44"/>
      <c r="U68" s="44">
        <v>93147</v>
      </c>
      <c r="V68" s="44"/>
      <c r="W68" s="44">
        <f t="shared" si="1"/>
        <v>12366183</v>
      </c>
      <c r="X68" s="44"/>
      <c r="Y68" s="44">
        <v>22468961</v>
      </c>
      <c r="Z68" s="44"/>
      <c r="AA68" s="44">
        <f>+'Stmt net assets'!Y68</f>
        <v>23446186</v>
      </c>
      <c r="AB68" s="44"/>
      <c r="AC68" s="44">
        <f>+Y68+'Stmt of activities-GA rev'!AC67-'Stmt of activities-GAexp'!W68-AA68</f>
        <v>0</v>
      </c>
    </row>
    <row r="69" spans="1:29" s="47" customFormat="1" ht="12.75" customHeight="1" x14ac:dyDescent="0.2">
      <c r="A69" s="47" t="s">
        <v>86</v>
      </c>
      <c r="B69" s="51"/>
      <c r="C69" s="47" t="s">
        <v>86</v>
      </c>
      <c r="E69" s="44">
        <f>11745383+3005899</f>
        <v>14751282</v>
      </c>
      <c r="F69" s="44"/>
      <c r="G69" s="44">
        <v>0</v>
      </c>
      <c r="H69" s="44"/>
      <c r="I69" s="44">
        <v>5156440</v>
      </c>
      <c r="J69" s="44"/>
      <c r="K69" s="44">
        <v>705895</v>
      </c>
      <c r="L69" s="44"/>
      <c r="M69" s="44">
        <v>6198603</v>
      </c>
      <c r="N69" s="44"/>
      <c r="O69" s="44">
        <v>0</v>
      </c>
      <c r="P69" s="44"/>
      <c r="Q69" s="44">
        <v>5179186</v>
      </c>
      <c r="R69" s="44"/>
      <c r="S69" s="44">
        <v>1187418</v>
      </c>
      <c r="T69" s="44"/>
      <c r="U69" s="44">
        <v>1369537</v>
      </c>
      <c r="V69" s="44"/>
      <c r="W69" s="44">
        <f t="shared" si="1"/>
        <v>34548361</v>
      </c>
      <c r="X69" s="44"/>
      <c r="Y69" s="44">
        <v>71618106</v>
      </c>
      <c r="Z69" s="44"/>
      <c r="AA69" s="44">
        <f>+'Stmt net assets'!Y69</f>
        <v>71004854</v>
      </c>
      <c r="AB69" s="44"/>
      <c r="AC69" s="44">
        <f>+Y69+'Stmt of activities-GA rev'!AC68-'Stmt of activities-GAexp'!W69-AA69</f>
        <v>0</v>
      </c>
    </row>
    <row r="70" spans="1:29" s="47" customFormat="1" ht="12.75" customHeight="1" x14ac:dyDescent="0.2">
      <c r="A70" s="46" t="s">
        <v>87</v>
      </c>
      <c r="B70" s="46"/>
      <c r="C70" s="46" t="s">
        <v>88</v>
      </c>
      <c r="D70" s="46"/>
      <c r="E70" s="44">
        <v>2637087</v>
      </c>
      <c r="F70" s="44"/>
      <c r="G70" s="44">
        <v>51652</v>
      </c>
      <c r="H70" s="44"/>
      <c r="I70" s="44">
        <v>448781</v>
      </c>
      <c r="J70" s="44"/>
      <c r="K70" s="44">
        <v>0</v>
      </c>
      <c r="L70" s="44"/>
      <c r="M70" s="44">
        <v>343221</v>
      </c>
      <c r="N70" s="44"/>
      <c r="O70" s="44">
        <v>0</v>
      </c>
      <c r="P70" s="44"/>
      <c r="Q70" s="44">
        <v>310191</v>
      </c>
      <c r="R70" s="44"/>
      <c r="S70" s="44">
        <v>0</v>
      </c>
      <c r="T70" s="44"/>
      <c r="U70" s="44">
        <v>1213</v>
      </c>
      <c r="V70" s="44"/>
      <c r="W70" s="44">
        <f t="shared" si="1"/>
        <v>3792145</v>
      </c>
      <c r="X70" s="44"/>
      <c r="Y70" s="44">
        <v>4737129</v>
      </c>
      <c r="Z70" s="44"/>
      <c r="AA70" s="44">
        <f>+'Stmt net assets'!Y70</f>
        <v>4400545</v>
      </c>
      <c r="AB70" s="44"/>
      <c r="AC70" s="44">
        <f>+Y70+'Stmt of activities-GA rev'!AC69-'Stmt of activities-GAexp'!W70-AA70</f>
        <v>0</v>
      </c>
    </row>
    <row r="71" spans="1:29" s="47" customFormat="1" ht="12.75" customHeight="1" x14ac:dyDescent="0.2">
      <c r="A71" s="47" t="s">
        <v>395</v>
      </c>
      <c r="B71" s="96"/>
      <c r="C71" s="47" t="s">
        <v>89</v>
      </c>
      <c r="E71" s="44">
        <v>4647659</v>
      </c>
      <c r="F71" s="44"/>
      <c r="G71" s="44">
        <v>788705</v>
      </c>
      <c r="H71" s="44"/>
      <c r="I71" s="44">
        <v>1007014</v>
      </c>
      <c r="J71" s="44"/>
      <c r="K71" s="44">
        <v>115729</v>
      </c>
      <c r="L71" s="44"/>
      <c r="M71" s="44">
        <v>2186664</v>
      </c>
      <c r="N71" s="44"/>
      <c r="O71" s="44">
        <v>570453</v>
      </c>
      <c r="P71" s="44"/>
      <c r="Q71" s="44">
        <v>1284689</v>
      </c>
      <c r="R71" s="44"/>
      <c r="S71" s="44">
        <v>0</v>
      </c>
      <c r="T71" s="44"/>
      <c r="U71" s="44">
        <v>40903</v>
      </c>
      <c r="V71" s="44"/>
      <c r="W71" s="44">
        <f t="shared" si="1"/>
        <v>10641816</v>
      </c>
      <c r="X71" s="44"/>
      <c r="Y71" s="44">
        <v>17359890</v>
      </c>
      <c r="Z71" s="44"/>
      <c r="AA71" s="44">
        <f>+'Stmt net assets'!Y71</f>
        <v>19552793</v>
      </c>
      <c r="AB71" s="44"/>
      <c r="AC71" s="44">
        <f>+Y71+'Stmt of activities-GA rev'!AC70-'Stmt of activities-GAexp'!W71-AA71</f>
        <v>0</v>
      </c>
    </row>
    <row r="72" spans="1:29" s="47" customFormat="1" ht="12.75" hidden="1" customHeight="1" x14ac:dyDescent="0.2">
      <c r="A72" s="47" t="s">
        <v>90</v>
      </c>
      <c r="B72" s="96"/>
      <c r="C72" s="47" t="s">
        <v>43</v>
      </c>
      <c r="E72" s="44">
        <v>11259375</v>
      </c>
      <c r="F72" s="44"/>
      <c r="G72" s="44">
        <v>379787</v>
      </c>
      <c r="H72" s="44"/>
      <c r="I72" s="44">
        <v>19715664</v>
      </c>
      <c r="J72" s="44"/>
      <c r="K72" s="44">
        <v>6595627</v>
      </c>
      <c r="L72" s="44"/>
      <c r="M72" s="44">
        <v>14990849</v>
      </c>
      <c r="N72" s="44"/>
      <c r="O72" s="44">
        <v>3477863</v>
      </c>
      <c r="P72" s="44"/>
      <c r="Q72" s="44">
        <v>23755081</v>
      </c>
      <c r="R72" s="44"/>
      <c r="S72" s="44">
        <v>0</v>
      </c>
      <c r="T72" s="44"/>
      <c r="U72" s="44">
        <v>1838607</v>
      </c>
      <c r="V72" s="44"/>
      <c r="W72" s="44">
        <f t="shared" ref="W72" si="5">SUM(E72:U72)</f>
        <v>82012853</v>
      </c>
      <c r="X72" s="44"/>
      <c r="Y72" s="44">
        <v>435244501</v>
      </c>
      <c r="Z72" s="44"/>
      <c r="AA72" s="44">
        <f>+'Stmt net assets'!Y72</f>
        <v>453869121</v>
      </c>
      <c r="AB72" s="44"/>
      <c r="AC72" s="44">
        <f>+Y72+'Stmt of activities-GA rev'!AC71-'Stmt of activities-GAexp'!W72-AA72</f>
        <v>0</v>
      </c>
    </row>
    <row r="73" spans="1:29" s="47" customFormat="1" ht="12.75" customHeight="1" x14ac:dyDescent="0.2">
      <c r="A73" s="47" t="s">
        <v>488</v>
      </c>
      <c r="C73" s="47" t="s">
        <v>27</v>
      </c>
      <c r="E73" s="44">
        <v>9052611</v>
      </c>
      <c r="F73" s="44"/>
      <c r="G73" s="44">
        <v>0</v>
      </c>
      <c r="H73" s="44"/>
      <c r="I73" s="44">
        <v>328558</v>
      </c>
      <c r="J73" s="44"/>
      <c r="K73" s="44">
        <v>2016051</v>
      </c>
      <c r="L73" s="44"/>
      <c r="M73" s="44">
        <v>2007982</v>
      </c>
      <c r="N73" s="44"/>
      <c r="O73" s="44">
        <v>704780</v>
      </c>
      <c r="P73" s="44"/>
      <c r="Q73" s="44">
        <v>5136503</v>
      </c>
      <c r="R73" s="44"/>
      <c r="S73" s="44">
        <v>0</v>
      </c>
      <c r="T73" s="44"/>
      <c r="U73" s="44">
        <v>57242</v>
      </c>
      <c r="V73" s="44"/>
      <c r="W73" s="44">
        <f t="shared" ref="W73:W136" si="6">SUM(E73:U73)</f>
        <v>19303727</v>
      </c>
      <c r="X73" s="44"/>
      <c r="Y73" s="44">
        <v>22612653</v>
      </c>
      <c r="Z73" s="44"/>
      <c r="AA73" s="44">
        <f>+'Stmt net assets'!Y73</f>
        <v>22922944</v>
      </c>
      <c r="AB73" s="44"/>
      <c r="AC73" s="44">
        <f>+Y73+'Stmt of activities-GA rev'!AC72-'Stmt of activities-GAexp'!W73-AA73</f>
        <v>0</v>
      </c>
    </row>
    <row r="74" spans="1:29" s="47" customFormat="1" ht="12.75" customHeight="1" x14ac:dyDescent="0.2">
      <c r="A74" s="44" t="s">
        <v>93</v>
      </c>
      <c r="C74" s="44" t="s">
        <v>94</v>
      </c>
      <c r="E74" s="44">
        <v>3244459</v>
      </c>
      <c r="F74" s="44"/>
      <c r="G74" s="44">
        <v>168594</v>
      </c>
      <c r="H74" s="44"/>
      <c r="I74" s="44">
        <v>153846</v>
      </c>
      <c r="J74" s="44"/>
      <c r="K74" s="44">
        <v>825465</v>
      </c>
      <c r="L74" s="44"/>
      <c r="M74" s="44">
        <v>534003</v>
      </c>
      <c r="N74" s="44"/>
      <c r="O74" s="44">
        <v>0</v>
      </c>
      <c r="P74" s="44"/>
      <c r="Q74" s="44">
        <v>1326235</v>
      </c>
      <c r="R74" s="44"/>
      <c r="S74" s="44">
        <v>0</v>
      </c>
      <c r="T74" s="44"/>
      <c r="U74" s="44">
        <v>79516</v>
      </c>
      <c r="V74" s="44"/>
      <c r="W74" s="44">
        <f t="shared" si="6"/>
        <v>6332118</v>
      </c>
      <c r="X74" s="44"/>
      <c r="Y74" s="44">
        <v>6158260</v>
      </c>
      <c r="Z74" s="44"/>
      <c r="AA74" s="44">
        <f>+'Stmt net assets'!Y74</f>
        <v>7404288</v>
      </c>
      <c r="AB74" s="44"/>
      <c r="AC74" s="44">
        <f>+Y74+'Stmt of activities-GA rev'!AC74-'Stmt of activities-GAexp'!W74-AA74</f>
        <v>0</v>
      </c>
    </row>
    <row r="75" spans="1:29" s="46" customFormat="1" ht="12.75" customHeight="1" x14ac:dyDescent="0.2">
      <c r="A75" s="46" t="s">
        <v>95</v>
      </c>
      <c r="B75" s="66"/>
      <c r="C75" s="46" t="s">
        <v>94</v>
      </c>
      <c r="E75" s="44">
        <v>1106887</v>
      </c>
      <c r="F75" s="44"/>
      <c r="G75" s="44">
        <v>70781</v>
      </c>
      <c r="H75" s="44"/>
      <c r="I75" s="44">
        <v>326145</v>
      </c>
      <c r="J75" s="44"/>
      <c r="K75" s="44">
        <v>162713</v>
      </c>
      <c r="L75" s="44"/>
      <c r="M75" s="44">
        <v>387950</v>
      </c>
      <c r="N75" s="44"/>
      <c r="O75" s="44">
        <v>0</v>
      </c>
      <c r="P75" s="44"/>
      <c r="Q75" s="44">
        <v>573272</v>
      </c>
      <c r="R75" s="44"/>
      <c r="S75" s="44">
        <v>0</v>
      </c>
      <c r="T75" s="44"/>
      <c r="U75" s="44">
        <v>31870</v>
      </c>
      <c r="V75" s="44"/>
      <c r="W75" s="44">
        <f t="shared" si="6"/>
        <v>2659618</v>
      </c>
      <c r="X75" s="44"/>
      <c r="Y75" s="44">
        <v>5319978</v>
      </c>
      <c r="Z75" s="44"/>
      <c r="AA75" s="44">
        <f>+'Stmt net assets'!Y75</f>
        <v>5245390</v>
      </c>
      <c r="AB75" s="44"/>
      <c r="AC75" s="44">
        <f>+Y75+'Stmt of activities-GA rev'!AC75-'Stmt of activities-GAexp'!W75-AA75</f>
        <v>0</v>
      </c>
    </row>
    <row r="76" spans="1:29" s="47" customFormat="1" ht="12.75" customHeight="1" x14ac:dyDescent="0.2">
      <c r="A76" s="47" t="s">
        <v>91</v>
      </c>
      <c r="B76" s="51"/>
      <c r="C76" s="47" t="s">
        <v>92</v>
      </c>
      <c r="E76" s="44">
        <v>6587675</v>
      </c>
      <c r="F76" s="44"/>
      <c r="G76" s="44">
        <v>175749</v>
      </c>
      <c r="H76" s="44"/>
      <c r="I76" s="44">
        <v>1185163</v>
      </c>
      <c r="J76" s="44"/>
      <c r="K76" s="44">
        <v>309974</v>
      </c>
      <c r="L76" s="44"/>
      <c r="M76" s="44">
        <v>1719656</v>
      </c>
      <c r="N76" s="44"/>
      <c r="O76" s="44">
        <v>2152737</v>
      </c>
      <c r="P76" s="44"/>
      <c r="Q76" s="44">
        <v>4077015</v>
      </c>
      <c r="R76" s="44"/>
      <c r="S76" s="44">
        <v>0</v>
      </c>
      <c r="T76" s="44"/>
      <c r="U76" s="44">
        <v>929715</v>
      </c>
      <c r="V76" s="44"/>
      <c r="W76" s="44">
        <f t="shared" si="6"/>
        <v>17137684</v>
      </c>
      <c r="X76" s="44"/>
      <c r="Y76" s="44">
        <v>27117834</v>
      </c>
      <c r="Z76" s="44"/>
      <c r="AA76" s="44">
        <f>+'Stmt net assets'!Y76</f>
        <v>26505816</v>
      </c>
      <c r="AB76" s="44"/>
      <c r="AC76" s="44">
        <f>+Y76+'Stmt of activities-GA rev'!AC76-'Stmt of activities-GAexp'!W76-AA76</f>
        <v>0</v>
      </c>
    </row>
    <row r="77" spans="1:29" s="47" customFormat="1" ht="12.75" customHeight="1" x14ac:dyDescent="0.2">
      <c r="A77" s="47" t="s">
        <v>96</v>
      </c>
      <c r="B77" s="51"/>
      <c r="C77" s="47" t="s">
        <v>97</v>
      </c>
      <c r="E77" s="44">
        <v>3006991</v>
      </c>
      <c r="F77" s="44"/>
      <c r="G77" s="44">
        <v>170463</v>
      </c>
      <c r="H77" s="44"/>
      <c r="I77" s="44">
        <v>273870</v>
      </c>
      <c r="J77" s="44"/>
      <c r="K77" s="44">
        <v>395965</v>
      </c>
      <c r="L77" s="44"/>
      <c r="M77" s="44">
        <v>1142535</v>
      </c>
      <c r="N77" s="44"/>
      <c r="O77" s="44">
        <v>0</v>
      </c>
      <c r="P77" s="44"/>
      <c r="Q77" s="44">
        <v>2109879</v>
      </c>
      <c r="R77" s="44"/>
      <c r="S77" s="44">
        <v>0</v>
      </c>
      <c r="T77" s="44"/>
      <c r="U77" s="44">
        <v>43425</v>
      </c>
      <c r="V77" s="44"/>
      <c r="W77" s="44">
        <f t="shared" si="6"/>
        <v>7143128</v>
      </c>
      <c r="X77" s="44"/>
      <c r="Y77" s="44">
        <v>12768320</v>
      </c>
      <c r="Z77" s="44"/>
      <c r="AA77" s="44">
        <f>+'Stmt net assets'!Y77</f>
        <v>13362193</v>
      </c>
      <c r="AB77" s="44"/>
      <c r="AC77" s="44">
        <f>+Y77+'Stmt of activities-GA rev'!AC77-'Stmt of activities-GAexp'!W77-AA77</f>
        <v>0</v>
      </c>
    </row>
    <row r="78" spans="1:29" s="47" customFormat="1" ht="12.75" customHeight="1" x14ac:dyDescent="0.2">
      <c r="A78" s="47" t="s">
        <v>98</v>
      </c>
      <c r="B78" s="51"/>
      <c r="C78" s="47" t="s">
        <v>17</v>
      </c>
      <c r="E78" s="44">
        <v>20096325</v>
      </c>
      <c r="F78" s="44"/>
      <c r="G78" s="44">
        <v>2076012</v>
      </c>
      <c r="H78" s="44"/>
      <c r="I78" s="44">
        <v>1721823</v>
      </c>
      <c r="J78" s="44"/>
      <c r="K78" s="44">
        <v>4373694</v>
      </c>
      <c r="L78" s="44"/>
      <c r="M78" s="44">
        <v>5091213</v>
      </c>
      <c r="N78" s="44"/>
      <c r="O78" s="44">
        <v>0</v>
      </c>
      <c r="P78" s="44"/>
      <c r="Q78" s="44">
        <v>8503771</v>
      </c>
      <c r="R78" s="44"/>
      <c r="S78" s="44">
        <v>0</v>
      </c>
      <c r="T78" s="44"/>
      <c r="U78" s="44">
        <v>1430156</v>
      </c>
      <c r="V78" s="44"/>
      <c r="W78" s="44">
        <f t="shared" si="6"/>
        <v>43292994</v>
      </c>
      <c r="X78" s="44"/>
      <c r="Y78" s="44">
        <v>66836399</v>
      </c>
      <c r="Z78" s="44"/>
      <c r="AA78" s="44">
        <f>+'Stmt net assets'!Y78</f>
        <v>68845967</v>
      </c>
      <c r="AB78" s="44"/>
      <c r="AC78" s="44">
        <f>+Y78+'Stmt of activities-GA rev'!AC78-'Stmt of activities-GAexp'!W78-AA78</f>
        <v>0</v>
      </c>
    </row>
    <row r="79" spans="1:29" s="47" customFormat="1" ht="12.75" customHeight="1" x14ac:dyDescent="0.2">
      <c r="A79" s="47" t="s">
        <v>99</v>
      </c>
      <c r="B79" s="51"/>
      <c r="C79" s="47" t="s">
        <v>66</v>
      </c>
      <c r="E79" s="44">
        <v>5440448</v>
      </c>
      <c r="F79" s="44"/>
      <c r="G79" s="44">
        <v>14133</v>
      </c>
      <c r="H79" s="44"/>
      <c r="I79" s="44">
        <v>427048</v>
      </c>
      <c r="J79" s="44"/>
      <c r="K79" s="44">
        <v>416109</v>
      </c>
      <c r="L79" s="44"/>
      <c r="M79" s="44">
        <v>3145562</v>
      </c>
      <c r="N79" s="44"/>
      <c r="O79" s="44">
        <v>0</v>
      </c>
      <c r="P79" s="44"/>
      <c r="Q79" s="44">
        <v>1761900</v>
      </c>
      <c r="R79" s="44"/>
      <c r="S79" s="44">
        <v>0</v>
      </c>
      <c r="T79" s="44"/>
      <c r="U79" s="44">
        <v>0</v>
      </c>
      <c r="V79" s="44"/>
      <c r="W79" s="44">
        <f t="shared" si="6"/>
        <v>11205200</v>
      </c>
      <c r="X79" s="44"/>
      <c r="Y79" s="44">
        <v>51947127</v>
      </c>
      <c r="Z79" s="44"/>
      <c r="AA79" s="44">
        <f>+'Stmt net assets'!Y79</f>
        <v>52361077</v>
      </c>
      <c r="AB79" s="44"/>
      <c r="AC79" s="44">
        <f>+Y79+'Stmt of activities-GA rev'!AC79-'Stmt of activities-GAexp'!W79-AA79</f>
        <v>0</v>
      </c>
    </row>
    <row r="80" spans="1:29" s="47" customFormat="1" ht="12.75" customHeight="1" x14ac:dyDescent="0.2">
      <c r="A80" s="47" t="s">
        <v>100</v>
      </c>
      <c r="B80" s="51"/>
      <c r="C80" s="47" t="s">
        <v>27</v>
      </c>
      <c r="E80" s="44">
        <v>21678327</v>
      </c>
      <c r="F80" s="44"/>
      <c r="G80" s="44">
        <v>285793</v>
      </c>
      <c r="H80" s="44"/>
      <c r="I80" s="44">
        <v>1696202</v>
      </c>
      <c r="J80" s="44"/>
      <c r="K80" s="44">
        <v>2920142</v>
      </c>
      <c r="L80" s="44"/>
      <c r="M80" s="44">
        <v>6101441</v>
      </c>
      <c r="N80" s="44"/>
      <c r="O80" s="44">
        <v>2185892</v>
      </c>
      <c r="P80" s="44"/>
      <c r="Q80" s="44">
        <v>14243665</v>
      </c>
      <c r="R80" s="44"/>
      <c r="S80" s="44">
        <v>0</v>
      </c>
      <c r="T80" s="44"/>
      <c r="U80" s="44">
        <v>830305</v>
      </c>
      <c r="V80" s="44"/>
      <c r="W80" s="44">
        <f t="shared" si="6"/>
        <v>49941767</v>
      </c>
      <c r="X80" s="44"/>
      <c r="Y80" s="44">
        <v>54686066</v>
      </c>
      <c r="Z80" s="44"/>
      <c r="AA80" s="44">
        <f>+'Stmt net assets'!Y80</f>
        <v>59075603</v>
      </c>
      <c r="AB80" s="44"/>
      <c r="AC80" s="44">
        <f>+Y80+'Stmt of activities-GA rev'!AC80-'Stmt of activities-GAexp'!W80-AA80</f>
        <v>0</v>
      </c>
    </row>
    <row r="81" spans="1:30" s="47" customFormat="1" ht="12.75" customHeight="1" x14ac:dyDescent="0.2">
      <c r="A81" s="47" t="s">
        <v>101</v>
      </c>
      <c r="B81" s="51"/>
      <c r="C81" s="47" t="s">
        <v>30</v>
      </c>
      <c r="E81" s="44">
        <v>13148808</v>
      </c>
      <c r="F81" s="44"/>
      <c r="G81" s="44">
        <v>96966</v>
      </c>
      <c r="H81" s="44"/>
      <c r="I81" s="44">
        <v>353854</v>
      </c>
      <c r="J81" s="44"/>
      <c r="K81" s="44">
        <v>1107951</v>
      </c>
      <c r="L81" s="44"/>
      <c r="M81" s="44">
        <v>1858735</v>
      </c>
      <c r="N81" s="44"/>
      <c r="O81" s="44">
        <v>0</v>
      </c>
      <c r="P81" s="44"/>
      <c r="Q81" s="44">
        <v>9358187</v>
      </c>
      <c r="R81" s="44"/>
      <c r="S81" s="44">
        <v>216742</v>
      </c>
      <c r="T81" s="44"/>
      <c r="U81" s="44">
        <v>361216</v>
      </c>
      <c r="V81" s="44"/>
      <c r="W81" s="44">
        <f t="shared" si="6"/>
        <v>26502459</v>
      </c>
      <c r="X81" s="44"/>
      <c r="Y81" s="44">
        <v>75609349</v>
      </c>
      <c r="Z81" s="44"/>
      <c r="AA81" s="44">
        <f>+'Stmt net assets'!Y81</f>
        <v>80416093</v>
      </c>
      <c r="AB81" s="44"/>
      <c r="AC81" s="44">
        <f>+Y81+'Stmt of activities-GA rev'!AC81-'Stmt of activities-GAexp'!W81-AA81</f>
        <v>0</v>
      </c>
    </row>
    <row r="82" spans="1:30" s="47" customFormat="1" ht="12.75" customHeight="1" x14ac:dyDescent="0.2">
      <c r="A82" s="47" t="s">
        <v>102</v>
      </c>
      <c r="B82" s="51"/>
      <c r="C82" s="47" t="s">
        <v>103</v>
      </c>
      <c r="E82" s="44">
        <v>16309564</v>
      </c>
      <c r="F82" s="44"/>
      <c r="G82" s="44">
        <v>21998</v>
      </c>
      <c r="H82" s="44"/>
      <c r="I82" s="44">
        <v>3394755</v>
      </c>
      <c r="J82" s="44"/>
      <c r="K82" s="44">
        <v>1366224</v>
      </c>
      <c r="L82" s="44"/>
      <c r="M82" s="44">
        <v>7610384</v>
      </c>
      <c r="N82" s="44"/>
      <c r="O82" s="44">
        <v>479877</v>
      </c>
      <c r="P82" s="44"/>
      <c r="Q82" s="44">
        <v>8375019</v>
      </c>
      <c r="R82" s="44"/>
      <c r="S82" s="44">
        <v>0</v>
      </c>
      <c r="T82" s="44"/>
      <c r="U82" s="44">
        <v>1034139</v>
      </c>
      <c r="V82" s="44"/>
      <c r="W82" s="44">
        <f t="shared" si="6"/>
        <v>38591960</v>
      </c>
      <c r="X82" s="44"/>
      <c r="Y82" s="44">
        <v>88696762</v>
      </c>
      <c r="Z82" s="44"/>
      <c r="AA82" s="44">
        <f>+'Stmt net assets'!Y82</f>
        <v>92653408</v>
      </c>
      <c r="AB82" s="44"/>
      <c r="AC82" s="44">
        <f>+Y82+'Stmt of activities-GA rev'!AC82-'Stmt of activities-GAexp'!W82-AA82</f>
        <v>0</v>
      </c>
    </row>
    <row r="83" spans="1:30" s="47" customFormat="1" ht="12.75" customHeight="1" x14ac:dyDescent="0.2">
      <c r="A83" s="47" t="s">
        <v>104</v>
      </c>
      <c r="B83" s="51"/>
      <c r="C83" s="47" t="s">
        <v>13</v>
      </c>
      <c r="E83" s="44">
        <v>6369280</v>
      </c>
      <c r="F83" s="44"/>
      <c r="G83" s="44">
        <v>117996</v>
      </c>
      <c r="H83" s="44"/>
      <c r="I83" s="44">
        <v>423062</v>
      </c>
      <c r="J83" s="44"/>
      <c r="K83" s="44">
        <v>58394</v>
      </c>
      <c r="L83" s="44"/>
      <c r="M83" s="44">
        <v>4381927</v>
      </c>
      <c r="N83" s="44"/>
      <c r="O83" s="44">
        <v>885373</v>
      </c>
      <c r="P83" s="44"/>
      <c r="Q83" s="44">
        <v>2669058</v>
      </c>
      <c r="R83" s="44"/>
      <c r="S83" s="44">
        <v>0</v>
      </c>
      <c r="T83" s="44"/>
      <c r="U83" s="44">
        <v>300316</v>
      </c>
      <c r="V83" s="44"/>
      <c r="W83" s="44">
        <f t="shared" si="6"/>
        <v>15205406</v>
      </c>
      <c r="X83" s="44"/>
      <c r="Y83" s="44">
        <v>72543490</v>
      </c>
      <c r="Z83" s="44"/>
      <c r="AA83" s="44">
        <f>+'Stmt net assets'!Y83</f>
        <v>73453604</v>
      </c>
      <c r="AB83" s="44"/>
      <c r="AC83" s="44">
        <f>+Y83+'Stmt of activities-GA rev'!AC83-'Stmt of activities-GAexp'!W83-AA83</f>
        <v>0</v>
      </c>
    </row>
    <row r="84" spans="1:30" s="47" customFormat="1" ht="12.75" customHeight="1" x14ac:dyDescent="0.2">
      <c r="A84" s="47" t="s">
        <v>105</v>
      </c>
      <c r="B84" s="51"/>
      <c r="C84" s="47" t="s">
        <v>27</v>
      </c>
      <c r="E84" s="44">
        <v>7183739</v>
      </c>
      <c r="F84" s="44"/>
      <c r="G84" s="44">
        <v>1335</v>
      </c>
      <c r="H84" s="44"/>
      <c r="I84" s="44">
        <v>3551500</v>
      </c>
      <c r="J84" s="44"/>
      <c r="K84" s="44">
        <v>359121</v>
      </c>
      <c r="L84" s="44"/>
      <c r="M84" s="44">
        <v>2599043</v>
      </c>
      <c r="N84" s="44"/>
      <c r="O84" s="44">
        <v>1129614</v>
      </c>
      <c r="P84" s="44"/>
      <c r="Q84" s="44">
        <v>2597783</v>
      </c>
      <c r="R84" s="44"/>
      <c r="S84" s="44">
        <v>0</v>
      </c>
      <c r="T84" s="44"/>
      <c r="U84" s="44">
        <v>1070312</v>
      </c>
      <c r="V84" s="44"/>
      <c r="W84" s="44">
        <f t="shared" si="6"/>
        <v>18492447</v>
      </c>
      <c r="X84" s="44"/>
      <c r="Y84" s="44">
        <v>31960097</v>
      </c>
      <c r="Z84" s="44"/>
      <c r="AA84" s="44">
        <f>+'Stmt net assets'!Y84</f>
        <v>31057444</v>
      </c>
      <c r="AB84" s="44"/>
      <c r="AC84" s="44">
        <f>+Y84+'Stmt of activities-GA rev'!AC84-'Stmt of activities-GAexp'!W84-AA84</f>
        <v>0</v>
      </c>
    </row>
    <row r="85" spans="1:30" s="47" customFormat="1" ht="12.75" customHeight="1" x14ac:dyDescent="0.2">
      <c r="A85" s="47" t="s">
        <v>106</v>
      </c>
      <c r="B85" s="51"/>
      <c r="C85" s="47" t="s">
        <v>107</v>
      </c>
      <c r="E85" s="44">
        <v>15827515</v>
      </c>
      <c r="F85" s="44"/>
      <c r="G85" s="44">
        <v>2181429</v>
      </c>
      <c r="H85" s="44"/>
      <c r="I85" s="44">
        <v>1415161</v>
      </c>
      <c r="J85" s="44"/>
      <c r="K85" s="44">
        <v>0</v>
      </c>
      <c r="L85" s="44"/>
      <c r="M85" s="44">
        <v>5487799</v>
      </c>
      <c r="N85" s="44"/>
      <c r="O85" s="44">
        <v>0</v>
      </c>
      <c r="P85" s="44"/>
      <c r="Q85" s="44">
        <v>8344438</v>
      </c>
      <c r="R85" s="44"/>
      <c r="S85" s="44">
        <v>0</v>
      </c>
      <c r="T85" s="44"/>
      <c r="U85" s="44">
        <v>419946</v>
      </c>
      <c r="V85" s="44"/>
      <c r="W85" s="44">
        <f t="shared" si="6"/>
        <v>33676288</v>
      </c>
      <c r="X85" s="44"/>
      <c r="Y85" s="44">
        <v>88337478</v>
      </c>
      <c r="Z85" s="44"/>
      <c r="AA85" s="44">
        <f>+'Stmt net assets'!Y85</f>
        <v>91181001</v>
      </c>
      <c r="AB85" s="44"/>
      <c r="AC85" s="44">
        <f>+Y85+'Stmt of activities-GA rev'!AC85-'Stmt of activities-GAexp'!W85-AA85</f>
        <v>0</v>
      </c>
    </row>
    <row r="86" spans="1:30" s="47" customFormat="1" ht="12.75" customHeight="1" x14ac:dyDescent="0.2">
      <c r="A86" s="47" t="s">
        <v>108</v>
      </c>
      <c r="B86" s="51"/>
      <c r="C86" s="47" t="s">
        <v>45</v>
      </c>
      <c r="E86" s="44">
        <v>9272591</v>
      </c>
      <c r="F86" s="44"/>
      <c r="G86" s="44">
        <v>20710</v>
      </c>
      <c r="H86" s="44"/>
      <c r="I86" s="44">
        <v>289053</v>
      </c>
      <c r="J86" s="44"/>
      <c r="K86" s="44">
        <v>1699210</v>
      </c>
      <c r="L86" s="44"/>
      <c r="M86" s="44">
        <v>2918637</v>
      </c>
      <c r="N86" s="44"/>
      <c r="O86" s="44">
        <v>0</v>
      </c>
      <c r="P86" s="44"/>
      <c r="Q86" s="44">
        <v>3329421</v>
      </c>
      <c r="R86" s="44"/>
      <c r="S86" s="44">
        <v>0</v>
      </c>
      <c r="T86" s="44"/>
      <c r="U86" s="44">
        <v>167374</v>
      </c>
      <c r="V86" s="44"/>
      <c r="W86" s="44">
        <f t="shared" si="6"/>
        <v>17696996</v>
      </c>
      <c r="X86" s="44"/>
      <c r="Y86" s="44">
        <v>50848666</v>
      </c>
      <c r="Z86" s="44"/>
      <c r="AA86" s="44">
        <f>+'Stmt net assets'!Y86</f>
        <v>52446402</v>
      </c>
      <c r="AB86" s="44"/>
      <c r="AC86" s="44">
        <f>+Y86+'Stmt of activities-GA rev'!AC86-'Stmt of activities-GAexp'!W86-AA86</f>
        <v>0</v>
      </c>
    </row>
    <row r="87" spans="1:30" s="44" customFormat="1" ht="12.75" customHeight="1" x14ac:dyDescent="0.2">
      <c r="A87" s="44" t="s">
        <v>109</v>
      </c>
      <c r="B87" s="65"/>
      <c r="C87" s="44" t="s">
        <v>110</v>
      </c>
      <c r="E87" s="44">
        <v>4965731</v>
      </c>
      <c r="G87" s="44">
        <v>382909</v>
      </c>
      <c r="I87" s="44">
        <v>135610</v>
      </c>
      <c r="K87" s="44">
        <v>610234</v>
      </c>
      <c r="M87" s="44">
        <v>991522</v>
      </c>
      <c r="O87" s="44">
        <v>0</v>
      </c>
      <c r="Q87" s="44">
        <v>1516949</v>
      </c>
      <c r="S87" s="44">
        <v>14080</v>
      </c>
      <c r="U87" s="44">
        <v>16193</v>
      </c>
      <c r="W87" s="44">
        <f t="shared" si="6"/>
        <v>8633228</v>
      </c>
      <c r="Y87" s="44">
        <v>14097914</v>
      </c>
      <c r="AA87" s="44">
        <f>+'Stmt net assets'!Y87</f>
        <v>14143586</v>
      </c>
      <c r="AC87" s="44">
        <f>+Y87+'Stmt of activities-GA rev'!AC87-'Stmt of activities-GAexp'!W87-AA87</f>
        <v>0</v>
      </c>
    </row>
    <row r="88" spans="1:30" s="47" customFormat="1" ht="12.75" customHeight="1" x14ac:dyDescent="0.2">
      <c r="A88" s="47" t="s">
        <v>43</v>
      </c>
      <c r="B88" s="51"/>
      <c r="C88" s="47" t="s">
        <v>111</v>
      </c>
      <c r="E88" s="44">
        <f>3317703+1672291+287089</f>
        <v>5277083</v>
      </c>
      <c r="F88" s="44"/>
      <c r="G88" s="44">
        <v>13361</v>
      </c>
      <c r="H88" s="44"/>
      <c r="I88" s="44">
        <v>321029</v>
      </c>
      <c r="J88" s="44"/>
      <c r="K88" s="44">
        <v>43926</v>
      </c>
      <c r="L88" s="44"/>
      <c r="M88" s="44">
        <v>3154060</v>
      </c>
      <c r="N88" s="44"/>
      <c r="O88" s="44">
        <v>101873</v>
      </c>
      <c r="P88" s="44"/>
      <c r="Q88" s="44">
        <v>1965549</v>
      </c>
      <c r="R88" s="44"/>
      <c r="S88" s="44">
        <v>0</v>
      </c>
      <c r="T88" s="44"/>
      <c r="U88" s="44">
        <v>460542</v>
      </c>
      <c r="V88" s="44"/>
      <c r="W88" s="44">
        <f t="shared" si="6"/>
        <v>11337423</v>
      </c>
      <c r="X88" s="44"/>
      <c r="Y88" s="44">
        <v>50168992</v>
      </c>
      <c r="Z88" s="44"/>
      <c r="AA88" s="44">
        <f>+'Stmt net assets'!Y88</f>
        <v>50132776</v>
      </c>
      <c r="AB88" s="44"/>
      <c r="AC88" s="44">
        <f>+Y88+'Stmt of activities-GA rev'!AC88-'Stmt of activities-GAexp'!W88-AA88</f>
        <v>0</v>
      </c>
    </row>
    <row r="89" spans="1:30" s="47" customFormat="1" ht="12.75" customHeight="1" x14ac:dyDescent="0.2">
      <c r="A89" s="47" t="s">
        <v>112</v>
      </c>
      <c r="B89" s="51"/>
      <c r="C89" s="47" t="s">
        <v>76</v>
      </c>
      <c r="E89" s="44">
        <v>6799182</v>
      </c>
      <c r="F89" s="44"/>
      <c r="G89" s="44">
        <v>4302</v>
      </c>
      <c r="H89" s="44"/>
      <c r="I89" s="44">
        <v>2041218</v>
      </c>
      <c r="J89" s="44"/>
      <c r="K89" s="44">
        <f>507123+93681</f>
        <v>600804</v>
      </c>
      <c r="L89" s="44"/>
      <c r="M89" s="44">
        <v>1816371</v>
      </c>
      <c r="N89" s="44"/>
      <c r="O89" s="44">
        <v>0</v>
      </c>
      <c r="P89" s="44"/>
      <c r="Q89" s="44">
        <v>2308102</v>
      </c>
      <c r="R89" s="44"/>
      <c r="S89" s="44">
        <v>6108</v>
      </c>
      <c r="T89" s="44"/>
      <c r="U89" s="44">
        <v>128339</v>
      </c>
      <c r="V89" s="44"/>
      <c r="W89" s="44">
        <f t="shared" si="6"/>
        <v>13704426</v>
      </c>
      <c r="X89" s="44"/>
      <c r="Y89" s="44">
        <v>33530463</v>
      </c>
      <c r="Z89" s="44"/>
      <c r="AA89" s="44">
        <f>+'Stmt net assets'!Y89</f>
        <v>31825111</v>
      </c>
      <c r="AB89" s="44"/>
      <c r="AC89" s="44">
        <f>+Y89+'Stmt of activities-GA rev'!AC89-'Stmt of activities-GAexp'!W89-AA89</f>
        <v>0</v>
      </c>
    </row>
    <row r="90" spans="1:30" s="47" customFormat="1" ht="12.75" customHeight="1" x14ac:dyDescent="0.2">
      <c r="A90" s="47" t="s">
        <v>113</v>
      </c>
      <c r="B90" s="51"/>
      <c r="C90" s="47" t="s">
        <v>43</v>
      </c>
      <c r="E90" s="44">
        <v>8557265</v>
      </c>
      <c r="F90" s="44"/>
      <c r="G90" s="44">
        <v>215060</v>
      </c>
      <c r="H90" s="44"/>
      <c r="I90" s="44">
        <v>2648289</v>
      </c>
      <c r="J90" s="44"/>
      <c r="K90" s="44">
        <v>5769537</v>
      </c>
      <c r="L90" s="44"/>
      <c r="M90" s="44">
        <v>2540710</v>
      </c>
      <c r="N90" s="44"/>
      <c r="O90" s="44">
        <v>2378727</v>
      </c>
      <c r="P90" s="44"/>
      <c r="Q90" s="44">
        <v>4545575</v>
      </c>
      <c r="R90" s="44"/>
      <c r="S90" s="44">
        <v>0</v>
      </c>
      <c r="T90" s="44"/>
      <c r="U90" s="44">
        <v>875324</v>
      </c>
      <c r="V90" s="44"/>
      <c r="W90" s="44">
        <f t="shared" si="6"/>
        <v>27530487</v>
      </c>
      <c r="X90" s="44"/>
      <c r="Y90" s="44">
        <v>99696118</v>
      </c>
      <c r="Z90" s="44"/>
      <c r="AA90" s="44">
        <f>+'Stmt net assets'!Y90</f>
        <v>102693067</v>
      </c>
      <c r="AB90" s="44"/>
      <c r="AC90" s="44">
        <f>+Y90+'Stmt of activities-GA rev'!AC90-'Stmt of activities-GAexp'!W90-AA90</f>
        <v>0</v>
      </c>
    </row>
    <row r="91" spans="1:30" s="47" customFormat="1" ht="12.75" customHeight="1" x14ac:dyDescent="0.2">
      <c r="A91" s="47" t="s">
        <v>489</v>
      </c>
      <c r="B91" s="51"/>
      <c r="C91" s="47" t="s">
        <v>57</v>
      </c>
      <c r="E91" s="44">
        <f>1825098+1856812</f>
        <v>3681910</v>
      </c>
      <c r="F91" s="44"/>
      <c r="G91" s="44">
        <v>477764</v>
      </c>
      <c r="H91" s="44"/>
      <c r="I91" s="44">
        <v>234443</v>
      </c>
      <c r="J91" s="44"/>
      <c r="K91" s="44">
        <v>313795</v>
      </c>
      <c r="L91" s="44"/>
      <c r="M91" s="44">
        <v>1801431</v>
      </c>
      <c r="N91" s="44"/>
      <c r="O91" s="44">
        <v>0</v>
      </c>
      <c r="P91" s="44"/>
      <c r="Q91" s="44">
        <v>1168930</v>
      </c>
      <c r="R91" s="44"/>
      <c r="S91" s="44">
        <v>0</v>
      </c>
      <c r="T91" s="44"/>
      <c r="U91" s="44">
        <v>133345</v>
      </c>
      <c r="V91" s="44"/>
      <c r="W91" s="44">
        <f t="shared" si="6"/>
        <v>7811618</v>
      </c>
      <c r="X91" s="44"/>
      <c r="Y91" s="44">
        <v>20828126</v>
      </c>
      <c r="Z91" s="44"/>
      <c r="AA91" s="44">
        <f>+'Stmt net assets'!Y91</f>
        <v>21916854</v>
      </c>
      <c r="AB91" s="44"/>
      <c r="AC91" s="44">
        <f>+Y91+'Stmt of activities-GA rev'!AC91-'Stmt of activities-GAexp'!W91-AA91</f>
        <v>0</v>
      </c>
    </row>
    <row r="92" spans="1:30" s="47" customFormat="1" ht="12.75" customHeight="1" x14ac:dyDescent="0.2">
      <c r="A92" s="47" t="s">
        <v>114</v>
      </c>
      <c r="B92" s="51"/>
      <c r="C92" s="47" t="s">
        <v>27</v>
      </c>
      <c r="E92" s="44">
        <v>12618540</v>
      </c>
      <c r="F92" s="44"/>
      <c r="G92" s="44">
        <v>561509</v>
      </c>
      <c r="H92" s="44"/>
      <c r="I92" s="44">
        <v>898562</v>
      </c>
      <c r="J92" s="44"/>
      <c r="K92" s="44">
        <v>172313</v>
      </c>
      <c r="L92" s="44"/>
      <c r="M92" s="44">
        <v>2688423</v>
      </c>
      <c r="N92" s="44"/>
      <c r="O92" s="44">
        <v>2179594</v>
      </c>
      <c r="P92" s="44"/>
      <c r="Q92" s="44">
        <v>8830717</v>
      </c>
      <c r="R92" s="44"/>
      <c r="S92" s="44">
        <v>0</v>
      </c>
      <c r="T92" s="44"/>
      <c r="U92" s="44">
        <v>1505946</v>
      </c>
      <c r="V92" s="44"/>
      <c r="W92" s="44">
        <f t="shared" si="6"/>
        <v>29455604</v>
      </c>
      <c r="X92" s="44"/>
      <c r="Y92" s="44">
        <v>2345847</v>
      </c>
      <c r="Z92" s="44"/>
      <c r="AA92" s="44">
        <f>+'Stmt net assets'!Y92</f>
        <v>7636043</v>
      </c>
      <c r="AB92" s="44"/>
      <c r="AC92" s="44">
        <f>+Y92+'Stmt of activities-GA rev'!AC92-'Stmt of activities-GAexp'!W92-AA92</f>
        <v>0</v>
      </c>
    </row>
    <row r="93" spans="1:30" s="47" customFormat="1" ht="12.75" customHeight="1" x14ac:dyDescent="0.2">
      <c r="A93" s="47" t="s">
        <v>115</v>
      </c>
      <c r="B93" s="51"/>
      <c r="C93" s="47" t="s">
        <v>19</v>
      </c>
      <c r="E93" s="44">
        <v>2276770</v>
      </c>
      <c r="F93" s="44"/>
      <c r="G93" s="44">
        <v>0</v>
      </c>
      <c r="H93" s="44"/>
      <c r="I93" s="44">
        <v>167546</v>
      </c>
      <c r="J93" s="44"/>
      <c r="K93" s="44">
        <v>1404632</v>
      </c>
      <c r="L93" s="44"/>
      <c r="M93" s="44">
        <v>1419806</v>
      </c>
      <c r="N93" s="44"/>
      <c r="O93" s="44">
        <v>0</v>
      </c>
      <c r="P93" s="44"/>
      <c r="Q93" s="44">
        <v>655572</v>
      </c>
      <c r="R93" s="44"/>
      <c r="S93" s="44">
        <v>0</v>
      </c>
      <c r="T93" s="44"/>
      <c r="U93" s="44">
        <v>136585</v>
      </c>
      <c r="V93" s="44"/>
      <c r="W93" s="44">
        <f t="shared" si="6"/>
        <v>6060911</v>
      </c>
      <c r="X93" s="44"/>
      <c r="Y93" s="44">
        <v>17192329</v>
      </c>
      <c r="Z93" s="44"/>
      <c r="AA93" s="44">
        <f>+'Stmt net assets'!Y93</f>
        <v>18142884</v>
      </c>
      <c r="AB93" s="44"/>
      <c r="AC93" s="44">
        <f>+Y93+'Stmt of activities-GA rev'!AC93-'Stmt of activities-GAexp'!W93-AA93</f>
        <v>0</v>
      </c>
    </row>
    <row r="94" spans="1:30" s="47" customFormat="1" ht="12.75" customHeight="1" x14ac:dyDescent="0.2">
      <c r="A94" s="47" t="s">
        <v>116</v>
      </c>
      <c r="B94" s="51"/>
      <c r="C94" s="47" t="s">
        <v>80</v>
      </c>
      <c r="E94" s="44">
        <v>3227881</v>
      </c>
      <c r="F94" s="44"/>
      <c r="G94" s="44">
        <v>178914</v>
      </c>
      <c r="H94" s="44"/>
      <c r="I94" s="44">
        <v>296518</v>
      </c>
      <c r="J94" s="44"/>
      <c r="K94" s="44">
        <v>785281</v>
      </c>
      <c r="L94" s="44"/>
      <c r="M94" s="44">
        <v>1840191</v>
      </c>
      <c r="N94" s="44"/>
      <c r="O94" s="44">
        <v>459625</v>
      </c>
      <c r="P94" s="44"/>
      <c r="Q94" s="44">
        <v>2321918</v>
      </c>
      <c r="R94" s="44"/>
      <c r="S94" s="44">
        <v>0</v>
      </c>
      <c r="T94" s="44"/>
      <c r="U94" s="44">
        <v>153160</v>
      </c>
      <c r="V94" s="44"/>
      <c r="W94" s="44">
        <f t="shared" si="6"/>
        <v>9263488</v>
      </c>
      <c r="X94" s="44"/>
      <c r="Y94" s="44">
        <v>28141715</v>
      </c>
      <c r="Z94" s="44"/>
      <c r="AA94" s="44">
        <f>+'Stmt net assets'!Y94</f>
        <v>27286211</v>
      </c>
      <c r="AB94" s="44"/>
      <c r="AC94" s="44">
        <f>+Y94+'Stmt of activities-GA rev'!AC94-'Stmt of activities-GAexp'!W94-AA94</f>
        <v>0</v>
      </c>
    </row>
    <row r="95" spans="1:30" s="47" customFormat="1" ht="12.75" customHeight="1" x14ac:dyDescent="0.2">
      <c r="A95" s="47" t="s">
        <v>117</v>
      </c>
      <c r="B95" s="51"/>
      <c r="C95" s="47" t="s">
        <v>43</v>
      </c>
      <c r="E95" s="44">
        <v>4686786</v>
      </c>
      <c r="F95" s="44"/>
      <c r="G95" s="44">
        <v>43126</v>
      </c>
      <c r="H95" s="44"/>
      <c r="I95" s="44">
        <v>914501</v>
      </c>
      <c r="J95" s="44"/>
      <c r="K95" s="44">
        <v>1155347</v>
      </c>
      <c r="L95" s="44"/>
      <c r="M95" s="44">
        <v>867028</v>
      </c>
      <c r="N95" s="44"/>
      <c r="O95" s="44">
        <v>722475</v>
      </c>
      <c r="P95" s="44"/>
      <c r="Q95" s="44">
        <v>2253422</v>
      </c>
      <c r="R95" s="44"/>
      <c r="S95" s="44">
        <v>0</v>
      </c>
      <c r="T95" s="44"/>
      <c r="U95" s="44">
        <v>19262</v>
      </c>
      <c r="V95" s="44"/>
      <c r="W95" s="44">
        <f t="shared" si="6"/>
        <v>10661947</v>
      </c>
      <c r="X95" s="44"/>
      <c r="Y95" s="44">
        <v>17238651</v>
      </c>
      <c r="Z95" s="44"/>
      <c r="AA95" s="44">
        <f>+'Stmt net assets'!Y95</f>
        <v>19274991</v>
      </c>
      <c r="AB95" s="44"/>
      <c r="AC95" s="44">
        <f>+Y95+'Stmt of activities-GA rev'!AC95-'Stmt of activities-GAexp'!W95-AA95</f>
        <v>0</v>
      </c>
    </row>
    <row r="96" spans="1:30" s="47" customFormat="1" ht="12.75" customHeight="1" x14ac:dyDescent="0.2">
      <c r="A96" s="47" t="s">
        <v>118</v>
      </c>
      <c r="B96" s="51"/>
      <c r="C96" s="47" t="s">
        <v>13</v>
      </c>
      <c r="E96" s="44">
        <v>8049652</v>
      </c>
      <c r="F96" s="44"/>
      <c r="G96" s="44">
        <v>282081</v>
      </c>
      <c r="H96" s="44"/>
      <c r="I96" s="44">
        <v>490201</v>
      </c>
      <c r="J96" s="44"/>
      <c r="K96" s="44">
        <v>918586</v>
      </c>
      <c r="L96" s="44"/>
      <c r="M96" s="44">
        <v>6303112</v>
      </c>
      <c r="N96" s="44"/>
      <c r="O96" s="44">
        <v>0</v>
      </c>
      <c r="P96" s="44"/>
      <c r="Q96" s="44">
        <v>6839943</v>
      </c>
      <c r="R96" s="44"/>
      <c r="S96" s="44">
        <v>0</v>
      </c>
      <c r="T96" s="44"/>
      <c r="U96" s="44">
        <v>2321661</v>
      </c>
      <c r="V96" s="44"/>
      <c r="W96" s="44">
        <f t="shared" si="6"/>
        <v>25205236</v>
      </c>
      <c r="X96" s="44"/>
      <c r="Y96" s="44">
        <v>92912558</v>
      </c>
      <c r="Z96" s="44"/>
      <c r="AA96" s="44">
        <f>+'Stmt net assets'!Y96</f>
        <v>97668792</v>
      </c>
      <c r="AB96" s="44"/>
      <c r="AC96" s="44">
        <f>+Y96+'Stmt of activities-GA rev'!AC96-'Stmt of activities-GAexp'!W96-AA96</f>
        <v>0</v>
      </c>
      <c r="AD96" s="44"/>
    </row>
    <row r="97" spans="1:29" s="47" customFormat="1" ht="12.75" customHeight="1" x14ac:dyDescent="0.2">
      <c r="A97" s="47" t="s">
        <v>120</v>
      </c>
      <c r="B97" s="51"/>
      <c r="C97" s="47" t="s">
        <v>121</v>
      </c>
      <c r="E97" s="44">
        <v>4557816</v>
      </c>
      <c r="F97" s="44"/>
      <c r="G97" s="44">
        <v>319</v>
      </c>
      <c r="H97" s="44"/>
      <c r="I97" s="44">
        <v>538909</v>
      </c>
      <c r="J97" s="44"/>
      <c r="K97" s="44">
        <v>506</v>
      </c>
      <c r="L97" s="44"/>
      <c r="M97" s="44">
        <v>2499721</v>
      </c>
      <c r="N97" s="44"/>
      <c r="O97" s="44">
        <v>170468</v>
      </c>
      <c r="P97" s="44"/>
      <c r="Q97" s="44">
        <v>1913744</v>
      </c>
      <c r="R97" s="44"/>
      <c r="S97" s="44">
        <v>0</v>
      </c>
      <c r="T97" s="44"/>
      <c r="U97" s="44">
        <v>130627</v>
      </c>
      <c r="V97" s="44"/>
      <c r="W97" s="44">
        <f t="shared" si="6"/>
        <v>9812110</v>
      </c>
      <c r="X97" s="44"/>
      <c r="Y97" s="44">
        <v>18922637</v>
      </c>
      <c r="Z97" s="44"/>
      <c r="AA97" s="44">
        <f>+'Stmt net assets'!Y97</f>
        <v>20181032</v>
      </c>
      <c r="AB97" s="44"/>
      <c r="AC97" s="44">
        <f>+Y97+'Stmt of activities-GA rev'!AC97-'Stmt of activities-GAexp'!W97-AA97</f>
        <v>0</v>
      </c>
    </row>
    <row r="98" spans="1:29" s="47" customFormat="1" ht="12.75" customHeight="1" x14ac:dyDescent="0.2">
      <c r="A98" s="47" t="s">
        <v>122</v>
      </c>
      <c r="B98" s="51"/>
      <c r="C98" s="47" t="s">
        <v>43</v>
      </c>
      <c r="E98" s="44">
        <v>10076469</v>
      </c>
      <c r="F98" s="44"/>
      <c r="G98" s="44">
        <v>279720</v>
      </c>
      <c r="H98" s="44"/>
      <c r="I98" s="44">
        <v>2363655</v>
      </c>
      <c r="J98" s="44"/>
      <c r="K98" s="44">
        <v>1518564</v>
      </c>
      <c r="L98" s="44"/>
      <c r="M98" s="44">
        <v>12999424</v>
      </c>
      <c r="N98" s="44"/>
      <c r="O98" s="44">
        <v>0</v>
      </c>
      <c r="P98" s="44"/>
      <c r="Q98" s="44">
        <f>11360425+1716884</f>
        <v>13077309</v>
      </c>
      <c r="R98" s="44"/>
      <c r="S98" s="44">
        <v>0</v>
      </c>
      <c r="T98" s="44"/>
      <c r="U98" s="44">
        <v>1608154</v>
      </c>
      <c r="V98" s="44"/>
      <c r="W98" s="44">
        <f t="shared" si="6"/>
        <v>41923295</v>
      </c>
      <c r="X98" s="44"/>
      <c r="Y98" s="44">
        <v>202595854</v>
      </c>
      <c r="Z98" s="44"/>
      <c r="AA98" s="44">
        <f>+'Stmt net assets'!Y98</f>
        <v>210803906</v>
      </c>
      <c r="AB98" s="44"/>
      <c r="AC98" s="44">
        <f>+Y98+'Stmt of activities-GA rev'!AC98-'Stmt of activities-GAexp'!W98-AA98</f>
        <v>0</v>
      </c>
    </row>
    <row r="99" spans="1:29" s="47" customFormat="1" ht="12.75" customHeight="1" x14ac:dyDescent="0.2">
      <c r="A99" s="35" t="s">
        <v>507</v>
      </c>
      <c r="B99" s="51"/>
      <c r="C99" s="35" t="s">
        <v>43</v>
      </c>
      <c r="E99" s="44">
        <v>1650274</v>
      </c>
      <c r="F99" s="44"/>
      <c r="G99" s="44">
        <v>47635</v>
      </c>
      <c r="H99" s="44"/>
      <c r="I99" s="44">
        <v>3553770</v>
      </c>
      <c r="J99" s="44"/>
      <c r="K99" s="44">
        <f>132871+254466</f>
        <v>387337</v>
      </c>
      <c r="L99" s="44"/>
      <c r="M99" s="44">
        <v>4017938</v>
      </c>
      <c r="N99" s="44"/>
      <c r="O99" s="44">
        <v>0</v>
      </c>
      <c r="P99" s="44"/>
      <c r="Q99" s="44">
        <v>4887237</v>
      </c>
      <c r="R99" s="44"/>
      <c r="S99" s="44">
        <v>0</v>
      </c>
      <c r="T99" s="44"/>
      <c r="U99" s="44">
        <v>730120</v>
      </c>
      <c r="V99" s="44"/>
      <c r="W99" s="44">
        <f t="shared" si="6"/>
        <v>15274311</v>
      </c>
      <c r="X99" s="44"/>
      <c r="Y99" s="44">
        <v>39780435</v>
      </c>
      <c r="Z99" s="44"/>
      <c r="AA99" s="44">
        <f>+'Stmt net assets'!Y99</f>
        <v>36196849</v>
      </c>
      <c r="AB99" s="44"/>
      <c r="AC99" s="44">
        <f>+Y99+'Stmt of activities-GA rev'!AC99-'Stmt of activities-GAexp'!W99-AA99</f>
        <v>0</v>
      </c>
    </row>
    <row r="100" spans="1:29" s="47" customFormat="1" ht="12.75" customHeight="1" x14ac:dyDescent="0.2">
      <c r="A100" s="47" t="s">
        <v>45</v>
      </c>
      <c r="B100" s="51"/>
      <c r="C100" s="47" t="s">
        <v>103</v>
      </c>
      <c r="E100" s="44">
        <v>32949502</v>
      </c>
      <c r="F100" s="44"/>
      <c r="G100" s="44">
        <v>1163297</v>
      </c>
      <c r="H100" s="44"/>
      <c r="I100" s="44">
        <v>1970218</v>
      </c>
      <c r="J100" s="44"/>
      <c r="K100" s="44">
        <v>2902576</v>
      </c>
      <c r="L100" s="44"/>
      <c r="M100" s="44">
        <v>6605053</v>
      </c>
      <c r="N100" s="44"/>
      <c r="O100" s="44">
        <v>6150598</v>
      </c>
      <c r="P100" s="44"/>
      <c r="Q100" s="44">
        <v>5991786</v>
      </c>
      <c r="R100" s="44"/>
      <c r="S100" s="44">
        <v>0</v>
      </c>
      <c r="T100" s="44"/>
      <c r="U100" s="44">
        <v>1596931</v>
      </c>
      <c r="V100" s="44"/>
      <c r="W100" s="44">
        <f t="shared" si="6"/>
        <v>59329961</v>
      </c>
      <c r="X100" s="44"/>
      <c r="Y100" s="44">
        <v>78137798</v>
      </c>
      <c r="Z100" s="44"/>
      <c r="AA100" s="44">
        <f>+'Stmt net assets'!Y100</f>
        <v>84461090</v>
      </c>
      <c r="AB100" s="44"/>
      <c r="AC100" s="44">
        <f>+Y100+'Stmt of activities-GA rev'!AC100-'Stmt of activities-GAexp'!W100-AA100</f>
        <v>0</v>
      </c>
    </row>
    <row r="101" spans="1:29" s="47" customFormat="1" ht="12.75" customHeight="1" x14ac:dyDescent="0.2">
      <c r="A101" s="47" t="s">
        <v>123</v>
      </c>
      <c r="B101" s="51"/>
      <c r="C101" s="47" t="s">
        <v>45</v>
      </c>
      <c r="E101" s="44">
        <v>6488967</v>
      </c>
      <c r="F101" s="44"/>
      <c r="G101" s="44">
        <v>314791</v>
      </c>
      <c r="H101" s="44"/>
      <c r="I101" s="44">
        <v>300291</v>
      </c>
      <c r="J101" s="44"/>
      <c r="K101" s="44">
        <v>127997</v>
      </c>
      <c r="L101" s="44"/>
      <c r="M101" s="44">
        <v>900280</v>
      </c>
      <c r="N101" s="44"/>
      <c r="O101" s="44">
        <v>0</v>
      </c>
      <c r="P101" s="44"/>
      <c r="Q101" s="44">
        <v>1291409</v>
      </c>
      <c r="R101" s="44"/>
      <c r="S101" s="44">
        <v>0</v>
      </c>
      <c r="T101" s="44"/>
      <c r="U101" s="44">
        <v>243651</v>
      </c>
      <c r="V101" s="44"/>
      <c r="W101" s="44">
        <f t="shared" si="6"/>
        <v>9667386</v>
      </c>
      <c r="X101" s="44"/>
      <c r="Y101" s="44">
        <v>11636844</v>
      </c>
      <c r="Z101" s="44"/>
      <c r="AA101" s="44">
        <f>+'Stmt net assets'!Y101</f>
        <v>11124854</v>
      </c>
      <c r="AB101" s="44"/>
      <c r="AC101" s="44">
        <f>+Y101+'Stmt of activities-GA rev'!AC101-'Stmt of activities-GAexp'!W101-AA101</f>
        <v>0</v>
      </c>
    </row>
    <row r="102" spans="1:29" s="47" customFormat="1" ht="12.75" customHeight="1" x14ac:dyDescent="0.2">
      <c r="A102" s="47" t="s">
        <v>124</v>
      </c>
      <c r="B102" s="51"/>
      <c r="C102" s="47" t="s">
        <v>125</v>
      </c>
      <c r="E102" s="44">
        <v>4910998</v>
      </c>
      <c r="F102" s="44"/>
      <c r="G102" s="44">
        <v>56000</v>
      </c>
      <c r="H102" s="44"/>
      <c r="I102" s="44">
        <v>1458652</v>
      </c>
      <c r="J102" s="44"/>
      <c r="K102" s="44">
        <v>326445</v>
      </c>
      <c r="L102" s="44"/>
      <c r="M102" s="44">
        <v>1387741</v>
      </c>
      <c r="N102" s="44"/>
      <c r="O102" s="44">
        <v>252530</v>
      </c>
      <c r="P102" s="44"/>
      <c r="Q102" s="44">
        <v>1423316</v>
      </c>
      <c r="R102" s="44"/>
      <c r="S102" s="44">
        <v>0</v>
      </c>
      <c r="T102" s="44"/>
      <c r="U102" s="44">
        <v>238230</v>
      </c>
      <c r="V102" s="44"/>
      <c r="W102" s="44">
        <f t="shared" si="6"/>
        <v>10053912</v>
      </c>
      <c r="X102" s="44"/>
      <c r="Y102" s="44">
        <v>33557252</v>
      </c>
      <c r="Z102" s="44"/>
      <c r="AA102" s="44">
        <f>+'Stmt net assets'!Y102</f>
        <v>36055179</v>
      </c>
      <c r="AB102" s="44"/>
      <c r="AC102" s="44">
        <f>+Y102+'Stmt of activities-GA rev'!AC102-'Stmt of activities-GAexp'!W102-AA102</f>
        <v>0</v>
      </c>
    </row>
    <row r="103" spans="1:29" s="47" customFormat="1" ht="12.75" customHeight="1" x14ac:dyDescent="0.2">
      <c r="A103" s="47" t="s">
        <v>126</v>
      </c>
      <c r="B103" s="51"/>
      <c r="C103" s="47" t="s">
        <v>27</v>
      </c>
      <c r="E103" s="44">
        <v>6442667</v>
      </c>
      <c r="F103" s="44"/>
      <c r="G103" s="44">
        <v>37617</v>
      </c>
      <c r="H103" s="44"/>
      <c r="I103" s="44">
        <v>674300</v>
      </c>
      <c r="J103" s="44"/>
      <c r="K103" s="44">
        <v>132424</v>
      </c>
      <c r="L103" s="44"/>
      <c r="M103" s="44">
        <v>1426033</v>
      </c>
      <c r="N103" s="44"/>
      <c r="O103" s="44">
        <v>2704991</v>
      </c>
      <c r="P103" s="44"/>
      <c r="Q103" s="44">
        <v>2478601</v>
      </c>
      <c r="R103" s="44"/>
      <c r="S103" s="44">
        <v>0</v>
      </c>
      <c r="T103" s="44"/>
      <c r="U103" s="44">
        <v>402986</v>
      </c>
      <c r="V103" s="44"/>
      <c r="W103" s="44">
        <f t="shared" si="6"/>
        <v>14299619</v>
      </c>
      <c r="X103" s="44"/>
      <c r="Y103" s="44">
        <v>48175362</v>
      </c>
      <c r="Z103" s="44"/>
      <c r="AA103" s="44">
        <f>+'Stmt net assets'!Y103</f>
        <v>49481985</v>
      </c>
      <c r="AB103" s="44"/>
      <c r="AC103" s="44">
        <f>+Y103+'Stmt of activities-GA rev'!AC103-'Stmt of activities-GAexp'!W103-AA103</f>
        <v>0</v>
      </c>
    </row>
    <row r="104" spans="1:29" s="47" customFormat="1" ht="12.75" customHeight="1" x14ac:dyDescent="0.2">
      <c r="A104" s="47" t="s">
        <v>127</v>
      </c>
      <c r="B104" s="51"/>
      <c r="C104" s="47" t="s">
        <v>43</v>
      </c>
      <c r="E104" s="44">
        <v>8440519</v>
      </c>
      <c r="F104" s="44"/>
      <c r="G104" s="44">
        <v>165311</v>
      </c>
      <c r="H104" s="44"/>
      <c r="I104" s="44">
        <v>3272969</v>
      </c>
      <c r="J104" s="44"/>
      <c r="K104" s="44">
        <v>2621951</v>
      </c>
      <c r="L104" s="44"/>
      <c r="M104" s="44">
        <v>7940453</v>
      </c>
      <c r="N104" s="44"/>
      <c r="O104" s="44">
        <v>6604081</v>
      </c>
      <c r="P104" s="44"/>
      <c r="Q104" s="44">
        <v>5889987</v>
      </c>
      <c r="R104" s="44"/>
      <c r="S104" s="44">
        <v>0</v>
      </c>
      <c r="T104" s="44"/>
      <c r="U104" s="44">
        <v>2639621</v>
      </c>
      <c r="V104" s="44"/>
      <c r="W104" s="44">
        <f t="shared" si="6"/>
        <v>37574892</v>
      </c>
      <c r="X104" s="44"/>
      <c r="Y104" s="44">
        <v>210890329</v>
      </c>
      <c r="Z104" s="44"/>
      <c r="AA104" s="44">
        <f>+'Stmt net assets'!Y104</f>
        <v>211140913</v>
      </c>
      <c r="AB104" s="44"/>
      <c r="AC104" s="44">
        <f>+Y104+'Stmt of activities-GA rev'!AC104-'Stmt of activities-GAexp'!W104-AA104</f>
        <v>0</v>
      </c>
    </row>
    <row r="105" spans="1:29" s="47" customFormat="1" ht="12.75" customHeight="1" x14ac:dyDescent="0.2">
      <c r="A105" s="47" t="s">
        <v>128</v>
      </c>
      <c r="B105" s="51"/>
      <c r="C105" s="47" t="s">
        <v>119</v>
      </c>
      <c r="E105" s="44">
        <v>3441823</v>
      </c>
      <c r="F105" s="44"/>
      <c r="G105" s="44">
        <v>13053</v>
      </c>
      <c r="H105" s="44"/>
      <c r="I105" s="44">
        <v>114957</v>
      </c>
      <c r="J105" s="44"/>
      <c r="K105" s="44">
        <v>664368</v>
      </c>
      <c r="L105" s="44"/>
      <c r="M105" s="44">
        <v>703670</v>
      </c>
      <c r="N105" s="44"/>
      <c r="O105" s="44">
        <v>0</v>
      </c>
      <c r="P105" s="44"/>
      <c r="Q105" s="44">
        <f>916916+392665</f>
        <v>1309581</v>
      </c>
      <c r="R105" s="44"/>
      <c r="S105" s="44">
        <v>0</v>
      </c>
      <c r="T105" s="44"/>
      <c r="U105" s="44">
        <v>147739</v>
      </c>
      <c r="V105" s="44"/>
      <c r="W105" s="44">
        <f t="shared" si="6"/>
        <v>6395191</v>
      </c>
      <c r="X105" s="44"/>
      <c r="Y105" s="44">
        <v>13206459</v>
      </c>
      <c r="Z105" s="44"/>
      <c r="AA105" s="44">
        <f>+'Stmt net assets'!Y105</f>
        <v>12724993</v>
      </c>
      <c r="AB105" s="44"/>
      <c r="AC105" s="44">
        <f>+Y105+'Stmt of activities-GA rev'!AC105-'Stmt of activities-GAexp'!W105-AA105</f>
        <v>0</v>
      </c>
    </row>
    <row r="106" spans="1:29" s="47" customFormat="1" ht="12.75" customHeight="1" x14ac:dyDescent="0.2">
      <c r="A106" s="47" t="s">
        <v>129</v>
      </c>
      <c r="B106" s="51"/>
      <c r="C106" s="47" t="s">
        <v>80</v>
      </c>
      <c r="E106" s="44">
        <v>1714842</v>
      </c>
      <c r="F106" s="44"/>
      <c r="G106" s="44">
        <v>19729</v>
      </c>
      <c r="H106" s="44"/>
      <c r="I106" s="44">
        <v>22242</v>
      </c>
      <c r="J106" s="44"/>
      <c r="K106" s="44">
        <v>660</v>
      </c>
      <c r="L106" s="44"/>
      <c r="M106" s="44">
        <v>927425</v>
      </c>
      <c r="N106" s="44"/>
      <c r="O106" s="44">
        <v>0</v>
      </c>
      <c r="P106" s="44"/>
      <c r="Q106" s="44">
        <v>234670</v>
      </c>
      <c r="R106" s="44"/>
      <c r="S106" s="44">
        <v>0</v>
      </c>
      <c r="T106" s="44"/>
      <c r="U106" s="44">
        <v>123893</v>
      </c>
      <c r="V106" s="44"/>
      <c r="W106" s="44">
        <f t="shared" si="6"/>
        <v>3043461</v>
      </c>
      <c r="X106" s="44"/>
      <c r="Y106" s="44">
        <v>2349138</v>
      </c>
      <c r="Z106" s="44"/>
      <c r="AA106" s="44">
        <f>+'Stmt net assets'!Y106</f>
        <v>3022507</v>
      </c>
      <c r="AB106" s="44"/>
      <c r="AC106" s="44">
        <f>+Y106+'Stmt of activities-GA rev'!AC106-'Stmt of activities-GAexp'!W106-AA106</f>
        <v>0</v>
      </c>
    </row>
    <row r="107" spans="1:29" s="47" customFormat="1" ht="12.75" customHeight="1" x14ac:dyDescent="0.2">
      <c r="A107" s="47" t="s">
        <v>130</v>
      </c>
      <c r="B107" s="51"/>
      <c r="C107" s="47" t="s">
        <v>66</v>
      </c>
      <c r="E107" s="44">
        <v>15041541</v>
      </c>
      <c r="F107" s="44"/>
      <c r="G107" s="44">
        <v>0</v>
      </c>
      <c r="H107" s="44"/>
      <c r="I107" s="44">
        <v>965499</v>
      </c>
      <c r="J107" s="44"/>
      <c r="K107" s="44">
        <v>1081722</v>
      </c>
      <c r="L107" s="44"/>
      <c r="M107" s="44">
        <v>7339714</v>
      </c>
      <c r="N107" s="44"/>
      <c r="O107" s="44">
        <v>0</v>
      </c>
      <c r="P107" s="44"/>
      <c r="Q107" s="44">
        <v>3333985</v>
      </c>
      <c r="R107" s="44"/>
      <c r="S107" s="44">
        <v>0</v>
      </c>
      <c r="T107" s="44"/>
      <c r="U107" s="44">
        <v>1200328</v>
      </c>
      <c r="V107" s="44"/>
      <c r="W107" s="44">
        <f t="shared" si="6"/>
        <v>28962789</v>
      </c>
      <c r="X107" s="44"/>
      <c r="Y107" s="44">
        <v>113990985</v>
      </c>
      <c r="Z107" s="44"/>
      <c r="AA107" s="44">
        <f>+'Stmt net assets'!Y107</f>
        <v>109725738</v>
      </c>
      <c r="AB107" s="44"/>
      <c r="AC107" s="44">
        <f>+Y107+'Stmt of activities-GA rev'!AC107-'Stmt of activities-GAexp'!W107-AA107</f>
        <v>0</v>
      </c>
    </row>
    <row r="108" spans="1:29" s="47" customFormat="1" ht="12.75" customHeight="1" x14ac:dyDescent="0.2">
      <c r="A108" s="47" t="s">
        <v>131</v>
      </c>
      <c r="B108" s="51"/>
      <c r="C108" s="47" t="s">
        <v>13</v>
      </c>
      <c r="E108" s="44">
        <v>6719395</v>
      </c>
      <c r="F108" s="44"/>
      <c r="G108" s="44">
        <v>1047933</v>
      </c>
      <c r="H108" s="44"/>
      <c r="I108" s="44">
        <v>1599223</v>
      </c>
      <c r="J108" s="44"/>
      <c r="K108" s="44">
        <v>1764318</v>
      </c>
      <c r="L108" s="44"/>
      <c r="M108" s="44">
        <v>6339679</v>
      </c>
      <c r="N108" s="44"/>
      <c r="O108" s="44">
        <v>0</v>
      </c>
      <c r="P108" s="44"/>
      <c r="Q108" s="44">
        <v>7232764</v>
      </c>
      <c r="R108" s="44"/>
      <c r="S108" s="44">
        <v>0</v>
      </c>
      <c r="T108" s="44"/>
      <c r="U108" s="44">
        <v>1080761</v>
      </c>
      <c r="V108" s="44"/>
      <c r="W108" s="44">
        <f t="shared" si="6"/>
        <v>25784073</v>
      </c>
      <c r="X108" s="44"/>
      <c r="Y108" s="44">
        <v>100766537</v>
      </c>
      <c r="Z108" s="44"/>
      <c r="AA108" s="44">
        <f>+'Stmt net assets'!Y108</f>
        <v>102881353</v>
      </c>
      <c r="AB108" s="44"/>
      <c r="AC108" s="44">
        <f>+Y108+'Stmt of activities-GA rev'!AC108-'Stmt of activities-GAexp'!W108-AA108</f>
        <v>0</v>
      </c>
    </row>
    <row r="109" spans="1:29" s="47" customFormat="1" ht="12.75" customHeight="1" x14ac:dyDescent="0.2">
      <c r="A109" s="47" t="s">
        <v>38</v>
      </c>
      <c r="B109" s="51"/>
      <c r="C109" s="47" t="s">
        <v>132</v>
      </c>
      <c r="E109" s="44">
        <f>1521699+1491528</f>
        <v>3013227</v>
      </c>
      <c r="F109" s="44"/>
      <c r="G109" s="44">
        <v>0</v>
      </c>
      <c r="H109" s="44"/>
      <c r="I109" s="44">
        <v>526324</v>
      </c>
      <c r="J109" s="44"/>
      <c r="K109" s="44">
        <v>366442</v>
      </c>
      <c r="L109" s="44"/>
      <c r="M109" s="44">
        <v>862659</v>
      </c>
      <c r="N109" s="44"/>
      <c r="O109" s="44">
        <v>540313</v>
      </c>
      <c r="P109" s="44"/>
      <c r="Q109" s="44">
        <v>1677044</v>
      </c>
      <c r="R109" s="44"/>
      <c r="S109" s="44">
        <v>0</v>
      </c>
      <c r="T109" s="44"/>
      <c r="U109" s="44">
        <v>77038</v>
      </c>
      <c r="V109" s="44"/>
      <c r="W109" s="44">
        <f t="shared" si="6"/>
        <v>7063047</v>
      </c>
      <c r="X109" s="44"/>
      <c r="Y109" s="44">
        <v>12285475</v>
      </c>
      <c r="Z109" s="44"/>
      <c r="AA109" s="44">
        <f>+'Stmt net assets'!Y109</f>
        <v>13055983</v>
      </c>
      <c r="AB109" s="44"/>
      <c r="AC109" s="44">
        <f>+Y109+'Stmt of activities-GA rev'!AC109-'Stmt of activities-GAexp'!W109-AA109</f>
        <v>0</v>
      </c>
    </row>
    <row r="110" spans="1:29" s="47" customFormat="1" ht="12.75" customHeight="1" x14ac:dyDescent="0.2">
      <c r="A110" s="47" t="s">
        <v>133</v>
      </c>
      <c r="B110" s="51"/>
      <c r="C110" s="47" t="s">
        <v>27</v>
      </c>
      <c r="E110" s="44">
        <v>8350722</v>
      </c>
      <c r="F110" s="44"/>
      <c r="G110" s="44">
        <v>93610</v>
      </c>
      <c r="H110" s="44"/>
      <c r="I110" s="44">
        <v>3345289</v>
      </c>
      <c r="J110" s="44"/>
      <c r="K110" s="44">
        <v>2130225</v>
      </c>
      <c r="L110" s="44"/>
      <c r="M110" s="44">
        <v>4546613</v>
      </c>
      <c r="N110" s="44"/>
      <c r="O110" s="44">
        <v>913604</v>
      </c>
      <c r="P110" s="44"/>
      <c r="Q110" s="44">
        <v>8703896</v>
      </c>
      <c r="R110" s="44"/>
      <c r="S110" s="44">
        <v>0</v>
      </c>
      <c r="T110" s="44"/>
      <c r="U110" s="44">
        <v>386620</v>
      </c>
      <c r="V110" s="44"/>
      <c r="W110" s="44">
        <f t="shared" si="6"/>
        <v>28470579</v>
      </c>
      <c r="X110" s="44"/>
      <c r="Y110" s="44">
        <v>75730003</v>
      </c>
      <c r="Z110" s="44"/>
      <c r="AA110" s="44">
        <f>+'Stmt net assets'!Y110</f>
        <v>82551191</v>
      </c>
      <c r="AB110" s="44"/>
      <c r="AC110" s="44">
        <f>+Y110+'Stmt of activities-GA rev'!AC110-'Stmt of activities-GAexp'!W110-AA110</f>
        <v>0</v>
      </c>
    </row>
    <row r="111" spans="1:29" s="47" customFormat="1" ht="12.75" customHeight="1" x14ac:dyDescent="0.2">
      <c r="A111" s="47" t="s">
        <v>482</v>
      </c>
      <c r="B111" s="51"/>
      <c r="C111" s="47" t="s">
        <v>45</v>
      </c>
      <c r="E111" s="44">
        <v>4555392</v>
      </c>
      <c r="F111" s="44"/>
      <c r="G111" s="44">
        <v>120904</v>
      </c>
      <c r="H111" s="44"/>
      <c r="I111" s="44">
        <v>1171339</v>
      </c>
      <c r="J111" s="44"/>
      <c r="K111" s="44">
        <v>1486817</v>
      </c>
      <c r="L111" s="44"/>
      <c r="M111" s="44">
        <v>2015426</v>
      </c>
      <c r="N111" s="44"/>
      <c r="O111" s="44">
        <v>0</v>
      </c>
      <c r="P111" s="44"/>
      <c r="Q111" s="44">
        <v>1820748</v>
      </c>
      <c r="R111" s="44"/>
      <c r="S111" s="44">
        <v>0</v>
      </c>
      <c r="T111" s="44"/>
      <c r="U111" s="44">
        <v>98077</v>
      </c>
      <c r="V111" s="44"/>
      <c r="W111" s="44">
        <f t="shared" si="6"/>
        <v>11268703</v>
      </c>
      <c r="X111" s="44"/>
      <c r="Y111" s="44">
        <v>113776858</v>
      </c>
      <c r="Z111" s="44"/>
      <c r="AA111" s="44">
        <f>+'Stmt net assets'!Y111</f>
        <v>117575248</v>
      </c>
      <c r="AB111" s="44"/>
      <c r="AC111" s="44">
        <f>+Y111+'Stmt of activities-GA rev'!AC111-'Stmt of activities-GAexp'!W111-AA111</f>
        <v>0</v>
      </c>
    </row>
    <row r="112" spans="1:29" s="47" customFormat="1" ht="12.75" customHeight="1" x14ac:dyDescent="0.2">
      <c r="A112" s="35" t="s">
        <v>134</v>
      </c>
      <c r="B112" s="55"/>
      <c r="C112" s="35" t="s">
        <v>135</v>
      </c>
      <c r="E112" s="44">
        <v>3396724</v>
      </c>
      <c r="F112" s="44"/>
      <c r="G112" s="44">
        <v>264201</v>
      </c>
      <c r="H112" s="44"/>
      <c r="I112" s="44">
        <v>104548</v>
      </c>
      <c r="J112" s="44"/>
      <c r="K112" s="44">
        <v>744240</v>
      </c>
      <c r="L112" s="44"/>
      <c r="M112" s="44">
        <v>656391</v>
      </c>
      <c r="N112" s="44"/>
      <c r="O112" s="44">
        <v>0</v>
      </c>
      <c r="P112" s="44"/>
      <c r="Q112" s="44">
        <v>2020684</v>
      </c>
      <c r="R112" s="44"/>
      <c r="S112" s="44">
        <v>0</v>
      </c>
      <c r="T112" s="44"/>
      <c r="U112" s="44">
        <v>117001</v>
      </c>
      <c r="V112" s="44"/>
      <c r="W112" s="44">
        <f t="shared" si="6"/>
        <v>7303789</v>
      </c>
      <c r="X112" s="44"/>
      <c r="Y112" s="44">
        <v>23781365</v>
      </c>
      <c r="Z112" s="44"/>
      <c r="AA112" s="44">
        <f>+'Stmt net assets'!Y112</f>
        <v>26241082</v>
      </c>
      <c r="AB112" s="44"/>
      <c r="AC112" s="44">
        <f>+Y112+'Stmt of activities-GA rev'!AC112-'Stmt of activities-GAexp'!W112-AA112</f>
        <v>0</v>
      </c>
    </row>
    <row r="113" spans="1:29" s="47" customFormat="1" ht="12.75" customHeight="1" x14ac:dyDescent="0.2">
      <c r="A113" s="47" t="s">
        <v>136</v>
      </c>
      <c r="B113" s="51"/>
      <c r="C113" s="47" t="s">
        <v>136</v>
      </c>
      <c r="E113" s="44">
        <v>2043145</v>
      </c>
      <c r="F113" s="44"/>
      <c r="G113" s="44">
        <v>329669</v>
      </c>
      <c r="H113" s="44"/>
      <c r="I113" s="44">
        <v>174767</v>
      </c>
      <c r="J113" s="44"/>
      <c r="K113" s="44">
        <v>445388</v>
      </c>
      <c r="L113" s="44"/>
      <c r="M113" s="44">
        <v>775021</v>
      </c>
      <c r="N113" s="44"/>
      <c r="O113" s="44">
        <v>0</v>
      </c>
      <c r="P113" s="44"/>
      <c r="Q113" s="44">
        <v>1348633</v>
      </c>
      <c r="R113" s="44"/>
      <c r="S113" s="44">
        <v>0</v>
      </c>
      <c r="T113" s="44"/>
      <c r="U113" s="44">
        <v>16818</v>
      </c>
      <c r="V113" s="44"/>
      <c r="W113" s="44">
        <f t="shared" si="6"/>
        <v>5133441</v>
      </c>
      <c r="X113" s="44"/>
      <c r="Y113" s="44">
        <v>12806804</v>
      </c>
      <c r="Z113" s="44"/>
      <c r="AA113" s="44">
        <f>+'Stmt net assets'!Y113</f>
        <v>13050715</v>
      </c>
      <c r="AB113" s="44"/>
      <c r="AC113" s="44">
        <f>+Y113+'Stmt of activities-GA rev'!AC113-'Stmt of activities-GAexp'!W113-AA113</f>
        <v>0</v>
      </c>
    </row>
    <row r="114" spans="1:29" s="47" customFormat="1" ht="12.75" customHeight="1" x14ac:dyDescent="0.2">
      <c r="A114" s="47" t="s">
        <v>137</v>
      </c>
      <c r="B114" s="51"/>
      <c r="C114" s="47" t="s">
        <v>22</v>
      </c>
      <c r="E114" s="44">
        <v>11155689</v>
      </c>
      <c r="F114" s="44"/>
      <c r="G114" s="44">
        <v>666053</v>
      </c>
      <c r="H114" s="44"/>
      <c r="I114" s="44">
        <v>1611324</v>
      </c>
      <c r="J114" s="44"/>
      <c r="K114" s="44">
        <v>3002485</v>
      </c>
      <c r="L114" s="44"/>
      <c r="M114" s="44">
        <v>3732080</v>
      </c>
      <c r="N114" s="44"/>
      <c r="O114" s="44">
        <v>0</v>
      </c>
      <c r="P114" s="44"/>
      <c r="Q114" s="44">
        <v>3090494</v>
      </c>
      <c r="R114" s="44"/>
      <c r="S114" s="44">
        <v>0</v>
      </c>
      <c r="T114" s="44"/>
      <c r="U114" s="44">
        <v>196981</v>
      </c>
      <c r="V114" s="44"/>
      <c r="W114" s="44">
        <f t="shared" si="6"/>
        <v>23455106</v>
      </c>
      <c r="X114" s="44"/>
      <c r="Y114" s="44">
        <v>60251353</v>
      </c>
      <c r="Z114" s="44"/>
      <c r="AA114" s="44">
        <f>+'Stmt net assets'!Y114</f>
        <v>61819073</v>
      </c>
      <c r="AB114" s="44"/>
      <c r="AC114" s="44">
        <f>+Y114+'Stmt of activities-GA rev'!AC114-'Stmt of activities-GAexp'!W114-AA114</f>
        <v>0</v>
      </c>
    </row>
    <row r="115" spans="1:29" s="47" customFormat="1" ht="12.75" hidden="1" customHeight="1" x14ac:dyDescent="0.2">
      <c r="A115" s="47" t="s">
        <v>138</v>
      </c>
      <c r="B115" s="51"/>
      <c r="C115" s="47" t="s">
        <v>139</v>
      </c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>
        <f t="shared" si="6"/>
        <v>0</v>
      </c>
      <c r="X115" s="44"/>
      <c r="Y115" s="44"/>
      <c r="Z115" s="44"/>
      <c r="AA115" s="44">
        <f>+'Stmt net assets'!Y115</f>
        <v>0</v>
      </c>
      <c r="AB115" s="44"/>
      <c r="AC115" s="44">
        <f>+Y115+'Stmt of activities-GA rev'!AC115-'Stmt of activities-GAexp'!W115-AA115</f>
        <v>0</v>
      </c>
    </row>
    <row r="116" spans="1:29" s="47" customFormat="1" ht="12.75" customHeight="1" x14ac:dyDescent="0.2">
      <c r="A116" s="47" t="s">
        <v>140</v>
      </c>
      <c r="B116" s="51"/>
      <c r="C116" s="47" t="s">
        <v>66</v>
      </c>
      <c r="E116" s="44">
        <f>14346393+10533420</f>
        <v>24879813</v>
      </c>
      <c r="F116" s="44"/>
      <c r="G116" s="44">
        <v>0</v>
      </c>
      <c r="H116" s="44"/>
      <c r="I116" s="44">
        <v>13840098</v>
      </c>
      <c r="J116" s="44"/>
      <c r="K116" s="44">
        <v>0</v>
      </c>
      <c r="L116" s="44"/>
      <c r="M116" s="44">
        <v>13388960</v>
      </c>
      <c r="N116" s="44"/>
      <c r="O116" s="44">
        <v>0</v>
      </c>
      <c r="P116" s="44"/>
      <c r="Q116" s="44">
        <v>13824699</v>
      </c>
      <c r="R116" s="44"/>
      <c r="S116" s="44">
        <v>0</v>
      </c>
      <c r="T116" s="44"/>
      <c r="U116" s="44">
        <v>635755</v>
      </c>
      <c r="V116" s="44"/>
      <c r="W116" s="44">
        <f t="shared" si="6"/>
        <v>66569325</v>
      </c>
      <c r="X116" s="44"/>
      <c r="Y116" s="44">
        <v>186335559</v>
      </c>
      <c r="Z116" s="44"/>
      <c r="AA116" s="44">
        <f>+'Stmt net assets'!Y116</f>
        <v>198924517</v>
      </c>
      <c r="AB116" s="44"/>
      <c r="AC116" s="44">
        <f>+Y116+'Stmt of activities-GA rev'!AC116-'Stmt of activities-GAexp'!W116-AA116</f>
        <v>0</v>
      </c>
    </row>
    <row r="117" spans="1:29" s="47" customFormat="1" ht="12.75" customHeight="1" x14ac:dyDescent="0.2">
      <c r="A117" s="47" t="s">
        <v>478</v>
      </c>
      <c r="B117" s="51"/>
      <c r="C117" s="47" t="s">
        <v>92</v>
      </c>
      <c r="E117" s="44">
        <v>2510527</v>
      </c>
      <c r="F117" s="44"/>
      <c r="G117" s="44">
        <v>74939</v>
      </c>
      <c r="H117" s="44"/>
      <c r="I117" s="44">
        <v>343902</v>
      </c>
      <c r="J117" s="44"/>
      <c r="K117" s="44">
        <v>72907</v>
      </c>
      <c r="L117" s="44"/>
      <c r="M117" s="44">
        <v>2223914</v>
      </c>
      <c r="N117" s="44"/>
      <c r="O117" s="44">
        <v>0</v>
      </c>
      <c r="P117" s="44"/>
      <c r="Q117" s="44">
        <v>1812035</v>
      </c>
      <c r="R117" s="44"/>
      <c r="S117" s="44">
        <v>0</v>
      </c>
      <c r="T117" s="44"/>
      <c r="U117" s="44">
        <v>153019</v>
      </c>
      <c r="V117" s="44"/>
      <c r="W117" s="44">
        <f t="shared" si="6"/>
        <v>7191243</v>
      </c>
      <c r="X117" s="44"/>
      <c r="Y117" s="44">
        <v>16467303</v>
      </c>
      <c r="Z117" s="44"/>
      <c r="AA117" s="44">
        <f>+'Stmt net assets'!Y117</f>
        <v>16423721</v>
      </c>
      <c r="AB117" s="44"/>
      <c r="AC117" s="44">
        <f>+Y117+'Stmt of activities-GA rev'!AC117-'Stmt of activities-GAexp'!W117-AA117</f>
        <v>0</v>
      </c>
    </row>
    <row r="118" spans="1:29" s="47" customFormat="1" ht="12.75" customHeight="1" x14ac:dyDescent="0.2">
      <c r="A118" s="47" t="s">
        <v>141</v>
      </c>
      <c r="B118" s="51"/>
      <c r="C118" s="47" t="s">
        <v>27</v>
      </c>
      <c r="E118" s="44">
        <f>11617633+9426271</f>
        <v>21043904</v>
      </c>
      <c r="F118" s="44"/>
      <c r="G118" s="44">
        <v>2136807</v>
      </c>
      <c r="H118" s="44"/>
      <c r="I118" s="44">
        <v>3222378</v>
      </c>
      <c r="J118" s="44"/>
      <c r="K118" s="44">
        <v>5804830</v>
      </c>
      <c r="L118" s="44"/>
      <c r="M118" s="44">
        <v>1948825</v>
      </c>
      <c r="N118" s="44"/>
      <c r="O118" s="44">
        <v>3393665</v>
      </c>
      <c r="P118" s="44"/>
      <c r="Q118" s="44">
        <v>7529571</v>
      </c>
      <c r="R118" s="44"/>
      <c r="S118" s="44">
        <v>0</v>
      </c>
      <c r="T118" s="44"/>
      <c r="U118" s="44">
        <v>1835631</v>
      </c>
      <c r="V118" s="44"/>
      <c r="W118" s="44">
        <f t="shared" si="6"/>
        <v>46915611</v>
      </c>
      <c r="X118" s="44"/>
      <c r="Y118" s="44">
        <v>46067606</v>
      </c>
      <c r="Z118" s="44"/>
      <c r="AA118" s="44">
        <f>+'Stmt net assets'!Y118</f>
        <v>52561421</v>
      </c>
      <c r="AB118" s="44"/>
      <c r="AC118" s="44">
        <f>+Y118+'Stmt of activities-GA rev'!AC118-'Stmt of activities-GAexp'!W118-AA118</f>
        <v>0</v>
      </c>
    </row>
    <row r="119" spans="1:29" s="47" customFormat="1" ht="12.75" customHeight="1" x14ac:dyDescent="0.2">
      <c r="A119" s="47" t="s">
        <v>142</v>
      </c>
      <c r="B119" s="51"/>
      <c r="C119" s="47" t="s">
        <v>102</v>
      </c>
      <c r="E119" s="44">
        <v>17530462</v>
      </c>
      <c r="F119" s="44"/>
      <c r="G119" s="44">
        <v>754085</v>
      </c>
      <c r="H119" s="44"/>
      <c r="I119" s="44">
        <v>1958087</v>
      </c>
      <c r="J119" s="44"/>
      <c r="K119" s="44">
        <v>817834</v>
      </c>
      <c r="L119" s="44"/>
      <c r="M119" s="44">
        <v>5037685</v>
      </c>
      <c r="N119" s="44"/>
      <c r="O119" s="44">
        <v>0</v>
      </c>
      <c r="P119" s="44"/>
      <c r="Q119" s="44">
        <v>7369038</v>
      </c>
      <c r="R119" s="44"/>
      <c r="S119" s="44">
        <v>0</v>
      </c>
      <c r="T119" s="44"/>
      <c r="U119" s="44">
        <v>339535</v>
      </c>
      <c r="V119" s="44"/>
      <c r="W119" s="44">
        <f t="shared" si="6"/>
        <v>33806726</v>
      </c>
      <c r="X119" s="44"/>
      <c r="Y119" s="44">
        <v>40143318</v>
      </c>
      <c r="Z119" s="44"/>
      <c r="AA119" s="44">
        <f>+'Stmt net assets'!Y119</f>
        <v>40367305</v>
      </c>
      <c r="AB119" s="44"/>
      <c r="AC119" s="44">
        <f>+Y119+'Stmt of activities-GA rev'!AC119-'Stmt of activities-GAexp'!W119-AA119</f>
        <v>0</v>
      </c>
    </row>
    <row r="120" spans="1:29" s="47" customFormat="1" ht="12.75" customHeight="1" x14ac:dyDescent="0.2">
      <c r="A120" s="47" t="s">
        <v>143</v>
      </c>
      <c r="B120" s="51"/>
      <c r="C120" s="47" t="s">
        <v>111</v>
      </c>
      <c r="E120" s="44">
        <f>4547632+2866797</f>
        <v>7414429</v>
      </c>
      <c r="F120" s="44"/>
      <c r="G120" s="44">
        <v>220299</v>
      </c>
      <c r="H120" s="44"/>
      <c r="I120" s="44">
        <v>674644</v>
      </c>
      <c r="J120" s="44"/>
      <c r="K120" s="44">
        <v>930934</v>
      </c>
      <c r="L120" s="44"/>
      <c r="M120" s="44">
        <v>3561887</v>
      </c>
      <c r="N120" s="44"/>
      <c r="O120" s="44">
        <v>0</v>
      </c>
      <c r="P120" s="44"/>
      <c r="Q120" s="44">
        <v>3881199</v>
      </c>
      <c r="R120" s="44"/>
      <c r="S120" s="44">
        <v>310704</v>
      </c>
      <c r="T120" s="44"/>
      <c r="U120" s="44">
        <v>253316</v>
      </c>
      <c r="V120" s="44"/>
      <c r="W120" s="44">
        <f t="shared" si="6"/>
        <v>17247412</v>
      </c>
      <c r="X120" s="44"/>
      <c r="Y120" s="44">
        <v>59830387</v>
      </c>
      <c r="Z120" s="44"/>
      <c r="AA120" s="44">
        <f>+'Stmt net assets'!Y120</f>
        <v>60301511</v>
      </c>
      <c r="AB120" s="44"/>
      <c r="AC120" s="44">
        <f>+Y120+'Stmt of activities-GA rev'!AC120-'Stmt of activities-GAexp'!W120-AA120</f>
        <v>0</v>
      </c>
    </row>
    <row r="121" spans="1:29" s="47" customFormat="1" ht="12.75" customHeight="1" x14ac:dyDescent="0.2">
      <c r="A121" s="47" t="s">
        <v>144</v>
      </c>
      <c r="B121" s="51"/>
      <c r="C121" s="47" t="s">
        <v>88</v>
      </c>
      <c r="E121" s="44">
        <v>16553253</v>
      </c>
      <c r="F121" s="44"/>
      <c r="G121" s="44">
        <v>0</v>
      </c>
      <c r="H121" s="44"/>
      <c r="I121" s="44">
        <v>1110824</v>
      </c>
      <c r="J121" s="44"/>
      <c r="K121" s="44">
        <v>3888424</v>
      </c>
      <c r="L121" s="44"/>
      <c r="M121" s="44">
        <v>4314809</v>
      </c>
      <c r="N121" s="44"/>
      <c r="O121" s="44">
        <v>0</v>
      </c>
      <c r="P121" s="44"/>
      <c r="Q121" s="44">
        <v>8220143</v>
      </c>
      <c r="R121" s="44"/>
      <c r="S121" s="44">
        <v>0</v>
      </c>
      <c r="T121" s="44"/>
      <c r="U121" s="44">
        <v>148448</v>
      </c>
      <c r="V121" s="44"/>
      <c r="W121" s="44">
        <f t="shared" si="6"/>
        <v>34235901</v>
      </c>
      <c r="X121" s="44"/>
      <c r="Y121" s="44">
        <v>65455875</v>
      </c>
      <c r="Z121" s="44"/>
      <c r="AA121" s="44">
        <f>+'Stmt net assets'!Y121</f>
        <v>71795903</v>
      </c>
      <c r="AB121" s="44"/>
      <c r="AC121" s="44">
        <f>+Y121+'Stmt of activities-GA rev'!AC121-'Stmt of activities-GAexp'!W121-AA121</f>
        <v>0</v>
      </c>
    </row>
    <row r="122" spans="1:29" s="47" customFormat="1" ht="12.75" customHeight="1" x14ac:dyDescent="0.2">
      <c r="A122" s="47" t="s">
        <v>36</v>
      </c>
      <c r="B122" s="51"/>
      <c r="C122" s="47" t="s">
        <v>145</v>
      </c>
      <c r="E122" s="44">
        <f>1786302+828033</f>
        <v>2614335</v>
      </c>
      <c r="F122" s="44"/>
      <c r="G122" s="44">
        <v>346183</v>
      </c>
      <c r="H122" s="44"/>
      <c r="I122" s="44">
        <v>135262</v>
      </c>
      <c r="J122" s="44"/>
      <c r="K122" s="44">
        <v>206536</v>
      </c>
      <c r="L122" s="44"/>
      <c r="M122" s="44">
        <v>711196</v>
      </c>
      <c r="N122" s="44"/>
      <c r="O122" s="44">
        <v>2232</v>
      </c>
      <c r="P122" s="44"/>
      <c r="Q122" s="44">
        <v>811386</v>
      </c>
      <c r="R122" s="44"/>
      <c r="S122" s="44">
        <v>0</v>
      </c>
      <c r="T122" s="44"/>
      <c r="U122" s="44">
        <v>17814</v>
      </c>
      <c r="V122" s="44"/>
      <c r="W122" s="44">
        <f t="shared" si="6"/>
        <v>4844944</v>
      </c>
      <c r="X122" s="44"/>
      <c r="Y122" s="44">
        <v>9552669</v>
      </c>
      <c r="Z122" s="44"/>
      <c r="AA122" s="44">
        <f>+'Stmt net assets'!Y122</f>
        <v>9723190</v>
      </c>
      <c r="AB122" s="44"/>
      <c r="AC122" s="44">
        <f>+Y122+'Stmt of activities-GA rev'!AC122-'Stmt of activities-GAexp'!W122-AA122</f>
        <v>0</v>
      </c>
    </row>
    <row r="123" spans="1:29" s="47" customFormat="1" ht="12.75" customHeight="1" x14ac:dyDescent="0.2">
      <c r="B123" s="51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8" t="s">
        <v>484</v>
      </c>
      <c r="AB123" s="44"/>
      <c r="AC123" s="44"/>
    </row>
    <row r="124" spans="1:29" s="47" customFormat="1" ht="12.75" customHeight="1" x14ac:dyDescent="0.2">
      <c r="A124" s="47" t="s">
        <v>146</v>
      </c>
      <c r="B124" s="51"/>
      <c r="C124" s="47" t="s">
        <v>147</v>
      </c>
      <c r="E124" s="46">
        <v>3273592</v>
      </c>
      <c r="F124" s="46"/>
      <c r="G124" s="46">
        <v>0</v>
      </c>
      <c r="H124" s="46"/>
      <c r="I124" s="46">
        <v>204975</v>
      </c>
      <c r="J124" s="46"/>
      <c r="K124" s="46">
        <v>496100</v>
      </c>
      <c r="L124" s="46"/>
      <c r="M124" s="46">
        <v>1443740</v>
      </c>
      <c r="N124" s="46"/>
      <c r="O124" s="46">
        <v>0</v>
      </c>
      <c r="P124" s="46"/>
      <c r="Q124" s="46">
        <v>1400633</v>
      </c>
      <c r="R124" s="46"/>
      <c r="S124" s="46">
        <v>0</v>
      </c>
      <c r="T124" s="46"/>
      <c r="U124" s="46">
        <v>160627</v>
      </c>
      <c r="V124" s="46"/>
      <c r="W124" s="46">
        <f t="shared" si="6"/>
        <v>6979667</v>
      </c>
      <c r="X124" s="46"/>
      <c r="Y124" s="46">
        <v>16787717</v>
      </c>
      <c r="Z124" s="46"/>
      <c r="AA124" s="46">
        <f>+'Stmt net assets'!Y124</f>
        <v>16319518</v>
      </c>
      <c r="AB124" s="44"/>
      <c r="AC124" s="44">
        <f>+Y124+'Stmt of activities-GA rev'!AC123-'Stmt of activities-GAexp'!W124-AA124</f>
        <v>0</v>
      </c>
    </row>
    <row r="125" spans="1:29" s="47" customFormat="1" ht="12.75" customHeight="1" x14ac:dyDescent="0.2">
      <c r="A125" s="47" t="s">
        <v>17</v>
      </c>
      <c r="B125" s="51"/>
      <c r="C125" s="47" t="s">
        <v>17</v>
      </c>
      <c r="E125" s="44">
        <v>20983753</v>
      </c>
      <c r="F125" s="44"/>
      <c r="G125" s="44">
        <v>2355372</v>
      </c>
      <c r="H125" s="44"/>
      <c r="I125" s="44">
        <v>566774</v>
      </c>
      <c r="J125" s="44"/>
      <c r="K125" s="44">
        <f>469293+2813491</f>
        <v>3282784</v>
      </c>
      <c r="L125" s="44"/>
      <c r="M125" s="44">
        <v>10920414</v>
      </c>
      <c r="N125" s="44"/>
      <c r="O125" s="44">
        <v>0</v>
      </c>
      <c r="P125" s="44"/>
      <c r="Q125" s="44">
        <v>10869025</v>
      </c>
      <c r="R125" s="44"/>
      <c r="S125" s="44">
        <v>0</v>
      </c>
      <c r="T125" s="44"/>
      <c r="U125" s="44">
        <v>2308814</v>
      </c>
      <c r="V125" s="44"/>
      <c r="W125" s="44">
        <f t="shared" si="6"/>
        <v>51286936</v>
      </c>
      <c r="X125" s="44"/>
      <c r="Y125" s="44">
        <v>91381719</v>
      </c>
      <c r="Z125" s="44"/>
      <c r="AA125" s="44">
        <f>+'Stmt net assets'!Y125</f>
        <v>89198943</v>
      </c>
      <c r="AB125" s="44"/>
      <c r="AC125" s="44">
        <f>+Y125+'Stmt of activities-GA rev'!AC124-'Stmt of activities-GAexp'!W125-AA125</f>
        <v>0</v>
      </c>
    </row>
    <row r="126" spans="1:29" s="47" customFormat="1" ht="12.75" customHeight="1" x14ac:dyDescent="0.2">
      <c r="A126" s="47" t="s">
        <v>148</v>
      </c>
      <c r="B126" s="51"/>
      <c r="C126" s="47" t="s">
        <v>15</v>
      </c>
      <c r="E126" s="44">
        <v>2183465</v>
      </c>
      <c r="F126" s="44"/>
      <c r="G126" s="44">
        <v>50860</v>
      </c>
      <c r="H126" s="44"/>
      <c r="I126" s="44">
        <v>214946</v>
      </c>
      <c r="J126" s="44"/>
      <c r="K126" s="44">
        <v>147504</v>
      </c>
      <c r="L126" s="44"/>
      <c r="M126" s="44">
        <v>681247</v>
      </c>
      <c r="N126" s="44"/>
      <c r="O126" s="44">
        <v>0</v>
      </c>
      <c r="P126" s="44"/>
      <c r="Q126" s="44">
        <v>891233</v>
      </c>
      <c r="R126" s="44"/>
      <c r="S126" s="44">
        <v>0</v>
      </c>
      <c r="T126" s="44"/>
      <c r="U126" s="44">
        <v>17085</v>
      </c>
      <c r="V126" s="44"/>
      <c r="W126" s="44">
        <f t="shared" si="6"/>
        <v>4186340</v>
      </c>
      <c r="X126" s="44"/>
      <c r="Y126" s="44">
        <v>6106289</v>
      </c>
      <c r="Z126" s="44"/>
      <c r="AA126" s="44">
        <f>+'Stmt net assets'!Y126</f>
        <v>7220144</v>
      </c>
      <c r="AB126" s="44"/>
      <c r="AC126" s="44">
        <f>+Y126+'Stmt of activities-GA rev'!AC125-'Stmt of activities-GAexp'!W126-AA126</f>
        <v>0</v>
      </c>
    </row>
    <row r="127" spans="1:29" s="47" customFormat="1" ht="12.75" customHeight="1" x14ac:dyDescent="0.2">
      <c r="A127" s="47" t="s">
        <v>149</v>
      </c>
      <c r="B127" s="51"/>
      <c r="C127" s="47" t="s">
        <v>45</v>
      </c>
      <c r="E127" s="44">
        <v>5110699</v>
      </c>
      <c r="F127" s="44"/>
      <c r="G127" s="44">
        <v>0</v>
      </c>
      <c r="H127" s="44"/>
      <c r="I127" s="44">
        <v>509744</v>
      </c>
      <c r="J127" s="44"/>
      <c r="K127" s="44">
        <v>221506</v>
      </c>
      <c r="L127" s="44"/>
      <c r="M127" s="44">
        <v>1019091</v>
      </c>
      <c r="N127" s="44"/>
      <c r="O127" s="44">
        <v>0</v>
      </c>
      <c r="P127" s="44"/>
      <c r="Q127" s="44">
        <v>2573967</v>
      </c>
      <c r="R127" s="44"/>
      <c r="S127" s="44">
        <v>0</v>
      </c>
      <c r="T127" s="44"/>
      <c r="U127" s="44">
        <v>344242</v>
      </c>
      <c r="V127" s="44"/>
      <c r="W127" s="44">
        <f t="shared" si="6"/>
        <v>9779249</v>
      </c>
      <c r="X127" s="44"/>
      <c r="Y127" s="44">
        <v>19548321</v>
      </c>
      <c r="Z127" s="44"/>
      <c r="AA127" s="44">
        <f>+'Stmt net assets'!Y127</f>
        <v>19372345</v>
      </c>
      <c r="AB127" s="44"/>
      <c r="AC127" s="44">
        <f>+Y127+'Stmt of activities-GA rev'!AC126-'Stmt of activities-GAexp'!W127-AA127</f>
        <v>0</v>
      </c>
    </row>
    <row r="128" spans="1:29" s="47" customFormat="1" ht="12.75" customHeight="1" x14ac:dyDescent="0.2">
      <c r="A128" s="47" t="s">
        <v>150</v>
      </c>
      <c r="B128" s="51"/>
      <c r="C128" s="47" t="s">
        <v>27</v>
      </c>
      <c r="E128" s="44">
        <v>8127370</v>
      </c>
      <c r="F128" s="44"/>
      <c r="G128" s="44">
        <v>56532</v>
      </c>
      <c r="H128" s="44"/>
      <c r="I128" s="44">
        <v>688798</v>
      </c>
      <c r="J128" s="44"/>
      <c r="K128" s="44">
        <v>465723</v>
      </c>
      <c r="L128" s="44"/>
      <c r="M128" s="44">
        <v>3043461</v>
      </c>
      <c r="N128" s="44"/>
      <c r="O128" s="44">
        <v>2801308</v>
      </c>
      <c r="P128" s="44"/>
      <c r="Q128" s="44">
        <v>4175399</v>
      </c>
      <c r="R128" s="44"/>
      <c r="S128" s="44">
        <v>0</v>
      </c>
      <c r="T128" s="44"/>
      <c r="U128" s="44">
        <v>81208</v>
      </c>
      <c r="V128" s="44"/>
      <c r="W128" s="44">
        <f t="shared" si="6"/>
        <v>19439799</v>
      </c>
      <c r="X128" s="44"/>
      <c r="Y128" s="44">
        <v>90147669</v>
      </c>
      <c r="Z128" s="44"/>
      <c r="AA128" s="44">
        <f>+'Stmt net assets'!Y128</f>
        <v>90905852</v>
      </c>
      <c r="AB128" s="44"/>
      <c r="AC128" s="44">
        <f>+Y128+'Stmt of activities-GA rev'!AC127-'Stmt of activities-GAexp'!W128-AA128</f>
        <v>0</v>
      </c>
    </row>
    <row r="129" spans="1:30" s="47" customFormat="1" ht="12.75" customHeight="1" x14ac:dyDescent="0.2">
      <c r="A129" s="47" t="s">
        <v>151</v>
      </c>
      <c r="B129" s="51"/>
      <c r="C129" s="47" t="s">
        <v>13</v>
      </c>
      <c r="E129" s="44">
        <v>5293743</v>
      </c>
      <c r="F129" s="44"/>
      <c r="G129" s="44">
        <v>135928</v>
      </c>
      <c r="H129" s="44"/>
      <c r="I129" s="44">
        <v>1626850</v>
      </c>
      <c r="J129" s="44"/>
      <c r="K129" s="44">
        <v>489392</v>
      </c>
      <c r="L129" s="44"/>
      <c r="M129" s="44">
        <v>2861969</v>
      </c>
      <c r="N129" s="44"/>
      <c r="O129" s="44">
        <v>741282</v>
      </c>
      <c r="P129" s="44"/>
      <c r="Q129" s="44">
        <v>2607366</v>
      </c>
      <c r="R129" s="44"/>
      <c r="S129" s="44">
        <v>0</v>
      </c>
      <c r="T129" s="44"/>
      <c r="U129" s="44">
        <v>601594</v>
      </c>
      <c r="V129" s="44"/>
      <c r="W129" s="44">
        <f t="shared" si="6"/>
        <v>14358124</v>
      </c>
      <c r="X129" s="44"/>
      <c r="Y129" s="44">
        <v>40688996</v>
      </c>
      <c r="Z129" s="44"/>
      <c r="AA129" s="44">
        <f>+'Stmt net assets'!Y129</f>
        <v>41880071</v>
      </c>
      <c r="AB129" s="44"/>
      <c r="AC129" s="44">
        <f>+Y129+'Stmt of activities-GA rev'!AC128-'Stmt of activities-GAexp'!W129-AA129</f>
        <v>0</v>
      </c>
    </row>
    <row r="130" spans="1:30" s="122" customFormat="1" ht="12.75" hidden="1" customHeight="1" x14ac:dyDescent="0.2">
      <c r="A130" s="122" t="s">
        <v>481</v>
      </c>
      <c r="B130" s="124"/>
      <c r="C130" s="122" t="s">
        <v>45</v>
      </c>
      <c r="E130" s="121">
        <v>3183126</v>
      </c>
      <c r="F130" s="121"/>
      <c r="G130" s="121">
        <v>0</v>
      </c>
      <c r="H130" s="121"/>
      <c r="I130" s="121">
        <v>227728</v>
      </c>
      <c r="J130" s="121"/>
      <c r="K130" s="121">
        <v>101003</v>
      </c>
      <c r="L130" s="121"/>
      <c r="M130" s="121">
        <v>1235558</v>
      </c>
      <c r="N130" s="121"/>
      <c r="O130" s="121">
        <v>574455</v>
      </c>
      <c r="P130" s="121"/>
      <c r="Q130" s="121">
        <v>1058228</v>
      </c>
      <c r="R130" s="121"/>
      <c r="S130" s="121">
        <v>0</v>
      </c>
      <c r="T130" s="121"/>
      <c r="U130" s="121">
        <v>3215</v>
      </c>
      <c r="V130" s="121"/>
      <c r="W130" s="121">
        <f t="shared" si="6"/>
        <v>6383313</v>
      </c>
      <c r="X130" s="121"/>
      <c r="Y130" s="121">
        <v>10600593</v>
      </c>
      <c r="Z130" s="121"/>
      <c r="AA130" s="121">
        <f>+'Stmt net assets'!Y130</f>
        <v>10646482</v>
      </c>
      <c r="AB130" s="121"/>
      <c r="AC130" s="121">
        <f>+Y130+'Stmt of activities-GA rev'!AC129-'Stmt of activities-GAexp'!W130-AA130</f>
        <v>0</v>
      </c>
      <c r="AD130" s="121" t="s">
        <v>502</v>
      </c>
    </row>
    <row r="131" spans="1:30" s="47" customFormat="1" ht="12.75" customHeight="1" x14ac:dyDescent="0.2">
      <c r="A131" s="47" t="s">
        <v>152</v>
      </c>
      <c r="B131" s="51"/>
      <c r="C131" s="47" t="s">
        <v>153</v>
      </c>
      <c r="E131" s="44">
        <v>21292633</v>
      </c>
      <c r="F131" s="44"/>
      <c r="G131" s="44">
        <v>3006</v>
      </c>
      <c r="H131" s="44"/>
      <c r="I131" s="44">
        <v>328411</v>
      </c>
      <c r="J131" s="44"/>
      <c r="K131" s="44">
        <v>2198250</v>
      </c>
      <c r="L131" s="44"/>
      <c r="M131" s="44">
        <v>3385047</v>
      </c>
      <c r="N131" s="44"/>
      <c r="O131" s="44">
        <v>0</v>
      </c>
      <c r="P131" s="44"/>
      <c r="Q131" s="44">
        <v>10110666</v>
      </c>
      <c r="R131" s="44"/>
      <c r="S131" s="44">
        <v>0</v>
      </c>
      <c r="T131" s="44"/>
      <c r="U131" s="44">
        <v>266520</v>
      </c>
      <c r="V131" s="44"/>
      <c r="W131" s="44">
        <f t="shared" si="6"/>
        <v>37584533</v>
      </c>
      <c r="X131" s="44"/>
      <c r="Y131" s="44">
        <v>65893940</v>
      </c>
      <c r="Z131" s="44"/>
      <c r="AA131" s="44">
        <f>+'Stmt net assets'!Y131</f>
        <v>72277305</v>
      </c>
      <c r="AB131" s="44"/>
      <c r="AC131" s="44">
        <f>+Y131+'Stmt of activities-GA rev'!AC130-'Stmt of activities-GAexp'!W131-AA131</f>
        <v>0</v>
      </c>
    </row>
    <row r="132" spans="1:30" s="47" customFormat="1" ht="12.75" customHeight="1" x14ac:dyDescent="0.2">
      <c r="A132" s="47" t="s">
        <v>154</v>
      </c>
      <c r="B132" s="51"/>
      <c r="C132" s="47" t="s">
        <v>27</v>
      </c>
      <c r="E132" s="44">
        <v>10337082</v>
      </c>
      <c r="F132" s="44"/>
      <c r="G132" s="44">
        <v>96777</v>
      </c>
      <c r="H132" s="44"/>
      <c r="I132" s="44">
        <v>881271</v>
      </c>
      <c r="J132" s="44"/>
      <c r="K132" s="44">
        <v>842075</v>
      </c>
      <c r="L132" s="44"/>
      <c r="M132" s="44">
        <v>1822181</v>
      </c>
      <c r="N132" s="44"/>
      <c r="O132" s="44">
        <v>925306</v>
      </c>
      <c r="P132" s="44"/>
      <c r="Q132" s="44">
        <v>5936763</v>
      </c>
      <c r="R132" s="44"/>
      <c r="S132" s="44">
        <v>0</v>
      </c>
      <c r="T132" s="44"/>
      <c r="U132" s="44">
        <v>739287</v>
      </c>
      <c r="V132" s="44"/>
      <c r="W132" s="44">
        <f t="shared" si="6"/>
        <v>21580742</v>
      </c>
      <c r="X132" s="44"/>
      <c r="Y132" s="44">
        <v>37083773</v>
      </c>
      <c r="Z132" s="44"/>
      <c r="AA132" s="44">
        <f>+'Stmt net assets'!Y132</f>
        <v>36120325</v>
      </c>
      <c r="AB132" s="44"/>
      <c r="AC132" s="44">
        <f>+Y132+'Stmt of activities-GA rev'!AC131-'Stmt of activities-GAexp'!W132-AA132</f>
        <v>0</v>
      </c>
    </row>
    <row r="133" spans="1:30" s="47" customFormat="1" ht="12.75" customHeight="1" x14ac:dyDescent="0.2">
      <c r="A133" s="47" t="s">
        <v>155</v>
      </c>
      <c r="B133" s="51"/>
      <c r="C133" s="47" t="s">
        <v>40</v>
      </c>
      <c r="E133" s="44">
        <f>3289443+3464092</f>
        <v>6753535</v>
      </c>
      <c r="F133" s="44"/>
      <c r="G133" s="44">
        <v>841815</v>
      </c>
      <c r="H133" s="44"/>
      <c r="I133" s="44">
        <v>602751</v>
      </c>
      <c r="J133" s="44"/>
      <c r="K133" s="44">
        <f>342976+2052822</f>
        <v>2395798</v>
      </c>
      <c r="L133" s="44"/>
      <c r="M133" s="44">
        <f>1184+2815025</f>
        <v>2816209</v>
      </c>
      <c r="N133" s="44"/>
      <c r="O133" s="44">
        <v>0</v>
      </c>
      <c r="P133" s="44"/>
      <c r="Q133" s="44">
        <f>3643193+1645677</f>
        <v>5288870</v>
      </c>
      <c r="R133" s="44"/>
      <c r="S133" s="44">
        <v>0</v>
      </c>
      <c r="T133" s="44"/>
      <c r="U133" s="44">
        <v>96258</v>
      </c>
      <c r="V133" s="44"/>
      <c r="W133" s="44">
        <f t="shared" si="6"/>
        <v>18795236</v>
      </c>
      <c r="X133" s="44"/>
      <c r="Y133" s="44">
        <v>28640689</v>
      </c>
      <c r="Z133" s="44"/>
      <c r="AA133" s="44">
        <f>+'Stmt net assets'!Y133</f>
        <v>29522264</v>
      </c>
      <c r="AB133" s="44"/>
      <c r="AC133" s="44">
        <f>+Y133+'Stmt of activities-GA rev'!AC132-'Stmt of activities-GAexp'!W133-AA133</f>
        <v>0</v>
      </c>
    </row>
    <row r="134" spans="1:30" s="47" customFormat="1" ht="12.75" customHeight="1" x14ac:dyDescent="0.2">
      <c r="A134" s="47" t="s">
        <v>156</v>
      </c>
      <c r="B134" s="51"/>
      <c r="C134" s="47" t="s">
        <v>156</v>
      </c>
      <c r="E134" s="44">
        <f>6641183+5864658+258206</f>
        <v>12764047</v>
      </c>
      <c r="F134" s="44"/>
      <c r="G134" s="44">
        <v>489284</v>
      </c>
      <c r="H134" s="44"/>
      <c r="I134" s="44">
        <v>1126954</v>
      </c>
      <c r="J134" s="44"/>
      <c r="K134" s="44">
        <v>2572072</v>
      </c>
      <c r="L134" s="44"/>
      <c r="M134" s="44">
        <f>922873+6600017</f>
        <v>7522890</v>
      </c>
      <c r="N134" s="44"/>
      <c r="O134" s="44">
        <v>0</v>
      </c>
      <c r="P134" s="44"/>
      <c r="Q134" s="44">
        <f>976447+3396209</f>
        <v>4372656</v>
      </c>
      <c r="R134" s="44"/>
      <c r="S134" s="44">
        <v>0</v>
      </c>
      <c r="T134" s="44"/>
      <c r="U134" s="44">
        <v>182157</v>
      </c>
      <c r="V134" s="44"/>
      <c r="W134" s="44">
        <f t="shared" si="6"/>
        <v>29030060</v>
      </c>
      <c r="X134" s="44"/>
      <c r="Y134" s="44">
        <v>74256569</v>
      </c>
      <c r="Z134" s="44"/>
      <c r="AA134" s="44">
        <f>+'Stmt net assets'!Y134</f>
        <v>70294155</v>
      </c>
      <c r="AB134" s="44"/>
      <c r="AC134" s="44">
        <f>+Y134+'Stmt of activities-GA rev'!AC133-'Stmt of activities-GAexp'!W134-AA134</f>
        <v>0</v>
      </c>
    </row>
    <row r="135" spans="1:30" s="47" customFormat="1" ht="12.75" customHeight="1" x14ac:dyDescent="0.2">
      <c r="A135" s="47" t="s">
        <v>157</v>
      </c>
      <c r="B135" s="51"/>
      <c r="C135" s="47" t="s">
        <v>33</v>
      </c>
      <c r="E135" s="44">
        <v>2545983</v>
      </c>
      <c r="F135" s="44"/>
      <c r="G135" s="44">
        <v>76143</v>
      </c>
      <c r="H135" s="44"/>
      <c r="I135" s="44">
        <v>79152</v>
      </c>
      <c r="J135" s="44"/>
      <c r="K135" s="44">
        <v>130450</v>
      </c>
      <c r="L135" s="44"/>
      <c r="M135" s="44">
        <v>482747</v>
      </c>
      <c r="N135" s="44"/>
      <c r="O135" s="44">
        <v>0</v>
      </c>
      <c r="P135" s="44"/>
      <c r="Q135" s="44">
        <v>775158</v>
      </c>
      <c r="R135" s="44"/>
      <c r="S135" s="44">
        <v>0</v>
      </c>
      <c r="T135" s="44"/>
      <c r="U135" s="44">
        <v>13210</v>
      </c>
      <c r="V135" s="44"/>
      <c r="W135" s="44">
        <f t="shared" si="6"/>
        <v>4102843</v>
      </c>
      <c r="X135" s="44"/>
      <c r="Y135" s="44">
        <v>6644860</v>
      </c>
      <c r="Z135" s="44"/>
      <c r="AA135" s="44">
        <f>+'Stmt net assets'!Y135</f>
        <v>6296908</v>
      </c>
      <c r="AB135" s="44"/>
      <c r="AC135" s="44">
        <f>+Y135+'Stmt of activities-GA rev'!AC134-'Stmt of activities-GAexp'!W135-AA135</f>
        <v>0</v>
      </c>
    </row>
    <row r="136" spans="1:30" s="47" customFormat="1" ht="12.75" customHeight="1" x14ac:dyDescent="0.2">
      <c r="A136" s="47" t="s">
        <v>158</v>
      </c>
      <c r="B136" s="51"/>
      <c r="C136" s="47" t="s">
        <v>159</v>
      </c>
      <c r="E136" s="44">
        <f>3731518+3778985+847399</f>
        <v>8357902</v>
      </c>
      <c r="F136" s="44"/>
      <c r="G136" s="44">
        <v>352838</v>
      </c>
      <c r="H136" s="44"/>
      <c r="I136" s="44">
        <v>306972</v>
      </c>
      <c r="J136" s="44"/>
      <c r="K136" s="44">
        <v>2341633</v>
      </c>
      <c r="L136" s="44"/>
      <c r="M136" s="44">
        <v>3516857</v>
      </c>
      <c r="N136" s="44"/>
      <c r="O136" s="44">
        <v>0</v>
      </c>
      <c r="P136" s="44"/>
      <c r="Q136" s="44">
        <v>3221219</v>
      </c>
      <c r="R136" s="44"/>
      <c r="S136" s="44">
        <v>0</v>
      </c>
      <c r="T136" s="44"/>
      <c r="U136" s="44">
        <v>693944</v>
      </c>
      <c r="V136" s="44"/>
      <c r="W136" s="44">
        <f t="shared" si="6"/>
        <v>18791365</v>
      </c>
      <c r="X136" s="44"/>
      <c r="Y136" s="44">
        <v>34340911</v>
      </c>
      <c r="Z136" s="44"/>
      <c r="AA136" s="44">
        <f>+'Stmt net assets'!Y136</f>
        <v>37467833</v>
      </c>
      <c r="AB136" s="44"/>
      <c r="AC136" s="44">
        <f>+Y136+'Stmt of activities-GA rev'!AC135-'Stmt of activities-GAexp'!W136-AA136</f>
        <v>0</v>
      </c>
    </row>
    <row r="137" spans="1:30" s="46" customFormat="1" ht="12.75" customHeight="1" x14ac:dyDescent="0.2">
      <c r="A137" s="46" t="s">
        <v>160</v>
      </c>
      <c r="B137" s="66"/>
      <c r="C137" s="46" t="s">
        <v>111</v>
      </c>
      <c r="E137" s="44">
        <v>12287188</v>
      </c>
      <c r="F137" s="44"/>
      <c r="G137" s="44">
        <v>0</v>
      </c>
      <c r="H137" s="44"/>
      <c r="I137" s="44">
        <v>2301816</v>
      </c>
      <c r="J137" s="44"/>
      <c r="K137" s="44">
        <v>2463108</v>
      </c>
      <c r="L137" s="44"/>
      <c r="M137" s="44">
        <v>5542878</v>
      </c>
      <c r="N137" s="44"/>
      <c r="O137" s="44">
        <v>295972</v>
      </c>
      <c r="P137" s="44"/>
      <c r="Q137" s="44">
        <v>8793043</v>
      </c>
      <c r="R137" s="44"/>
      <c r="S137" s="44">
        <v>0</v>
      </c>
      <c r="T137" s="44"/>
      <c r="U137" s="44">
        <v>1830059</v>
      </c>
      <c r="V137" s="44"/>
      <c r="W137" s="44">
        <f t="shared" ref="W137" si="7">SUM(E137:U137)</f>
        <v>33514064</v>
      </c>
      <c r="X137" s="44"/>
      <c r="Y137" s="44">
        <v>166687240</v>
      </c>
      <c r="Z137" s="44"/>
      <c r="AA137" s="44">
        <f>+'Stmt net assets'!Y137</f>
        <v>173270538</v>
      </c>
      <c r="AB137" s="44"/>
      <c r="AC137" s="44">
        <f>+Y137+'Stmt of activities-GA rev'!AC136-'Stmt of activities-GAexp'!W137-AA137</f>
        <v>0</v>
      </c>
    </row>
    <row r="138" spans="1:30" s="47" customFormat="1" ht="12.75" customHeight="1" x14ac:dyDescent="0.2">
      <c r="A138" s="47" t="s">
        <v>161</v>
      </c>
      <c r="B138" s="51"/>
      <c r="C138" s="47" t="s">
        <v>15</v>
      </c>
      <c r="E138" s="44">
        <v>11405711</v>
      </c>
      <c r="F138" s="44"/>
      <c r="G138" s="44">
        <v>637525</v>
      </c>
      <c r="H138" s="44"/>
      <c r="I138" s="44">
        <v>3923149</v>
      </c>
      <c r="J138" s="44"/>
      <c r="K138" s="44">
        <f>1019754+182610</f>
        <v>1202364</v>
      </c>
      <c r="L138" s="44"/>
      <c r="M138" s="44">
        <v>3765281</v>
      </c>
      <c r="N138" s="44"/>
      <c r="O138" s="44">
        <v>10077</v>
      </c>
      <c r="P138" s="44"/>
      <c r="Q138" s="44">
        <v>6720984</v>
      </c>
      <c r="R138" s="44"/>
      <c r="S138" s="44">
        <v>0</v>
      </c>
      <c r="T138" s="44"/>
      <c r="U138" s="44">
        <v>1265248</v>
      </c>
      <c r="V138" s="44"/>
      <c r="W138" s="44">
        <f t="shared" ref="W138:W200" si="8">SUM(E138:U138)</f>
        <v>28930339</v>
      </c>
      <c r="X138" s="44"/>
      <c r="Y138" s="44">
        <v>21902195</v>
      </c>
      <c r="Z138" s="44"/>
      <c r="AA138" s="44">
        <f>+'Stmt net assets'!Y138</f>
        <v>20044639</v>
      </c>
      <c r="AB138" s="44"/>
      <c r="AC138" s="44">
        <f>+Y138+'Stmt of activities-GA rev'!AC137-'Stmt of activities-GAexp'!W138-AA138</f>
        <v>0</v>
      </c>
    </row>
    <row r="139" spans="1:30" s="47" customFormat="1" ht="12.75" customHeight="1" x14ac:dyDescent="0.2">
      <c r="A139" s="47" t="s">
        <v>162</v>
      </c>
      <c r="B139" s="51"/>
      <c r="C139" s="47" t="s">
        <v>163</v>
      </c>
      <c r="E139" s="44">
        <v>10641332</v>
      </c>
      <c r="F139" s="44"/>
      <c r="G139" s="44">
        <v>165442</v>
      </c>
      <c r="H139" s="44"/>
      <c r="I139" s="44">
        <v>2270682</v>
      </c>
      <c r="J139" s="44"/>
      <c r="K139" s="44">
        <v>1479142</v>
      </c>
      <c r="L139" s="44"/>
      <c r="M139" s="44">
        <v>2431021</v>
      </c>
      <c r="N139" s="44"/>
      <c r="O139" s="44">
        <v>1204573</v>
      </c>
      <c r="P139" s="44"/>
      <c r="Q139" s="44">
        <v>5473228</v>
      </c>
      <c r="R139" s="44"/>
      <c r="S139" s="44">
        <v>0</v>
      </c>
      <c r="T139" s="44"/>
      <c r="U139" s="44">
        <v>927759</v>
      </c>
      <c r="V139" s="44"/>
      <c r="W139" s="44">
        <f t="shared" si="8"/>
        <v>24593179</v>
      </c>
      <c r="X139" s="44"/>
      <c r="Y139" s="44">
        <v>82461145</v>
      </c>
      <c r="Z139" s="44"/>
      <c r="AA139" s="44">
        <f>+'Stmt net assets'!Y139</f>
        <v>84498137</v>
      </c>
      <c r="AB139" s="44"/>
      <c r="AC139" s="44">
        <f>+Y139+'Stmt of activities-GA rev'!AC139-'Stmt of activities-GAexp'!W139-AA139</f>
        <v>0</v>
      </c>
    </row>
    <row r="140" spans="1:30" s="47" customFormat="1" ht="12.75" customHeight="1" x14ac:dyDescent="0.2">
      <c r="A140" s="47" t="s">
        <v>164</v>
      </c>
      <c r="B140" s="51"/>
      <c r="C140" s="47" t="s">
        <v>27</v>
      </c>
      <c r="E140" s="44">
        <v>11430727</v>
      </c>
      <c r="F140" s="44"/>
      <c r="G140" s="44">
        <v>391154</v>
      </c>
      <c r="H140" s="44"/>
      <c r="I140" s="44">
        <v>1622867</v>
      </c>
      <c r="J140" s="44"/>
      <c r="K140" s="44">
        <v>874086</v>
      </c>
      <c r="L140" s="44"/>
      <c r="M140" s="44">
        <v>4976782</v>
      </c>
      <c r="N140" s="44"/>
      <c r="O140" s="44">
        <v>937839</v>
      </c>
      <c r="P140" s="44"/>
      <c r="Q140" s="44">
        <v>2509031</v>
      </c>
      <c r="R140" s="44"/>
      <c r="S140" s="44">
        <v>0</v>
      </c>
      <c r="T140" s="44"/>
      <c r="U140" s="44">
        <v>40500</v>
      </c>
      <c r="V140" s="44"/>
      <c r="W140" s="44">
        <f t="shared" si="8"/>
        <v>22782986</v>
      </c>
      <c r="X140" s="44"/>
      <c r="Y140" s="44">
        <v>46522132</v>
      </c>
      <c r="Z140" s="44"/>
      <c r="AA140" s="44">
        <f>+'Stmt net assets'!Y140</f>
        <v>46368443</v>
      </c>
      <c r="AB140" s="44"/>
      <c r="AC140" s="44">
        <f>+Y140+'Stmt of activities-GA rev'!AC140-'Stmt of activities-GAexp'!W140-AA140</f>
        <v>0</v>
      </c>
    </row>
    <row r="141" spans="1:30" s="47" customFormat="1" ht="12.75" customHeight="1" x14ac:dyDescent="0.2">
      <c r="A141" s="47" t="s">
        <v>53</v>
      </c>
      <c r="B141" s="51"/>
      <c r="C141" s="47" t="s">
        <v>53</v>
      </c>
      <c r="E141" s="44">
        <v>6944210</v>
      </c>
      <c r="F141" s="44"/>
      <c r="G141" s="44">
        <v>214477</v>
      </c>
      <c r="H141" s="44"/>
      <c r="I141" s="44">
        <v>941561</v>
      </c>
      <c r="J141" s="44"/>
      <c r="K141" s="44">
        <v>659560</v>
      </c>
      <c r="L141" s="44"/>
      <c r="M141" s="44">
        <v>4014456</v>
      </c>
      <c r="N141" s="44"/>
      <c r="O141" s="44">
        <v>62981</v>
      </c>
      <c r="P141" s="44"/>
      <c r="Q141" s="44">
        <v>7567023</v>
      </c>
      <c r="R141" s="44"/>
      <c r="S141" s="44">
        <v>0</v>
      </c>
      <c r="T141" s="44"/>
      <c r="U141" s="44">
        <v>783905</v>
      </c>
      <c r="V141" s="44"/>
      <c r="W141" s="44">
        <f t="shared" si="8"/>
        <v>21188173</v>
      </c>
      <c r="X141" s="44"/>
      <c r="Y141" s="44">
        <v>82150718</v>
      </c>
      <c r="Z141" s="44"/>
      <c r="AA141" s="44">
        <f>+'Stmt net assets'!Y141</f>
        <v>83182946</v>
      </c>
      <c r="AB141" s="44"/>
      <c r="AC141" s="44">
        <f>+Y141+'Stmt of activities-GA rev'!AC141-'Stmt of activities-GAexp'!W141-AA141</f>
        <v>0</v>
      </c>
    </row>
    <row r="142" spans="1:30" s="47" customFormat="1" ht="12.75" customHeight="1" x14ac:dyDescent="0.2">
      <c r="A142" s="47" t="s">
        <v>165</v>
      </c>
      <c r="B142" s="51"/>
      <c r="C142" s="47" t="s">
        <v>92</v>
      </c>
      <c r="E142" s="44">
        <f>12509663+12972637</f>
        <v>25482300</v>
      </c>
      <c r="F142" s="44"/>
      <c r="G142" s="44">
        <v>0</v>
      </c>
      <c r="H142" s="44"/>
      <c r="I142" s="44">
        <v>8142334</v>
      </c>
      <c r="J142" s="44"/>
      <c r="K142" s="44">
        <v>2097528</v>
      </c>
      <c r="L142" s="44"/>
      <c r="M142" s="44">
        <v>14424958</v>
      </c>
      <c r="N142" s="44"/>
      <c r="O142" s="44">
        <v>0</v>
      </c>
      <c r="P142" s="44"/>
      <c r="Q142" s="44">
        <v>7025527</v>
      </c>
      <c r="R142" s="44"/>
      <c r="S142" s="44">
        <v>2020279</v>
      </c>
      <c r="T142" s="44"/>
      <c r="U142" s="44">
        <v>1400501</v>
      </c>
      <c r="V142" s="44"/>
      <c r="W142" s="44">
        <f t="shared" si="8"/>
        <v>60593427</v>
      </c>
      <c r="X142" s="44"/>
      <c r="Y142" s="44">
        <v>187308857</v>
      </c>
      <c r="Z142" s="44"/>
      <c r="AA142" s="44">
        <f>+'Stmt net assets'!Y142</f>
        <v>186027704</v>
      </c>
      <c r="AB142" s="44"/>
      <c r="AC142" s="44">
        <f>+Y142+'Stmt of activities-GA rev'!AC142-'Stmt of activities-GAexp'!W142-AA142</f>
        <v>0</v>
      </c>
    </row>
    <row r="143" spans="1:30" s="47" customFormat="1" ht="12.75" customHeight="1" x14ac:dyDescent="0.2">
      <c r="A143" s="47" t="s">
        <v>166</v>
      </c>
      <c r="B143" s="51"/>
      <c r="C143" s="47" t="s">
        <v>92</v>
      </c>
      <c r="E143" s="44">
        <v>2366545</v>
      </c>
      <c r="F143" s="44"/>
      <c r="G143" s="44">
        <v>59725</v>
      </c>
      <c r="H143" s="44"/>
      <c r="I143" s="44">
        <v>50231</v>
      </c>
      <c r="J143" s="44"/>
      <c r="K143" s="44">
        <v>0</v>
      </c>
      <c r="L143" s="44"/>
      <c r="M143" s="44">
        <v>559784</v>
      </c>
      <c r="N143" s="44"/>
      <c r="O143" s="44">
        <v>440552</v>
      </c>
      <c r="P143" s="44"/>
      <c r="Q143" s="44">
        <v>722275</v>
      </c>
      <c r="R143" s="44"/>
      <c r="S143" s="44">
        <v>12550</v>
      </c>
      <c r="T143" s="44"/>
      <c r="U143" s="44">
        <v>37419</v>
      </c>
      <c r="V143" s="44"/>
      <c r="W143" s="44">
        <f t="shared" si="8"/>
        <v>4249081</v>
      </c>
      <c r="X143" s="44"/>
      <c r="Y143" s="44">
        <v>6428925</v>
      </c>
      <c r="Z143" s="44"/>
      <c r="AA143" s="44">
        <f>+'Stmt net assets'!Y143</f>
        <v>6473466</v>
      </c>
      <c r="AB143" s="44"/>
      <c r="AC143" s="44">
        <f>+Y143+'Stmt of activities-GA rev'!AC143-'Stmt of activities-GAexp'!W143-AA143</f>
        <v>0</v>
      </c>
    </row>
    <row r="144" spans="1:30" s="47" customFormat="1" ht="12.75" customHeight="1" x14ac:dyDescent="0.2">
      <c r="A144" s="47" t="s">
        <v>167</v>
      </c>
      <c r="B144" s="51"/>
      <c r="C144" s="47" t="s">
        <v>66</v>
      </c>
      <c r="E144" s="44">
        <v>9151582</v>
      </c>
      <c r="F144" s="44"/>
      <c r="G144" s="44">
        <v>8702</v>
      </c>
      <c r="H144" s="44"/>
      <c r="I144" s="44">
        <v>2427929</v>
      </c>
      <c r="J144" s="44"/>
      <c r="K144" s="44">
        <v>1012510</v>
      </c>
      <c r="L144" s="44"/>
      <c r="M144" s="44">
        <v>1533720</v>
      </c>
      <c r="N144" s="44"/>
      <c r="O144" s="44">
        <v>1383118</v>
      </c>
      <c r="P144" s="44"/>
      <c r="Q144" s="44">
        <v>5417040</v>
      </c>
      <c r="R144" s="44"/>
      <c r="S144" s="44">
        <v>0</v>
      </c>
      <c r="T144" s="44"/>
      <c r="U144" s="44">
        <v>250567</v>
      </c>
      <c r="V144" s="44"/>
      <c r="W144" s="44">
        <f t="shared" si="8"/>
        <v>21185168</v>
      </c>
      <c r="X144" s="44"/>
      <c r="Y144" s="44">
        <v>46195050</v>
      </c>
      <c r="Z144" s="44"/>
      <c r="AA144" s="44">
        <f>+'Stmt net assets'!Y144</f>
        <v>50648769</v>
      </c>
      <c r="AB144" s="44"/>
      <c r="AC144" s="44">
        <f>+Y144+'Stmt of activities-GA rev'!AC144-'Stmt of activities-GAexp'!W144-AA144</f>
        <v>0</v>
      </c>
    </row>
    <row r="145" spans="1:29" s="47" customFormat="1" ht="12.75" customHeight="1" x14ac:dyDescent="0.2">
      <c r="A145" s="44" t="s">
        <v>168</v>
      </c>
      <c r="B145" s="51"/>
      <c r="C145" s="44" t="s">
        <v>27</v>
      </c>
      <c r="E145" s="44">
        <f>4919272+3801258+58909</f>
        <v>8779439</v>
      </c>
      <c r="F145" s="44"/>
      <c r="G145" s="44">
        <v>330767</v>
      </c>
      <c r="H145" s="44"/>
      <c r="I145" s="44">
        <v>3176067</v>
      </c>
      <c r="J145" s="44"/>
      <c r="K145" s="44">
        <f>534590+305201</f>
        <v>839791</v>
      </c>
      <c r="L145" s="44"/>
      <c r="M145" s="44">
        <v>2786636</v>
      </c>
      <c r="N145" s="44"/>
      <c r="O145" s="44">
        <v>1091845</v>
      </c>
      <c r="P145" s="44"/>
      <c r="Q145" s="44">
        <v>7186714</v>
      </c>
      <c r="R145" s="44"/>
      <c r="S145" s="44">
        <v>0</v>
      </c>
      <c r="T145" s="44"/>
      <c r="U145" s="44">
        <v>457423</v>
      </c>
      <c r="V145" s="44"/>
      <c r="W145" s="44">
        <f t="shared" si="8"/>
        <v>24648682</v>
      </c>
      <c r="X145" s="44"/>
      <c r="Y145" s="44">
        <v>55092564</v>
      </c>
      <c r="Z145" s="44"/>
      <c r="AA145" s="44">
        <f>+'Stmt net assets'!Y145</f>
        <v>56814522</v>
      </c>
      <c r="AB145" s="44"/>
      <c r="AC145" s="44">
        <f>+Y145+'Stmt of activities-GA rev'!AC145-'Stmt of activities-GAexp'!W145-AA145</f>
        <v>0</v>
      </c>
    </row>
    <row r="146" spans="1:29" s="47" customFormat="1" ht="12.75" customHeight="1" x14ac:dyDescent="0.2">
      <c r="A146" s="47" t="s">
        <v>169</v>
      </c>
      <c r="B146" s="51"/>
      <c r="C146" s="47" t="s">
        <v>103</v>
      </c>
      <c r="E146" s="44">
        <v>24646195</v>
      </c>
      <c r="F146" s="44"/>
      <c r="G146" s="44">
        <v>781084</v>
      </c>
      <c r="H146" s="44"/>
      <c r="I146" s="44">
        <v>1163908</v>
      </c>
      <c r="J146" s="44"/>
      <c r="K146" s="44">
        <v>16739077</v>
      </c>
      <c r="L146" s="44"/>
      <c r="M146" s="44">
        <v>8564467</v>
      </c>
      <c r="N146" s="44"/>
      <c r="O146" s="44">
        <v>0</v>
      </c>
      <c r="P146" s="44"/>
      <c r="Q146" s="44">
        <v>6364254</v>
      </c>
      <c r="R146" s="44"/>
      <c r="S146" s="44">
        <v>0</v>
      </c>
      <c r="T146" s="44"/>
      <c r="U146" s="44">
        <v>1462969</v>
      </c>
      <c r="V146" s="44"/>
      <c r="W146" s="44">
        <f t="shared" si="8"/>
        <v>59721954</v>
      </c>
      <c r="X146" s="44"/>
      <c r="Y146" s="44">
        <v>102367011</v>
      </c>
      <c r="Z146" s="44"/>
      <c r="AA146" s="44">
        <f>+'Stmt net assets'!Y146</f>
        <v>97587543</v>
      </c>
      <c r="AB146" s="44"/>
      <c r="AC146" s="44">
        <f>+Y146+'Stmt of activities-GA rev'!AC146-'Stmt of activities-GAexp'!W146-AA146</f>
        <v>0</v>
      </c>
    </row>
    <row r="147" spans="1:29" s="47" customFormat="1" ht="12.75" customHeight="1" x14ac:dyDescent="0.2">
      <c r="A147" s="47" t="s">
        <v>170</v>
      </c>
      <c r="B147" s="51"/>
      <c r="C147" s="47" t="s">
        <v>171</v>
      </c>
      <c r="E147" s="44">
        <v>3965074</v>
      </c>
      <c r="F147" s="44"/>
      <c r="G147" s="44">
        <v>508187</v>
      </c>
      <c r="H147" s="44"/>
      <c r="I147" s="44">
        <v>141168</v>
      </c>
      <c r="J147" s="44"/>
      <c r="K147" s="44">
        <v>0</v>
      </c>
      <c r="L147" s="44"/>
      <c r="M147" s="44">
        <v>743375</v>
      </c>
      <c r="N147" s="44"/>
      <c r="O147" s="44">
        <v>0</v>
      </c>
      <c r="P147" s="44"/>
      <c r="Q147" s="44">
        <v>1244395</v>
      </c>
      <c r="R147" s="44"/>
      <c r="S147" s="44">
        <v>1147409</v>
      </c>
      <c r="T147" s="44"/>
      <c r="U147" s="44">
        <v>150149</v>
      </c>
      <c r="V147" s="44"/>
      <c r="W147" s="44">
        <f t="shared" si="8"/>
        <v>7899757</v>
      </c>
      <c r="X147" s="44"/>
      <c r="Y147" s="44">
        <v>10713638</v>
      </c>
      <c r="Z147" s="44"/>
      <c r="AA147" s="44">
        <f>+'Stmt net assets'!Y147</f>
        <v>10436547</v>
      </c>
      <c r="AB147" s="44"/>
      <c r="AC147" s="44">
        <f>+Y147+'Stmt of activities-GA rev'!AC147-'Stmt of activities-GAexp'!W147-AA147</f>
        <v>0</v>
      </c>
    </row>
    <row r="148" spans="1:29" s="47" customFormat="1" ht="12.75" customHeight="1" x14ac:dyDescent="0.2">
      <c r="A148" s="47" t="s">
        <v>172</v>
      </c>
      <c r="B148" s="51"/>
      <c r="C148" s="47" t="s">
        <v>103</v>
      </c>
      <c r="E148" s="44">
        <v>7437553</v>
      </c>
      <c r="F148" s="44"/>
      <c r="G148" s="44">
        <v>0</v>
      </c>
      <c r="H148" s="44"/>
      <c r="I148" s="44">
        <v>265705</v>
      </c>
      <c r="J148" s="44"/>
      <c r="K148" s="44">
        <v>0</v>
      </c>
      <c r="L148" s="44"/>
      <c r="M148" s="44">
        <v>2839671</v>
      </c>
      <c r="N148" s="44"/>
      <c r="O148" s="44">
        <v>0</v>
      </c>
      <c r="P148" s="44"/>
      <c r="Q148" s="44">
        <v>4936519</v>
      </c>
      <c r="R148" s="44"/>
      <c r="S148" s="44">
        <v>0</v>
      </c>
      <c r="T148" s="44"/>
      <c r="U148" s="44">
        <v>548108</v>
      </c>
      <c r="V148" s="44"/>
      <c r="W148" s="44">
        <f t="shared" si="8"/>
        <v>16027556</v>
      </c>
      <c r="X148" s="44"/>
      <c r="Y148" s="44">
        <v>71415274</v>
      </c>
      <c r="Z148" s="44"/>
      <c r="AA148" s="44">
        <f>+'Stmt net assets'!Y148</f>
        <v>71370349</v>
      </c>
      <c r="AB148" s="44"/>
      <c r="AC148" s="44">
        <f>+Y148+'Stmt of activities-GA rev'!AC148-'Stmt of activities-GAexp'!W148-AA148</f>
        <v>0</v>
      </c>
    </row>
    <row r="149" spans="1:29" s="47" customFormat="1" ht="12.75" customHeight="1" x14ac:dyDescent="0.2">
      <c r="A149" s="47" t="s">
        <v>66</v>
      </c>
      <c r="B149" s="51"/>
      <c r="C149" s="47" t="s">
        <v>45</v>
      </c>
      <c r="E149" s="44">
        <v>6016951</v>
      </c>
      <c r="F149" s="44"/>
      <c r="G149" s="44">
        <v>0</v>
      </c>
      <c r="H149" s="44"/>
      <c r="I149" s="44">
        <v>1375420</v>
      </c>
      <c r="J149" s="44"/>
      <c r="K149" s="44">
        <v>483968</v>
      </c>
      <c r="L149" s="44"/>
      <c r="M149" s="44">
        <v>2322822</v>
      </c>
      <c r="N149" s="44"/>
      <c r="O149" s="44">
        <v>0</v>
      </c>
      <c r="P149" s="44"/>
      <c r="Q149" s="44">
        <v>4396020</v>
      </c>
      <c r="R149" s="44"/>
      <c r="S149" s="44">
        <v>0</v>
      </c>
      <c r="T149" s="44"/>
      <c r="U149" s="44">
        <v>173463</v>
      </c>
      <c r="V149" s="44"/>
      <c r="W149" s="44">
        <f t="shared" si="8"/>
        <v>14768644</v>
      </c>
      <c r="X149" s="44"/>
      <c r="Y149" s="44">
        <v>67193066</v>
      </c>
      <c r="Z149" s="44"/>
      <c r="AA149" s="44">
        <f>+'Stmt net assets'!Y149</f>
        <v>68589815</v>
      </c>
      <c r="AB149" s="44"/>
      <c r="AC149" s="44">
        <f>+Y149+'Stmt of activities-GA rev'!AC149-'Stmt of activities-GAexp'!W149-AA149</f>
        <v>0</v>
      </c>
    </row>
    <row r="150" spans="1:29" s="47" customFormat="1" ht="12.75" customHeight="1" x14ac:dyDescent="0.2">
      <c r="A150" s="47" t="s">
        <v>173</v>
      </c>
      <c r="B150" s="51"/>
      <c r="C150" s="47" t="s">
        <v>66</v>
      </c>
      <c r="E150" s="44">
        <v>8852361</v>
      </c>
      <c r="F150" s="44"/>
      <c r="G150" s="44">
        <v>85524</v>
      </c>
      <c r="H150" s="44"/>
      <c r="I150" s="44">
        <v>1113466</v>
      </c>
      <c r="J150" s="44"/>
      <c r="K150" s="44">
        <v>365987</v>
      </c>
      <c r="L150" s="44"/>
      <c r="M150" s="44">
        <v>3638054</v>
      </c>
      <c r="N150" s="44"/>
      <c r="O150" s="44">
        <v>284131</v>
      </c>
      <c r="P150" s="44"/>
      <c r="Q150" s="44">
        <v>3452685</v>
      </c>
      <c r="R150" s="44"/>
      <c r="S150" s="44">
        <v>0</v>
      </c>
      <c r="T150" s="44"/>
      <c r="U150" s="44">
        <v>309524</v>
      </c>
      <c r="V150" s="44"/>
      <c r="W150" s="44">
        <f t="shared" si="8"/>
        <v>18101732</v>
      </c>
      <c r="X150" s="44"/>
      <c r="Y150" s="44">
        <v>44401195</v>
      </c>
      <c r="Z150" s="44"/>
      <c r="AA150" s="44">
        <f>+'Stmt net assets'!Y150</f>
        <v>41316102</v>
      </c>
      <c r="AB150" s="44"/>
      <c r="AC150" s="44">
        <f>+Y150+'Stmt of activities-GA rev'!AC150-'Stmt of activities-GAexp'!W150-AA150</f>
        <v>0</v>
      </c>
    </row>
    <row r="151" spans="1:29" s="47" customFormat="1" ht="12.75" customHeight="1" x14ac:dyDescent="0.2">
      <c r="A151" s="47" t="s">
        <v>174</v>
      </c>
      <c r="B151" s="51"/>
      <c r="C151" s="47" t="s">
        <v>45</v>
      </c>
      <c r="E151" s="44">
        <v>1766095</v>
      </c>
      <c r="F151" s="44"/>
      <c r="G151" s="44">
        <v>0</v>
      </c>
      <c r="H151" s="44"/>
      <c r="I151" s="44">
        <v>204999</v>
      </c>
      <c r="J151" s="44"/>
      <c r="K151" s="44">
        <v>116668</v>
      </c>
      <c r="L151" s="44"/>
      <c r="M151" s="44">
        <f>623844+472406</f>
        <v>1096250</v>
      </c>
      <c r="N151" s="44"/>
      <c r="O151" s="44">
        <v>0</v>
      </c>
      <c r="P151" s="44"/>
      <c r="Q151" s="44">
        <v>621843</v>
      </c>
      <c r="R151" s="44"/>
      <c r="S151" s="44">
        <v>0</v>
      </c>
      <c r="T151" s="44"/>
      <c r="U151" s="44">
        <v>89954</v>
      </c>
      <c r="V151" s="44"/>
      <c r="W151" s="44">
        <f t="shared" si="8"/>
        <v>3895809</v>
      </c>
      <c r="X151" s="44"/>
      <c r="Y151" s="44">
        <v>2672188</v>
      </c>
      <c r="Z151" s="44"/>
      <c r="AA151" s="44">
        <f>+'Stmt net assets'!Y151</f>
        <v>3268613</v>
      </c>
      <c r="AB151" s="44"/>
      <c r="AC151" s="44">
        <f>+Y151+'Stmt of activities-GA rev'!AC151-'Stmt of activities-GAexp'!W151-AA151</f>
        <v>0</v>
      </c>
    </row>
    <row r="152" spans="1:29" s="47" customFormat="1" ht="12.75" customHeight="1" x14ac:dyDescent="0.2">
      <c r="A152" s="47" t="s">
        <v>175</v>
      </c>
      <c r="B152" s="51"/>
      <c r="C152" s="47" t="s">
        <v>176</v>
      </c>
      <c r="E152" s="44">
        <v>6372507</v>
      </c>
      <c r="F152" s="44"/>
      <c r="G152" s="44">
        <v>709622</v>
      </c>
      <c r="H152" s="44"/>
      <c r="I152" s="44">
        <v>1143295</v>
      </c>
      <c r="J152" s="44"/>
      <c r="K152" s="44">
        <v>591187</v>
      </c>
      <c r="L152" s="44"/>
      <c r="M152" s="44">
        <v>4440371</v>
      </c>
      <c r="N152" s="44"/>
      <c r="O152" s="44">
        <v>0</v>
      </c>
      <c r="P152" s="44"/>
      <c r="Q152" s="44">
        <v>4188865</v>
      </c>
      <c r="R152" s="44"/>
      <c r="S152" s="44">
        <v>0</v>
      </c>
      <c r="T152" s="44"/>
      <c r="U152" s="44">
        <v>287411</v>
      </c>
      <c r="V152" s="44"/>
      <c r="W152" s="44">
        <f t="shared" si="8"/>
        <v>17733258</v>
      </c>
      <c r="X152" s="44"/>
      <c r="Y152" s="44">
        <v>49515108</v>
      </c>
      <c r="Z152" s="44"/>
      <c r="AA152" s="44">
        <f>+'Stmt net assets'!Y152</f>
        <v>47317909</v>
      </c>
      <c r="AB152" s="44"/>
      <c r="AC152" s="44">
        <f>+Y152+'Stmt of activities-GA rev'!AC152-'Stmt of activities-GAexp'!W152-AA152</f>
        <v>0</v>
      </c>
    </row>
    <row r="153" spans="1:29" s="47" customFormat="1" ht="12.75" customHeight="1" x14ac:dyDescent="0.2">
      <c r="A153" s="47" t="s">
        <v>177</v>
      </c>
      <c r="B153" s="51"/>
      <c r="C153" s="47" t="s">
        <v>13</v>
      </c>
      <c r="E153" s="44">
        <v>1640682</v>
      </c>
      <c r="F153" s="44"/>
      <c r="G153" s="44">
        <v>39735</v>
      </c>
      <c r="H153" s="44"/>
      <c r="I153" s="44">
        <v>88208</v>
      </c>
      <c r="J153" s="44"/>
      <c r="K153" s="44">
        <v>0</v>
      </c>
      <c r="L153" s="44"/>
      <c r="M153" s="44">
        <v>407925</v>
      </c>
      <c r="N153" s="44"/>
      <c r="O153" s="44">
        <v>0</v>
      </c>
      <c r="P153" s="44"/>
      <c r="Q153" s="44">
        <v>774472</v>
      </c>
      <c r="R153" s="44"/>
      <c r="S153" s="44">
        <v>0</v>
      </c>
      <c r="T153" s="44"/>
      <c r="U153" s="44">
        <v>107463</v>
      </c>
      <c r="V153" s="44"/>
      <c r="W153" s="44">
        <f t="shared" si="8"/>
        <v>3058485</v>
      </c>
      <c r="X153" s="44"/>
      <c r="Y153" s="44">
        <v>9291489</v>
      </c>
      <c r="Z153" s="44"/>
      <c r="AA153" s="44">
        <f>+'Stmt net assets'!Y153</f>
        <v>9535880</v>
      </c>
      <c r="AB153" s="44"/>
      <c r="AC153" s="44">
        <f>+Y153+'Stmt of activities-GA rev'!AC153-'Stmt of activities-GAexp'!W153-AA153</f>
        <v>0</v>
      </c>
    </row>
    <row r="154" spans="1:29" s="47" customFormat="1" ht="12.75" customHeight="1" x14ac:dyDescent="0.2">
      <c r="A154" s="47" t="s">
        <v>178</v>
      </c>
      <c r="B154" s="51"/>
      <c r="C154" s="47" t="s">
        <v>179</v>
      </c>
      <c r="E154" s="44">
        <v>3318795</v>
      </c>
      <c r="F154" s="44"/>
      <c r="G154" s="44">
        <v>123641</v>
      </c>
      <c r="H154" s="44"/>
      <c r="I154" s="44">
        <v>868775</v>
      </c>
      <c r="J154" s="44"/>
      <c r="K154" s="44">
        <v>1263518</v>
      </c>
      <c r="L154" s="44"/>
      <c r="M154" s="44">
        <v>760223</v>
      </c>
      <c r="N154" s="44"/>
      <c r="O154" s="44">
        <v>0</v>
      </c>
      <c r="P154" s="44"/>
      <c r="Q154" s="44">
        <v>1086864</v>
      </c>
      <c r="R154" s="44"/>
      <c r="S154" s="44">
        <v>0</v>
      </c>
      <c r="T154" s="44"/>
      <c r="U154" s="44">
        <v>96494</v>
      </c>
      <c r="V154" s="44"/>
      <c r="W154" s="44">
        <f t="shared" si="8"/>
        <v>7518310</v>
      </c>
      <c r="X154" s="44"/>
      <c r="Y154" s="44">
        <v>35717476</v>
      </c>
      <c r="Z154" s="44"/>
      <c r="AA154" s="44">
        <f>+'Stmt net assets'!Y154</f>
        <v>35526516</v>
      </c>
      <c r="AB154" s="44"/>
      <c r="AC154" s="44">
        <f>+Y154+'Stmt of activities-GA rev'!AC154-'Stmt of activities-GAexp'!W154-AA154</f>
        <v>0</v>
      </c>
    </row>
    <row r="155" spans="1:29" s="47" customFormat="1" ht="12.75" customHeight="1" x14ac:dyDescent="0.2">
      <c r="A155" s="47" t="s">
        <v>180</v>
      </c>
      <c r="B155" s="51"/>
      <c r="C155" s="47" t="s">
        <v>20</v>
      </c>
      <c r="E155" s="44">
        <f>828798+423065</f>
        <v>1251863</v>
      </c>
      <c r="F155" s="44"/>
      <c r="G155" s="44">
        <v>0</v>
      </c>
      <c r="H155" s="44"/>
      <c r="I155" s="44">
        <v>141900</v>
      </c>
      <c r="J155" s="44"/>
      <c r="K155" s="44">
        <v>194617</v>
      </c>
      <c r="L155" s="44"/>
      <c r="M155" s="44">
        <v>353206</v>
      </c>
      <c r="N155" s="44"/>
      <c r="O155" s="44">
        <v>0</v>
      </c>
      <c r="P155" s="44"/>
      <c r="Q155" s="44">
        <v>560003</v>
      </c>
      <c r="R155" s="44"/>
      <c r="S155" s="44">
        <v>0</v>
      </c>
      <c r="T155" s="44"/>
      <c r="U155" s="44">
        <v>23981</v>
      </c>
      <c r="V155" s="44"/>
      <c r="W155" s="44">
        <f t="shared" si="8"/>
        <v>2525570</v>
      </c>
      <c r="X155" s="44"/>
      <c r="Y155" s="44">
        <v>14081183</v>
      </c>
      <c r="Z155" s="44"/>
      <c r="AA155" s="44">
        <f>+'Stmt net assets'!Y155</f>
        <v>14774077</v>
      </c>
      <c r="AB155" s="44"/>
      <c r="AC155" s="44">
        <f>+Y155+'Stmt of activities-GA rev'!AC155-'Stmt of activities-GAexp'!W155-AA155</f>
        <v>0</v>
      </c>
    </row>
    <row r="156" spans="1:29" s="47" customFormat="1" ht="12.75" customHeight="1" x14ac:dyDescent="0.2">
      <c r="A156" s="44" t="s">
        <v>508</v>
      </c>
      <c r="C156" s="44" t="s">
        <v>43</v>
      </c>
      <c r="E156" s="44">
        <v>2902235</v>
      </c>
      <c r="F156" s="44"/>
      <c r="G156" s="44">
        <v>0</v>
      </c>
      <c r="H156" s="44"/>
      <c r="I156" s="44">
        <v>0</v>
      </c>
      <c r="J156" s="44"/>
      <c r="K156" s="44">
        <f>1458911+9848593</f>
        <v>11307504</v>
      </c>
      <c r="L156" s="44"/>
      <c r="M156" s="44">
        <v>4982575</v>
      </c>
      <c r="N156" s="44"/>
      <c r="O156" s="44">
        <v>0</v>
      </c>
      <c r="P156" s="44"/>
      <c r="Q156" s="44">
        <v>4637155</v>
      </c>
      <c r="R156" s="44"/>
      <c r="S156" s="44">
        <v>0</v>
      </c>
      <c r="T156" s="44"/>
      <c r="U156" s="44">
        <v>1514924</v>
      </c>
      <c r="V156" s="44"/>
      <c r="W156" s="44">
        <f t="shared" si="8"/>
        <v>25344393</v>
      </c>
      <c r="X156" s="44"/>
      <c r="Y156" s="44">
        <v>90120810</v>
      </c>
      <c r="Z156" s="44"/>
      <c r="AA156" s="44">
        <f>+'Stmt net assets'!Y156</f>
        <v>99198861</v>
      </c>
      <c r="AB156" s="44"/>
      <c r="AC156" s="44">
        <f>+Y156+'Stmt of activities-GA rev'!AC156-'Stmt of activities-GAexp'!W156-AA156</f>
        <v>0</v>
      </c>
    </row>
    <row r="157" spans="1:29" s="47" customFormat="1" ht="12.75" customHeight="1" x14ac:dyDescent="0.2">
      <c r="A157" s="47" t="s">
        <v>182</v>
      </c>
      <c r="B157" s="51"/>
      <c r="C157" s="47" t="s">
        <v>183</v>
      </c>
      <c r="E157" s="44">
        <v>633360</v>
      </c>
      <c r="F157" s="44"/>
      <c r="G157" s="44">
        <v>808428</v>
      </c>
      <c r="H157" s="44"/>
      <c r="I157" s="44">
        <v>75282</v>
      </c>
      <c r="J157" s="44"/>
      <c r="K157" s="44">
        <v>44552</v>
      </c>
      <c r="L157" s="44"/>
      <c r="M157" s="44">
        <v>317582</v>
      </c>
      <c r="N157" s="44"/>
      <c r="O157" s="44">
        <v>0</v>
      </c>
      <c r="P157" s="44"/>
      <c r="Q157" s="44">
        <v>716681</v>
      </c>
      <c r="R157" s="44"/>
      <c r="S157" s="44">
        <v>0</v>
      </c>
      <c r="T157" s="44"/>
      <c r="U157" s="44">
        <v>129668</v>
      </c>
      <c r="V157" s="44"/>
      <c r="W157" s="44">
        <f t="shared" si="8"/>
        <v>2725553</v>
      </c>
      <c r="X157" s="44"/>
      <c r="Y157" s="44">
        <v>4995626</v>
      </c>
      <c r="Z157" s="44"/>
      <c r="AA157" s="44">
        <f>+'Stmt net assets'!Y157</f>
        <v>5478023</v>
      </c>
      <c r="AB157" s="44"/>
      <c r="AC157" s="44">
        <f>+Y157+'Stmt of activities-GA rev'!AC157-'Stmt of activities-GAexp'!W157-AA157</f>
        <v>0</v>
      </c>
    </row>
    <row r="158" spans="1:29" s="47" customFormat="1" ht="12.75" customHeight="1" x14ac:dyDescent="0.2">
      <c r="A158" s="47" t="s">
        <v>487</v>
      </c>
      <c r="B158" s="51"/>
      <c r="C158" s="47" t="s">
        <v>13</v>
      </c>
      <c r="E158" s="44">
        <v>4182647</v>
      </c>
      <c r="F158" s="44"/>
      <c r="G158" s="44">
        <v>124424</v>
      </c>
      <c r="H158" s="44"/>
      <c r="I158" s="44">
        <v>30678</v>
      </c>
      <c r="J158" s="44"/>
      <c r="K158" s="44">
        <v>121733</v>
      </c>
      <c r="L158" s="44"/>
      <c r="M158" s="44">
        <v>1681843</v>
      </c>
      <c r="N158" s="44"/>
      <c r="O158" s="44">
        <v>0</v>
      </c>
      <c r="P158" s="44"/>
      <c r="Q158" s="44">
        <v>906209</v>
      </c>
      <c r="R158" s="44"/>
      <c r="S158" s="44">
        <v>0</v>
      </c>
      <c r="T158" s="44"/>
      <c r="U158" s="44">
        <v>3888</v>
      </c>
      <c r="V158" s="44"/>
      <c r="W158" s="44">
        <f t="shared" si="8"/>
        <v>7051422</v>
      </c>
      <c r="X158" s="44"/>
      <c r="Y158" s="44">
        <v>8811893</v>
      </c>
      <c r="Z158" s="44"/>
      <c r="AA158" s="44">
        <f>+'Stmt net assets'!Y158</f>
        <v>8938481</v>
      </c>
      <c r="AB158" s="44"/>
      <c r="AC158" s="44">
        <f>+Y158+'Stmt of activities-GA rev'!AC158-'Stmt of activities-GAexp'!W158-AA158</f>
        <v>0</v>
      </c>
    </row>
    <row r="159" spans="1:29" s="47" customFormat="1" ht="12.75" customHeight="1" x14ac:dyDescent="0.2">
      <c r="A159" s="47" t="s">
        <v>184</v>
      </c>
      <c r="B159" s="51"/>
      <c r="C159" s="47" t="s">
        <v>89</v>
      </c>
      <c r="E159" s="44">
        <v>5068390</v>
      </c>
      <c r="F159" s="44"/>
      <c r="G159" s="44">
        <v>746118</v>
      </c>
      <c r="H159" s="44"/>
      <c r="I159" s="44">
        <v>1063691</v>
      </c>
      <c r="J159" s="44"/>
      <c r="K159" s="44">
        <v>579568</v>
      </c>
      <c r="L159" s="44"/>
      <c r="M159" s="44">
        <v>2420389</v>
      </c>
      <c r="N159" s="44"/>
      <c r="O159" s="44">
        <v>0</v>
      </c>
      <c r="P159" s="44"/>
      <c r="Q159" s="44">
        <v>3545731</v>
      </c>
      <c r="R159" s="44"/>
      <c r="S159" s="44">
        <v>0</v>
      </c>
      <c r="T159" s="44"/>
      <c r="U159" s="44">
        <v>87879</v>
      </c>
      <c r="V159" s="44"/>
      <c r="W159" s="44">
        <f t="shared" si="8"/>
        <v>13511766</v>
      </c>
      <c r="X159" s="44"/>
      <c r="Y159" s="44">
        <v>32715157</v>
      </c>
      <c r="Z159" s="44"/>
      <c r="AA159" s="44">
        <f>+'Stmt net assets'!Y159</f>
        <v>33625661</v>
      </c>
      <c r="AB159" s="44"/>
      <c r="AC159" s="44">
        <f>+Y159+'Stmt of activities-GA rev'!AC159-'Stmt of activities-GAexp'!W159-AA159</f>
        <v>0</v>
      </c>
    </row>
    <row r="160" spans="1:29" s="47" customFormat="1" ht="12.75" customHeight="1" x14ac:dyDescent="0.2">
      <c r="A160" s="47" t="s">
        <v>181</v>
      </c>
      <c r="B160" s="51"/>
      <c r="C160" s="47" t="s">
        <v>125</v>
      </c>
      <c r="E160" s="44">
        <v>17438065</v>
      </c>
      <c r="F160" s="44"/>
      <c r="G160" s="44">
        <v>217140</v>
      </c>
      <c r="H160" s="44"/>
      <c r="I160" s="44">
        <v>0</v>
      </c>
      <c r="J160" s="44"/>
      <c r="K160" s="44">
        <v>1958987</v>
      </c>
      <c r="L160" s="44"/>
      <c r="M160" s="44">
        <v>5364963</v>
      </c>
      <c r="N160" s="44"/>
      <c r="O160" s="44">
        <v>0</v>
      </c>
      <c r="P160" s="44"/>
      <c r="Q160" s="44">
        <v>10843803</v>
      </c>
      <c r="R160" s="44"/>
      <c r="S160" s="44">
        <v>0</v>
      </c>
      <c r="T160" s="44"/>
      <c r="U160" s="44">
        <v>757878</v>
      </c>
      <c r="V160" s="44"/>
      <c r="W160" s="44">
        <f t="shared" si="8"/>
        <v>36580836</v>
      </c>
      <c r="X160" s="44"/>
      <c r="Y160" s="44">
        <v>53710503</v>
      </c>
      <c r="Z160" s="44"/>
      <c r="AA160" s="44">
        <f>+'Stmt net assets'!Y160</f>
        <v>58672969</v>
      </c>
      <c r="AB160" s="44"/>
      <c r="AC160" s="44">
        <f>+Y160+'Stmt of activities-GA rev'!AC160-'Stmt of activities-GAexp'!W160-AA160</f>
        <v>0</v>
      </c>
    </row>
    <row r="161" spans="1:30" s="47" customFormat="1" ht="12.75" customHeight="1" x14ac:dyDescent="0.2">
      <c r="A161" s="47" t="s">
        <v>185</v>
      </c>
      <c r="B161" s="51"/>
      <c r="C161" s="47" t="s">
        <v>80</v>
      </c>
      <c r="E161" s="44">
        <v>8446459</v>
      </c>
      <c r="F161" s="44"/>
      <c r="G161" s="44">
        <v>617774</v>
      </c>
      <c r="H161" s="44"/>
      <c r="I161" s="44">
        <v>517727</v>
      </c>
      <c r="J161" s="44"/>
      <c r="K161" s="44">
        <v>778623</v>
      </c>
      <c r="L161" s="44"/>
      <c r="M161" s="44">
        <v>1457192</v>
      </c>
      <c r="N161" s="44"/>
      <c r="O161" s="44">
        <v>0</v>
      </c>
      <c r="P161" s="44"/>
      <c r="Q161" s="44">
        <v>2094252</v>
      </c>
      <c r="R161" s="44"/>
      <c r="S161" s="44">
        <v>141712</v>
      </c>
      <c r="T161" s="44"/>
      <c r="U161" s="44">
        <v>61261</v>
      </c>
      <c r="V161" s="44"/>
      <c r="W161" s="44">
        <f t="shared" si="8"/>
        <v>14115000</v>
      </c>
      <c r="X161" s="44"/>
      <c r="Y161" s="44">
        <v>27250011</v>
      </c>
      <c r="Z161" s="44"/>
      <c r="AA161" s="44">
        <f>+'Stmt net assets'!Y161</f>
        <v>27042015</v>
      </c>
      <c r="AB161" s="44"/>
      <c r="AC161" s="44">
        <f>+Y161+'Stmt of activities-GA rev'!AC161-'Stmt of activities-GAexp'!W161-AA161</f>
        <v>0</v>
      </c>
    </row>
    <row r="162" spans="1:30" s="47" customFormat="1" ht="12.75" customHeight="1" x14ac:dyDescent="0.2">
      <c r="A162" s="44" t="s">
        <v>186</v>
      </c>
      <c r="B162" s="44"/>
      <c r="C162" s="44" t="s">
        <v>15</v>
      </c>
      <c r="D162" s="44"/>
      <c r="E162" s="44">
        <f>3027294+797998</f>
        <v>3825292</v>
      </c>
      <c r="F162" s="44"/>
      <c r="G162" s="44">
        <v>1657395</v>
      </c>
      <c r="H162" s="44"/>
      <c r="I162" s="44">
        <v>808252</v>
      </c>
      <c r="J162" s="44"/>
      <c r="K162" s="44">
        <v>404088</v>
      </c>
      <c r="L162" s="44"/>
      <c r="M162" s="44">
        <v>2403339</v>
      </c>
      <c r="N162" s="44"/>
      <c r="O162" s="44">
        <v>672814</v>
      </c>
      <c r="P162" s="44"/>
      <c r="Q162" s="44">
        <v>1864969</v>
      </c>
      <c r="R162" s="44"/>
      <c r="S162" s="44">
        <v>0</v>
      </c>
      <c r="T162" s="44"/>
      <c r="U162" s="44">
        <v>88795</v>
      </c>
      <c r="V162" s="44"/>
      <c r="W162" s="44">
        <f t="shared" si="8"/>
        <v>11724944</v>
      </c>
      <c r="X162" s="44"/>
      <c r="Y162" s="44">
        <v>33899259</v>
      </c>
      <c r="Z162" s="44"/>
      <c r="AA162" s="44">
        <f>+'Stmt net assets'!Y162</f>
        <v>36489209</v>
      </c>
      <c r="AB162" s="44"/>
      <c r="AC162" s="44">
        <f>+Y162+'Stmt of activities-GA rev'!AC162-'Stmt of activities-GAexp'!W162-AA162</f>
        <v>0</v>
      </c>
    </row>
    <row r="163" spans="1:30" s="44" customFormat="1" ht="12.75" customHeight="1" x14ac:dyDescent="0.2">
      <c r="A163" s="44" t="s">
        <v>187</v>
      </c>
      <c r="B163" s="65"/>
      <c r="C163" s="44" t="s">
        <v>27</v>
      </c>
      <c r="E163" s="44">
        <v>11367748</v>
      </c>
      <c r="G163" s="44">
        <v>489183</v>
      </c>
      <c r="I163" s="44">
        <v>2414279</v>
      </c>
      <c r="K163" s="44">
        <v>432497</v>
      </c>
      <c r="M163" s="44">
        <v>10125472</v>
      </c>
      <c r="O163" s="44">
        <v>2306879</v>
      </c>
      <c r="Q163" s="44">
        <v>3582339</v>
      </c>
      <c r="S163" s="44">
        <v>0</v>
      </c>
      <c r="U163" s="44">
        <v>1370320</v>
      </c>
      <c r="W163" s="44">
        <f t="shared" si="8"/>
        <v>32088717</v>
      </c>
      <c r="Y163" s="44">
        <v>54707562</v>
      </c>
      <c r="AA163" s="44">
        <f>+'Stmt net assets'!Y163</f>
        <v>55401619</v>
      </c>
      <c r="AC163" s="44">
        <f>+Y163+'Stmt of activities-GA rev'!AC163-'Stmt of activities-GAexp'!W163-AA163</f>
        <v>0</v>
      </c>
    </row>
    <row r="164" spans="1:30" s="47" customFormat="1" ht="12.75" customHeight="1" x14ac:dyDescent="0.2">
      <c r="A164" s="47" t="s">
        <v>189</v>
      </c>
      <c r="B164" s="51"/>
      <c r="C164" s="47" t="s">
        <v>17</v>
      </c>
      <c r="E164" s="44">
        <v>9699133</v>
      </c>
      <c r="F164" s="44"/>
      <c r="G164" s="44">
        <v>550435</v>
      </c>
      <c r="H164" s="44"/>
      <c r="I164" s="44">
        <v>390554</v>
      </c>
      <c r="J164" s="44"/>
      <c r="K164" s="44">
        <v>1593165</v>
      </c>
      <c r="L164" s="44"/>
      <c r="M164" s="44">
        <v>6125333</v>
      </c>
      <c r="N164" s="44"/>
      <c r="O164" s="44">
        <v>0</v>
      </c>
      <c r="P164" s="44"/>
      <c r="Q164" s="44">
        <v>6308755</v>
      </c>
      <c r="R164" s="44"/>
      <c r="S164" s="44">
        <v>0</v>
      </c>
      <c r="T164" s="44"/>
      <c r="U164" s="44">
        <v>260588</v>
      </c>
      <c r="V164" s="44"/>
      <c r="W164" s="44">
        <f t="shared" si="8"/>
        <v>24927963</v>
      </c>
      <c r="X164" s="44"/>
      <c r="Y164" s="44">
        <v>63758850</v>
      </c>
      <c r="Z164" s="44"/>
      <c r="AA164" s="44">
        <f>+'Stmt net assets'!Y164</f>
        <v>64968470</v>
      </c>
      <c r="AB164" s="44"/>
      <c r="AC164" s="44">
        <f>+Y164+'Stmt of activities-GA rev'!AC164-'Stmt of activities-GAexp'!W164-AA164</f>
        <v>0</v>
      </c>
    </row>
    <row r="165" spans="1:30" s="47" customFormat="1" ht="12.75" customHeight="1" x14ac:dyDescent="0.2">
      <c r="A165" s="47" t="s">
        <v>188</v>
      </c>
      <c r="B165" s="51"/>
      <c r="C165" s="47" t="s">
        <v>27</v>
      </c>
      <c r="E165" s="44">
        <v>10388402</v>
      </c>
      <c r="F165" s="44"/>
      <c r="G165" s="44">
        <v>308839</v>
      </c>
      <c r="H165" s="44"/>
      <c r="I165" s="44">
        <v>523912</v>
      </c>
      <c r="J165" s="44"/>
      <c r="K165" s="44">
        <v>722803</v>
      </c>
      <c r="L165" s="44"/>
      <c r="M165" s="44">
        <v>4717036</v>
      </c>
      <c r="N165" s="44"/>
      <c r="O165" s="44">
        <v>3049668</v>
      </c>
      <c r="P165" s="44"/>
      <c r="Q165" s="44">
        <v>3808582</v>
      </c>
      <c r="R165" s="44"/>
      <c r="S165" s="44">
        <v>0</v>
      </c>
      <c r="T165" s="44"/>
      <c r="U165" s="44">
        <v>643230</v>
      </c>
      <c r="V165" s="44"/>
      <c r="W165" s="44">
        <f t="shared" si="8"/>
        <v>24162472</v>
      </c>
      <c r="X165" s="44"/>
      <c r="Y165" s="44">
        <v>107717899</v>
      </c>
      <c r="Z165" s="44"/>
      <c r="AA165" s="44">
        <f>+'Stmt net assets'!Y165</f>
        <v>108417386</v>
      </c>
      <c r="AB165" s="44"/>
      <c r="AC165" s="44">
        <f>+Y165+'Stmt of activities-GA rev'!AC165-'Stmt of activities-GAexp'!W165-AA165</f>
        <v>0</v>
      </c>
    </row>
    <row r="166" spans="1:30" s="47" customFormat="1" ht="12.75" customHeight="1" x14ac:dyDescent="0.2">
      <c r="A166" s="47" t="s">
        <v>190</v>
      </c>
      <c r="B166" s="51"/>
      <c r="C166" s="47" t="s">
        <v>47</v>
      </c>
      <c r="E166" s="44">
        <v>2395297</v>
      </c>
      <c r="F166" s="44"/>
      <c r="G166" s="44">
        <v>8682</v>
      </c>
      <c r="H166" s="44"/>
      <c r="I166" s="44">
        <v>87105</v>
      </c>
      <c r="J166" s="44"/>
      <c r="K166" s="44">
        <v>107373</v>
      </c>
      <c r="L166" s="44"/>
      <c r="M166" s="44">
        <v>596564</v>
      </c>
      <c r="N166" s="44"/>
      <c r="O166" s="44">
        <v>214271</v>
      </c>
      <c r="P166" s="44"/>
      <c r="Q166" s="44">
        <v>1381014</v>
      </c>
      <c r="R166" s="44"/>
      <c r="S166" s="44">
        <v>0</v>
      </c>
      <c r="T166" s="44"/>
      <c r="U166" s="44">
        <v>112882</v>
      </c>
      <c r="V166" s="44"/>
      <c r="W166" s="44">
        <f t="shared" si="8"/>
        <v>4903188</v>
      </c>
      <c r="X166" s="44"/>
      <c r="Y166" s="44">
        <v>12038129</v>
      </c>
      <c r="Z166" s="44"/>
      <c r="AA166" s="44">
        <f>+'Stmt net assets'!Y166</f>
        <v>14020699</v>
      </c>
      <c r="AB166" s="44"/>
      <c r="AC166" s="44">
        <f>+Y166+'Stmt of activities-GA rev'!AC166-'Stmt of activities-GAexp'!W166-AA166</f>
        <v>0</v>
      </c>
    </row>
    <row r="167" spans="1:30" s="47" customFormat="1" ht="12.75" customHeight="1" x14ac:dyDescent="0.2">
      <c r="A167" s="47" t="s">
        <v>191</v>
      </c>
      <c r="B167" s="51"/>
      <c r="C167" s="47" t="s">
        <v>13</v>
      </c>
      <c r="E167" s="44">
        <v>4141639</v>
      </c>
      <c r="F167" s="44"/>
      <c r="G167" s="44">
        <v>285761</v>
      </c>
      <c r="H167" s="44"/>
      <c r="I167" s="44">
        <v>192472</v>
      </c>
      <c r="J167" s="44"/>
      <c r="K167" s="44">
        <v>136519</v>
      </c>
      <c r="L167" s="44"/>
      <c r="M167" s="44">
        <v>1489870</v>
      </c>
      <c r="N167" s="44"/>
      <c r="O167" s="44">
        <v>0</v>
      </c>
      <c r="P167" s="44"/>
      <c r="Q167" s="44">
        <v>2107747</v>
      </c>
      <c r="R167" s="44"/>
      <c r="S167" s="44">
        <v>0</v>
      </c>
      <c r="T167" s="44"/>
      <c r="U167" s="44">
        <v>280450</v>
      </c>
      <c r="V167" s="44"/>
      <c r="W167" s="44">
        <f t="shared" si="8"/>
        <v>8634458</v>
      </c>
      <c r="X167" s="44"/>
      <c r="Y167" s="44">
        <v>21784985</v>
      </c>
      <c r="Z167" s="44"/>
      <c r="AA167" s="44">
        <f>+'Stmt net assets'!Y167</f>
        <v>23181070</v>
      </c>
      <c r="AB167" s="44"/>
      <c r="AC167" s="44">
        <f>+Y167+'Stmt of activities-GA rev'!AC167-'Stmt of activities-GAexp'!W167-AA167</f>
        <v>0</v>
      </c>
    </row>
    <row r="168" spans="1:30" s="47" customFormat="1" ht="12.75" customHeight="1" x14ac:dyDescent="0.2">
      <c r="A168" s="47" t="s">
        <v>192</v>
      </c>
      <c r="B168" s="51"/>
      <c r="C168" s="47" t="s">
        <v>38</v>
      </c>
      <c r="E168" s="44">
        <v>4898444</v>
      </c>
      <c r="F168" s="44"/>
      <c r="G168" s="44">
        <v>166546</v>
      </c>
      <c r="H168" s="44"/>
      <c r="I168" s="44">
        <v>1792184</v>
      </c>
      <c r="J168" s="44"/>
      <c r="K168" s="44">
        <v>1111244</v>
      </c>
      <c r="L168" s="44"/>
      <c r="M168" s="44">
        <v>1677668</v>
      </c>
      <c r="N168" s="44"/>
      <c r="O168" s="44">
        <v>0</v>
      </c>
      <c r="P168" s="44"/>
      <c r="Q168" s="44">
        <v>2300766</v>
      </c>
      <c r="R168" s="44"/>
      <c r="S168" s="44">
        <v>0</v>
      </c>
      <c r="T168" s="44"/>
      <c r="U168" s="44">
        <v>53203</v>
      </c>
      <c r="V168" s="44"/>
      <c r="W168" s="44">
        <f t="shared" si="8"/>
        <v>12000055</v>
      </c>
      <c r="X168" s="44"/>
      <c r="Y168" s="44">
        <v>28352651</v>
      </c>
      <c r="Z168" s="44"/>
      <c r="AA168" s="44">
        <f>+'Stmt net assets'!Y168</f>
        <v>28922255</v>
      </c>
      <c r="AB168" s="44"/>
      <c r="AC168" s="44">
        <f>+Y168+'Stmt of activities-GA rev'!AC168-'Stmt of activities-GAexp'!W168-AA168</f>
        <v>0</v>
      </c>
    </row>
    <row r="169" spans="1:30" s="47" customFormat="1" ht="12.75" customHeight="1" x14ac:dyDescent="0.2">
      <c r="A169" s="47" t="s">
        <v>193</v>
      </c>
      <c r="B169" s="51"/>
      <c r="C169" s="47" t="s">
        <v>45</v>
      </c>
      <c r="E169" s="44">
        <f>7284982+8030690</f>
        <v>15315672</v>
      </c>
      <c r="F169" s="44"/>
      <c r="G169" s="44">
        <v>1058286</v>
      </c>
      <c r="H169" s="44"/>
      <c r="I169" s="44">
        <v>1048018</v>
      </c>
      <c r="J169" s="44"/>
      <c r="K169" s="44">
        <v>106006</v>
      </c>
      <c r="L169" s="44"/>
      <c r="M169" s="44">
        <v>984105</v>
      </c>
      <c r="N169" s="44"/>
      <c r="O169" s="44">
        <v>38082</v>
      </c>
      <c r="P169" s="44"/>
      <c r="Q169" s="44">
        <v>4188013</v>
      </c>
      <c r="R169" s="44"/>
      <c r="S169" s="44">
        <v>337724</v>
      </c>
      <c r="T169" s="44"/>
      <c r="U169" s="44">
        <v>1424197</v>
      </c>
      <c r="V169" s="44"/>
      <c r="W169" s="44">
        <f t="shared" si="8"/>
        <v>24500103</v>
      </c>
      <c r="X169" s="44"/>
      <c r="Y169" s="44">
        <v>2955595</v>
      </c>
      <c r="Z169" s="44"/>
      <c r="AA169" s="44">
        <f>+'Stmt net assets'!Y169</f>
        <v>1151265</v>
      </c>
      <c r="AB169" s="44"/>
      <c r="AC169" s="44">
        <f>+Y169+'Stmt of activities-GA rev'!AC169-'Stmt of activities-GAexp'!W169-AA169</f>
        <v>0</v>
      </c>
      <c r="AD169" s="65"/>
    </row>
    <row r="170" spans="1:30" s="47" customFormat="1" ht="12.75" customHeight="1" x14ac:dyDescent="0.2">
      <c r="A170" s="47" t="s">
        <v>194</v>
      </c>
      <c r="B170" s="51"/>
      <c r="C170" s="47" t="s">
        <v>66</v>
      </c>
      <c r="E170" s="44">
        <v>5509871</v>
      </c>
      <c r="F170" s="44"/>
      <c r="G170" s="44">
        <v>119787</v>
      </c>
      <c r="H170" s="44"/>
      <c r="I170" s="44">
        <v>1119751</v>
      </c>
      <c r="J170" s="44"/>
      <c r="K170" s="44">
        <v>2035597</v>
      </c>
      <c r="L170" s="44"/>
      <c r="M170" s="44">
        <v>1007877</v>
      </c>
      <c r="N170" s="44"/>
      <c r="O170" s="44">
        <v>1741403</v>
      </c>
      <c r="P170" s="44"/>
      <c r="Q170" s="44">
        <v>2813192</v>
      </c>
      <c r="R170" s="44"/>
      <c r="S170" s="44">
        <v>0</v>
      </c>
      <c r="T170" s="44"/>
      <c r="U170" s="44">
        <v>51269</v>
      </c>
      <c r="V170" s="44"/>
      <c r="W170" s="44">
        <f t="shared" si="8"/>
        <v>14398747</v>
      </c>
      <c r="X170" s="44"/>
      <c r="Y170" s="44">
        <v>50626688</v>
      </c>
      <c r="Z170" s="44"/>
      <c r="AA170" s="44">
        <f>+'Stmt net assets'!Y170</f>
        <v>48370399</v>
      </c>
      <c r="AB170" s="44"/>
      <c r="AC170" s="44">
        <f>+Y170+'Stmt of activities-GA rev'!AC170-'Stmt of activities-GAexp'!W170-AA170</f>
        <v>0</v>
      </c>
    </row>
    <row r="171" spans="1:30" s="47" customFormat="1" ht="12.75" customHeight="1" x14ac:dyDescent="0.2">
      <c r="A171" s="47" t="s">
        <v>195</v>
      </c>
      <c r="B171" s="51"/>
      <c r="C171" s="47" t="s">
        <v>17</v>
      </c>
      <c r="E171" s="44">
        <v>2954109</v>
      </c>
      <c r="F171" s="44"/>
      <c r="G171" s="44">
        <v>141088</v>
      </c>
      <c r="H171" s="44"/>
      <c r="I171" s="44">
        <v>745485</v>
      </c>
      <c r="J171" s="44"/>
      <c r="K171" s="44">
        <v>452737</v>
      </c>
      <c r="L171" s="44"/>
      <c r="M171" s="44">
        <v>1679983</v>
      </c>
      <c r="N171" s="44"/>
      <c r="O171" s="44">
        <v>237136</v>
      </c>
      <c r="P171" s="44"/>
      <c r="Q171" s="44">
        <v>3261595</v>
      </c>
      <c r="R171" s="44"/>
      <c r="S171" s="44">
        <v>0</v>
      </c>
      <c r="T171" s="44"/>
      <c r="U171" s="44">
        <v>370150</v>
      </c>
      <c r="V171" s="44"/>
      <c r="W171" s="44">
        <f t="shared" si="8"/>
        <v>9842283</v>
      </c>
      <c r="X171" s="44"/>
      <c r="Y171" s="44">
        <v>37461814</v>
      </c>
      <c r="Z171" s="44"/>
      <c r="AA171" s="44">
        <f>+'Stmt net assets'!Y171</f>
        <v>39173238</v>
      </c>
      <c r="AB171" s="44"/>
      <c r="AC171" s="44">
        <f>+Y171+'Stmt of activities-GA rev'!AC171-'Stmt of activities-GAexp'!W171-AA171</f>
        <v>0</v>
      </c>
    </row>
    <row r="172" spans="1:30" s="47" customFormat="1" ht="12.75" customHeight="1" x14ac:dyDescent="0.2">
      <c r="A172" s="44" t="s">
        <v>196</v>
      </c>
      <c r="B172" s="51"/>
      <c r="C172" s="44" t="s">
        <v>27</v>
      </c>
      <c r="E172" s="44">
        <v>3089934</v>
      </c>
      <c r="F172" s="44"/>
      <c r="G172" s="44">
        <v>89527</v>
      </c>
      <c r="H172" s="44"/>
      <c r="I172" s="44">
        <v>166064</v>
      </c>
      <c r="J172" s="44"/>
      <c r="K172" s="44">
        <f>356804+372749</f>
        <v>729553</v>
      </c>
      <c r="L172" s="44"/>
      <c r="M172" s="44">
        <v>1123500</v>
      </c>
      <c r="N172" s="44"/>
      <c r="O172" s="44">
        <v>0</v>
      </c>
      <c r="P172" s="44"/>
      <c r="Q172" s="44">
        <v>1293126</v>
      </c>
      <c r="R172" s="44"/>
      <c r="S172" s="44">
        <v>0</v>
      </c>
      <c r="T172" s="44"/>
      <c r="U172" s="44">
        <v>129069</v>
      </c>
      <c r="V172" s="44"/>
      <c r="W172" s="44">
        <f t="shared" si="8"/>
        <v>6620773</v>
      </c>
      <c r="X172" s="44"/>
      <c r="Y172" s="44">
        <v>25630002</v>
      </c>
      <c r="Z172" s="44"/>
      <c r="AA172" s="44">
        <f>+'Stmt net assets'!Y172</f>
        <v>27491620</v>
      </c>
      <c r="AB172" s="44"/>
      <c r="AC172" s="44">
        <f>+Y172+'Stmt of activities-GA rev'!AC172-'Stmt of activities-GAexp'!W172-AA172</f>
        <v>0</v>
      </c>
    </row>
    <row r="173" spans="1:30" s="47" customFormat="1" ht="12.75" customHeight="1" x14ac:dyDescent="0.2">
      <c r="A173" s="44" t="s">
        <v>386</v>
      </c>
      <c r="B173" s="51"/>
      <c r="C173" s="44" t="s">
        <v>153</v>
      </c>
      <c r="E173" s="44">
        <v>2220967</v>
      </c>
      <c r="F173" s="44"/>
      <c r="G173" s="44">
        <v>1571</v>
      </c>
      <c r="H173" s="44"/>
      <c r="I173" s="44">
        <v>211974</v>
      </c>
      <c r="J173" s="44"/>
      <c r="K173" s="44">
        <v>28047</v>
      </c>
      <c r="L173" s="44"/>
      <c r="M173" s="44">
        <v>2039061</v>
      </c>
      <c r="N173" s="44"/>
      <c r="O173" s="44">
        <v>0</v>
      </c>
      <c r="P173" s="44"/>
      <c r="Q173" s="44">
        <v>1753638</v>
      </c>
      <c r="R173" s="44"/>
      <c r="S173" s="44">
        <v>0</v>
      </c>
      <c r="T173" s="44"/>
      <c r="U173" s="44">
        <v>82527</v>
      </c>
      <c r="V173" s="44"/>
      <c r="W173" s="44">
        <f t="shared" si="8"/>
        <v>6337785</v>
      </c>
      <c r="X173" s="44"/>
      <c r="Y173" s="44">
        <v>25705410</v>
      </c>
      <c r="Z173" s="44"/>
      <c r="AA173" s="44">
        <f>+'Stmt net assets'!Y173</f>
        <v>25783631</v>
      </c>
      <c r="AB173" s="44"/>
      <c r="AC173" s="44">
        <f>+Y173+'Stmt of activities-GA rev'!AC173-'Stmt of activities-GAexp'!W173-AA173</f>
        <v>0</v>
      </c>
    </row>
    <row r="174" spans="1:30" s="47" customFormat="1" ht="12.75" customHeight="1" x14ac:dyDescent="0.2">
      <c r="A174" s="47" t="s">
        <v>197</v>
      </c>
      <c r="B174" s="51"/>
      <c r="C174" s="47" t="s">
        <v>163</v>
      </c>
      <c r="E174" s="44">
        <v>10250066</v>
      </c>
      <c r="F174" s="44"/>
      <c r="G174" s="44">
        <v>431052</v>
      </c>
      <c r="H174" s="44"/>
      <c r="I174" s="44">
        <v>861070</v>
      </c>
      <c r="J174" s="44"/>
      <c r="K174" s="44">
        <v>1040571</v>
      </c>
      <c r="L174" s="44"/>
      <c r="M174" s="44">
        <v>7466485</v>
      </c>
      <c r="N174" s="44"/>
      <c r="O174" s="44">
        <v>608339</v>
      </c>
      <c r="P174" s="44"/>
      <c r="Q174" s="44">
        <v>5182463</v>
      </c>
      <c r="R174" s="44"/>
      <c r="S174" s="44">
        <v>0</v>
      </c>
      <c r="T174" s="44"/>
      <c r="U174" s="44">
        <v>869760</v>
      </c>
      <c r="V174" s="44"/>
      <c r="W174" s="44">
        <f t="shared" si="8"/>
        <v>26709806</v>
      </c>
      <c r="X174" s="44"/>
      <c r="Y174" s="44">
        <v>55443011</v>
      </c>
      <c r="Z174" s="44"/>
      <c r="AA174" s="44">
        <f>+'Stmt net assets'!Y174</f>
        <v>66168464</v>
      </c>
      <c r="AB174" s="44"/>
      <c r="AC174" s="44">
        <f>+Y174+'Stmt of activities-GA rev'!AC174-'Stmt of activities-GAexp'!W174-AA174</f>
        <v>0</v>
      </c>
    </row>
    <row r="175" spans="1:30" s="47" customFormat="1" ht="12.75" customHeight="1" x14ac:dyDescent="0.2">
      <c r="A175" s="47" t="s">
        <v>198</v>
      </c>
      <c r="B175" s="51"/>
      <c r="C175" s="47" t="s">
        <v>199</v>
      </c>
      <c r="E175" s="44">
        <f>1741290+727641</f>
        <v>2468931</v>
      </c>
      <c r="F175" s="44"/>
      <c r="G175" s="44">
        <v>193614</v>
      </c>
      <c r="H175" s="44"/>
      <c r="I175" s="44">
        <v>395350</v>
      </c>
      <c r="J175" s="44"/>
      <c r="K175" s="44">
        <v>0</v>
      </c>
      <c r="L175" s="44"/>
      <c r="M175" s="44">
        <v>2120596</v>
      </c>
      <c r="N175" s="44"/>
      <c r="O175" s="44">
        <v>418618</v>
      </c>
      <c r="P175" s="44"/>
      <c r="Q175" s="44">
        <v>1113080</v>
      </c>
      <c r="R175" s="44"/>
      <c r="S175" s="44">
        <v>0</v>
      </c>
      <c r="T175" s="44"/>
      <c r="U175" s="44">
        <v>56842</v>
      </c>
      <c r="V175" s="44"/>
      <c r="W175" s="44">
        <f t="shared" si="8"/>
        <v>6767031</v>
      </c>
      <c r="X175" s="44"/>
      <c r="Y175" s="44">
        <v>49700939</v>
      </c>
      <c r="Z175" s="44"/>
      <c r="AA175" s="44">
        <f>+'Stmt net assets'!Y175</f>
        <v>49844178</v>
      </c>
      <c r="AB175" s="44"/>
      <c r="AC175" s="44">
        <f>+Y175+'Stmt of activities-GA rev'!AC175-'Stmt of activities-GAexp'!W175-AA175</f>
        <v>0</v>
      </c>
    </row>
    <row r="176" spans="1:30" s="47" customFormat="1" ht="12.75" customHeight="1" x14ac:dyDescent="0.2">
      <c r="A176" s="47" t="s">
        <v>200</v>
      </c>
      <c r="B176" s="51"/>
      <c r="C176" s="47" t="s">
        <v>103</v>
      </c>
      <c r="E176" s="44">
        <v>5594328</v>
      </c>
      <c r="F176" s="44"/>
      <c r="G176" s="44">
        <v>124204</v>
      </c>
      <c r="H176" s="44"/>
      <c r="I176" s="44">
        <v>1622252</v>
      </c>
      <c r="J176" s="44"/>
      <c r="K176" s="44">
        <v>824042</v>
      </c>
      <c r="L176" s="44"/>
      <c r="M176" s="44">
        <v>2073276</v>
      </c>
      <c r="N176" s="44"/>
      <c r="O176" s="44">
        <v>0</v>
      </c>
      <c r="P176" s="44"/>
      <c r="Q176" s="44">
        <v>1745839</v>
      </c>
      <c r="R176" s="44"/>
      <c r="S176" s="44">
        <v>0</v>
      </c>
      <c r="T176" s="44"/>
      <c r="U176" s="44">
        <v>83899</v>
      </c>
      <c r="V176" s="44"/>
      <c r="W176" s="44">
        <f t="shared" si="8"/>
        <v>12067840</v>
      </c>
      <c r="X176" s="44"/>
      <c r="Y176" s="44">
        <v>48405359</v>
      </c>
      <c r="Z176" s="44"/>
      <c r="AA176" s="44">
        <f>+'Stmt net assets'!Y176</f>
        <v>49886982</v>
      </c>
      <c r="AB176" s="44"/>
      <c r="AC176" s="44">
        <f>+Y176+'Stmt of activities-GA rev'!AC176-'Stmt of activities-GAexp'!W176-AA176</f>
        <v>0</v>
      </c>
    </row>
    <row r="177" spans="1:29" s="47" customFormat="1" ht="12.75" customHeight="1" x14ac:dyDescent="0.2">
      <c r="B177" s="51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8" t="s">
        <v>484</v>
      </c>
      <c r="AB177" s="44"/>
      <c r="AC177" s="44"/>
    </row>
    <row r="178" spans="1:29" s="47" customFormat="1" ht="12.75" customHeight="1" x14ac:dyDescent="0.2">
      <c r="A178" s="47" t="s">
        <v>201</v>
      </c>
      <c r="B178" s="51"/>
      <c r="C178" s="47" t="s">
        <v>92</v>
      </c>
      <c r="E178" s="46">
        <v>7418708</v>
      </c>
      <c r="F178" s="46"/>
      <c r="G178" s="46">
        <v>635108</v>
      </c>
      <c r="H178" s="46"/>
      <c r="I178" s="46">
        <v>792999</v>
      </c>
      <c r="J178" s="46"/>
      <c r="K178" s="46">
        <v>377113</v>
      </c>
      <c r="L178" s="46"/>
      <c r="M178" s="46">
        <v>1821320</v>
      </c>
      <c r="N178" s="46"/>
      <c r="O178" s="46">
        <v>0</v>
      </c>
      <c r="P178" s="46"/>
      <c r="Q178" s="46">
        <v>5159533</v>
      </c>
      <c r="R178" s="46"/>
      <c r="S178" s="46">
        <v>0</v>
      </c>
      <c r="T178" s="46"/>
      <c r="U178" s="46">
        <v>167510</v>
      </c>
      <c r="V178" s="46"/>
      <c r="W178" s="46">
        <f t="shared" si="8"/>
        <v>16372291</v>
      </c>
      <c r="X178" s="46"/>
      <c r="Y178" s="46">
        <v>40409300</v>
      </c>
      <c r="Z178" s="46"/>
      <c r="AA178" s="46">
        <f>+'Stmt net assets'!Y178</f>
        <v>41480725</v>
      </c>
      <c r="AB178" s="44"/>
      <c r="AC178" s="44">
        <f>+Y178+'Stmt of activities-GA rev'!AC177-'Stmt of activities-GAexp'!W178-AA178</f>
        <v>0</v>
      </c>
    </row>
    <row r="179" spans="1:29" s="47" customFormat="1" ht="12.75" customHeight="1" x14ac:dyDescent="0.2">
      <c r="A179" s="47" t="s">
        <v>202</v>
      </c>
      <c r="B179" s="51"/>
      <c r="C179" s="47" t="s">
        <v>27</v>
      </c>
      <c r="E179" s="44">
        <v>29423816</v>
      </c>
      <c r="F179" s="44"/>
      <c r="G179" s="44">
        <v>316924</v>
      </c>
      <c r="H179" s="44"/>
      <c r="I179" s="44">
        <v>2980199</v>
      </c>
      <c r="J179" s="44"/>
      <c r="K179" s="44">
        <v>8599720</v>
      </c>
      <c r="L179" s="44"/>
      <c r="M179" s="44">
        <v>3711106</v>
      </c>
      <c r="N179" s="44"/>
      <c r="O179" s="44">
        <v>4556120</v>
      </c>
      <c r="P179" s="44"/>
      <c r="Q179" s="44">
        <v>24323071</v>
      </c>
      <c r="R179" s="44"/>
      <c r="S179" s="44">
        <v>0</v>
      </c>
      <c r="T179" s="44"/>
      <c r="U179" s="44">
        <v>1348284</v>
      </c>
      <c r="V179" s="44"/>
      <c r="W179" s="44">
        <f t="shared" si="8"/>
        <v>75259240</v>
      </c>
      <c r="X179" s="44"/>
      <c r="Y179" s="44">
        <v>80474980</v>
      </c>
      <c r="Z179" s="44"/>
      <c r="AA179" s="44">
        <f>+'Stmt net assets'!Y179</f>
        <v>85278626</v>
      </c>
      <c r="AB179" s="44"/>
      <c r="AC179" s="44">
        <f>+Y179+'Stmt of activities-GA rev'!AC178-'Stmt of activities-GAexp'!W179-AA179</f>
        <v>0</v>
      </c>
    </row>
    <row r="180" spans="1:29" s="47" customFormat="1" ht="12.75" customHeight="1" x14ac:dyDescent="0.2">
      <c r="A180" s="47" t="s">
        <v>203</v>
      </c>
      <c r="B180" s="51"/>
      <c r="C180" s="47" t="s">
        <v>27</v>
      </c>
      <c r="E180" s="44">
        <v>9258519</v>
      </c>
      <c r="F180" s="44"/>
      <c r="G180" s="44">
        <v>382084</v>
      </c>
      <c r="H180" s="44"/>
      <c r="I180" s="44">
        <v>668353</v>
      </c>
      <c r="J180" s="44"/>
      <c r="K180" s="44">
        <v>2055872</v>
      </c>
      <c r="L180" s="44"/>
      <c r="M180" s="44">
        <v>1663535</v>
      </c>
      <c r="N180" s="44"/>
      <c r="O180" s="44">
        <v>1045734</v>
      </c>
      <c r="P180" s="44"/>
      <c r="Q180" s="44">
        <v>2001076</v>
      </c>
      <c r="R180" s="44"/>
      <c r="S180" s="44">
        <v>0</v>
      </c>
      <c r="T180" s="44"/>
      <c r="U180" s="44">
        <v>280567</v>
      </c>
      <c r="V180" s="44"/>
      <c r="W180" s="44">
        <f t="shared" si="8"/>
        <v>17355740</v>
      </c>
      <c r="X180" s="44"/>
      <c r="Y180" s="44">
        <v>32004231</v>
      </c>
      <c r="Z180" s="44"/>
      <c r="AA180" s="44">
        <f>+'Stmt net assets'!Y180</f>
        <v>31321853</v>
      </c>
      <c r="AB180" s="44"/>
      <c r="AC180" s="44">
        <f>+Y180+'Stmt of activities-GA rev'!AC179-'Stmt of activities-GAexp'!W180-AA180</f>
        <v>0</v>
      </c>
    </row>
    <row r="181" spans="1:29" s="47" customFormat="1" ht="12.75" customHeight="1" x14ac:dyDescent="0.2">
      <c r="A181" s="47" t="s">
        <v>204</v>
      </c>
      <c r="B181" s="51"/>
      <c r="C181" s="47" t="s">
        <v>125</v>
      </c>
      <c r="E181" s="44">
        <v>1724472</v>
      </c>
      <c r="F181" s="44"/>
      <c r="G181" s="44">
        <v>60486</v>
      </c>
      <c r="H181" s="44"/>
      <c r="I181" s="44">
        <v>41908</v>
      </c>
      <c r="J181" s="44"/>
      <c r="K181" s="44">
        <f>318312+24799</f>
        <v>343111</v>
      </c>
      <c r="L181" s="44"/>
      <c r="M181" s="44">
        <v>1561671</v>
      </c>
      <c r="N181" s="44"/>
      <c r="O181" s="44">
        <v>0</v>
      </c>
      <c r="P181" s="44"/>
      <c r="Q181" s="44">
        <v>758581</v>
      </c>
      <c r="R181" s="44"/>
      <c r="S181" s="44">
        <v>0</v>
      </c>
      <c r="T181" s="44"/>
      <c r="U181" s="44">
        <v>37693</v>
      </c>
      <c r="V181" s="44"/>
      <c r="W181" s="44">
        <f t="shared" si="8"/>
        <v>4527922</v>
      </c>
      <c r="X181" s="44"/>
      <c r="Y181" s="44">
        <v>12062556</v>
      </c>
      <c r="Z181" s="44"/>
      <c r="AA181" s="44">
        <f>+'Stmt net assets'!Y181</f>
        <v>18380770</v>
      </c>
      <c r="AB181" s="44"/>
      <c r="AC181" s="44">
        <f>+Y181+'Stmt of activities-GA rev'!AC180-'Stmt of activities-GAexp'!W181-AA181</f>
        <v>0</v>
      </c>
    </row>
    <row r="182" spans="1:29" s="47" customFormat="1" ht="12.75" customHeight="1" x14ac:dyDescent="0.2">
      <c r="A182" s="47" t="s">
        <v>205</v>
      </c>
      <c r="B182" s="51"/>
      <c r="C182" s="47" t="s">
        <v>27</v>
      </c>
      <c r="E182" s="44">
        <f>2664941+2133272</f>
        <v>4798213</v>
      </c>
      <c r="F182" s="44"/>
      <c r="G182" s="44">
        <v>29569</v>
      </c>
      <c r="H182" s="44"/>
      <c r="I182" s="44">
        <v>2000</v>
      </c>
      <c r="J182" s="44"/>
      <c r="K182" s="44">
        <v>300723</v>
      </c>
      <c r="L182" s="44"/>
      <c r="M182" s="44">
        <v>3043691</v>
      </c>
      <c r="N182" s="44"/>
      <c r="O182" s="44">
        <v>1359351</v>
      </c>
      <c r="P182" s="44"/>
      <c r="Q182" s="44">
        <v>1420042</v>
      </c>
      <c r="R182" s="44"/>
      <c r="S182" s="44">
        <v>0</v>
      </c>
      <c r="T182" s="44"/>
      <c r="U182" s="44">
        <v>354766</v>
      </c>
      <c r="V182" s="44"/>
      <c r="W182" s="44">
        <f t="shared" si="8"/>
        <v>11308355</v>
      </c>
      <c r="X182" s="44"/>
      <c r="Y182" s="44">
        <v>15354824</v>
      </c>
      <c r="Z182" s="44"/>
      <c r="AA182" s="44">
        <f>+'Stmt net assets'!Y182</f>
        <v>15525473</v>
      </c>
      <c r="AB182" s="44"/>
      <c r="AC182" s="44">
        <f>+Y182+'Stmt of activities-GA rev'!AC181-'Stmt of activities-GAexp'!W182-AA182</f>
        <v>0</v>
      </c>
    </row>
    <row r="183" spans="1:29" s="47" customFormat="1" ht="12.75" customHeight="1" x14ac:dyDescent="0.2">
      <c r="A183" s="47" t="s">
        <v>206</v>
      </c>
      <c r="B183" s="51"/>
      <c r="C183" s="47" t="s">
        <v>47</v>
      </c>
      <c r="E183" s="44">
        <v>8677165</v>
      </c>
      <c r="F183" s="44"/>
      <c r="G183" s="44">
        <v>36327</v>
      </c>
      <c r="H183" s="44"/>
      <c r="I183" s="44">
        <v>1434405</v>
      </c>
      <c r="J183" s="44"/>
      <c r="K183" s="44">
        <v>861943</v>
      </c>
      <c r="L183" s="44"/>
      <c r="M183" s="44">
        <v>1988723</v>
      </c>
      <c r="N183" s="44"/>
      <c r="O183" s="44">
        <v>1159624</v>
      </c>
      <c r="P183" s="44"/>
      <c r="Q183" s="44">
        <v>4816672</v>
      </c>
      <c r="R183" s="44"/>
      <c r="S183" s="44">
        <v>0</v>
      </c>
      <c r="T183" s="44"/>
      <c r="U183" s="44">
        <v>49679</v>
      </c>
      <c r="V183" s="44"/>
      <c r="W183" s="44">
        <f t="shared" si="8"/>
        <v>19024538</v>
      </c>
      <c r="X183" s="44"/>
      <c r="Y183" s="44">
        <v>84244485</v>
      </c>
      <c r="Z183" s="44"/>
      <c r="AA183" s="44">
        <f>+'Stmt net assets'!Y183</f>
        <v>94262502</v>
      </c>
      <c r="AB183" s="44"/>
      <c r="AC183" s="44">
        <f>+Y183+'Stmt of activities-GA rev'!AC182-'Stmt of activities-GAexp'!W183-AA183</f>
        <v>0</v>
      </c>
    </row>
    <row r="184" spans="1:29" s="47" customFormat="1" ht="12.75" customHeight="1" x14ac:dyDescent="0.2">
      <c r="A184" s="47" t="s">
        <v>207</v>
      </c>
      <c r="B184" s="51"/>
      <c r="C184" s="47" t="s">
        <v>102</v>
      </c>
      <c r="E184" s="44">
        <v>4218379</v>
      </c>
      <c r="F184" s="44"/>
      <c r="G184" s="44">
        <v>99439</v>
      </c>
      <c r="H184" s="44"/>
      <c r="I184" s="44">
        <v>588605</v>
      </c>
      <c r="J184" s="44"/>
      <c r="K184" s="44">
        <v>547932</v>
      </c>
      <c r="L184" s="44"/>
      <c r="M184" s="44">
        <v>3480642</v>
      </c>
      <c r="N184" s="44"/>
      <c r="O184" s="44">
        <v>0</v>
      </c>
      <c r="P184" s="44"/>
      <c r="Q184" s="44">
        <v>2345620</v>
      </c>
      <c r="R184" s="44"/>
      <c r="S184" s="44">
        <v>0</v>
      </c>
      <c r="T184" s="44"/>
      <c r="U184" s="44">
        <v>378619</v>
      </c>
      <c r="V184" s="44"/>
      <c r="W184" s="44">
        <f t="shared" si="8"/>
        <v>11659236</v>
      </c>
      <c r="X184" s="44"/>
      <c r="Y184" s="44">
        <v>48388258</v>
      </c>
      <c r="Z184" s="44"/>
      <c r="AA184" s="44">
        <f>+'Stmt net assets'!Y184</f>
        <v>50809219</v>
      </c>
      <c r="AB184" s="44"/>
      <c r="AC184" s="44">
        <f>+Y184+'Stmt of activities-GA rev'!AC183-'Stmt of activities-GAexp'!W184-AA184</f>
        <v>0</v>
      </c>
    </row>
    <row r="185" spans="1:29" s="47" customFormat="1" ht="12.75" customHeight="1" x14ac:dyDescent="0.2">
      <c r="A185" s="47" t="s">
        <v>208</v>
      </c>
      <c r="B185" s="51"/>
      <c r="C185" s="47" t="s">
        <v>209</v>
      </c>
      <c r="E185" s="44">
        <v>7655764</v>
      </c>
      <c r="F185" s="44"/>
      <c r="G185" s="44">
        <v>0</v>
      </c>
      <c r="H185" s="44"/>
      <c r="I185" s="44">
        <v>425013</v>
      </c>
      <c r="J185" s="44"/>
      <c r="K185" s="44">
        <v>393106</v>
      </c>
      <c r="L185" s="44"/>
      <c r="M185" s="44">
        <v>3166350</v>
      </c>
      <c r="N185" s="44"/>
      <c r="O185" s="44">
        <v>0</v>
      </c>
      <c r="P185" s="44"/>
      <c r="Q185" s="44">
        <v>1804464</v>
      </c>
      <c r="R185" s="44"/>
      <c r="S185" s="44">
        <v>0</v>
      </c>
      <c r="T185" s="44"/>
      <c r="U185" s="44">
        <v>190218</v>
      </c>
      <c r="V185" s="44"/>
      <c r="W185" s="44">
        <f t="shared" si="8"/>
        <v>13634915</v>
      </c>
      <c r="X185" s="44"/>
      <c r="Y185" s="44">
        <v>67923788</v>
      </c>
      <c r="Z185" s="44"/>
      <c r="AA185" s="44">
        <f>+'Stmt net assets'!Y185</f>
        <v>69741380</v>
      </c>
      <c r="AB185" s="44"/>
      <c r="AC185" s="44">
        <f>+Y185+'Stmt of activities-GA rev'!AC184-'Stmt of activities-GAexp'!W185-AA185</f>
        <v>0</v>
      </c>
    </row>
    <row r="186" spans="1:29" s="47" customFormat="1" ht="12.75" customHeight="1" x14ac:dyDescent="0.2">
      <c r="A186" s="47" t="s">
        <v>210</v>
      </c>
      <c r="B186" s="51"/>
      <c r="C186" s="47" t="s">
        <v>211</v>
      </c>
      <c r="E186" s="44">
        <f>1812222+321198</f>
        <v>2133420</v>
      </c>
      <c r="F186" s="44"/>
      <c r="G186" s="44">
        <v>192676</v>
      </c>
      <c r="H186" s="44"/>
      <c r="I186" s="44">
        <v>68797</v>
      </c>
      <c r="J186" s="44"/>
      <c r="K186" s="44">
        <v>163495</v>
      </c>
      <c r="L186" s="44"/>
      <c r="M186" s="44">
        <v>920937</v>
      </c>
      <c r="N186" s="44"/>
      <c r="O186" s="44">
        <v>0</v>
      </c>
      <c r="P186" s="44"/>
      <c r="Q186" s="44">
        <v>1405245</v>
      </c>
      <c r="R186" s="44"/>
      <c r="S186" s="44">
        <v>0</v>
      </c>
      <c r="T186" s="44"/>
      <c r="U186" s="44">
        <v>18653</v>
      </c>
      <c r="V186" s="44"/>
      <c r="W186" s="44">
        <f t="shared" si="8"/>
        <v>4903223</v>
      </c>
      <c r="X186" s="44"/>
      <c r="Y186" s="44">
        <v>11772677</v>
      </c>
      <c r="Z186" s="44"/>
      <c r="AA186" s="44">
        <f>+'Stmt net assets'!Y186</f>
        <v>12390642</v>
      </c>
      <c r="AB186" s="44"/>
      <c r="AC186" s="44">
        <f>+Y186+'Stmt of activities-GA rev'!AC185-'Stmt of activities-GAexp'!W186-AA186</f>
        <v>0</v>
      </c>
    </row>
    <row r="187" spans="1:29" s="47" customFormat="1" ht="12.75" customHeight="1" x14ac:dyDescent="0.2">
      <c r="A187" s="47" t="s">
        <v>212</v>
      </c>
      <c r="B187" s="51"/>
      <c r="C187" s="47" t="s">
        <v>213</v>
      </c>
      <c r="E187" s="44">
        <v>8446468</v>
      </c>
      <c r="F187" s="44"/>
      <c r="G187" s="44">
        <v>2604848</v>
      </c>
      <c r="H187" s="44"/>
      <c r="I187" s="44">
        <v>79666</v>
      </c>
      <c r="J187" s="44"/>
      <c r="K187" s="44">
        <v>651703</v>
      </c>
      <c r="L187" s="44"/>
      <c r="M187" s="44">
        <v>2387848</v>
      </c>
      <c r="N187" s="44"/>
      <c r="O187" s="44">
        <v>0</v>
      </c>
      <c r="P187" s="44"/>
      <c r="Q187" s="44">
        <v>4187915</v>
      </c>
      <c r="R187" s="44"/>
      <c r="S187" s="44">
        <v>0</v>
      </c>
      <c r="T187" s="44"/>
      <c r="U187" s="44">
        <v>121302</v>
      </c>
      <c r="V187" s="44"/>
      <c r="W187" s="44">
        <f t="shared" si="8"/>
        <v>18479750</v>
      </c>
      <c r="X187" s="44"/>
      <c r="Y187" s="44">
        <v>22753563</v>
      </c>
      <c r="Z187" s="44"/>
      <c r="AA187" s="44">
        <f>+'Stmt net assets'!Y187</f>
        <v>20497602</v>
      </c>
      <c r="AB187" s="44"/>
      <c r="AC187" s="44">
        <f>+Y187+'Stmt of activities-GA rev'!AC186-'Stmt of activities-GAexp'!W187-AA187</f>
        <v>0</v>
      </c>
    </row>
    <row r="188" spans="1:29" s="47" customFormat="1" ht="12.75" hidden="1" customHeight="1" x14ac:dyDescent="0.2">
      <c r="A188" s="47" t="s">
        <v>214</v>
      </c>
      <c r="B188" s="51"/>
      <c r="C188" s="47" t="s">
        <v>86</v>
      </c>
      <c r="E188" s="44">
        <v>2237486</v>
      </c>
      <c r="F188" s="44"/>
      <c r="G188" s="44">
        <v>0</v>
      </c>
      <c r="H188" s="44"/>
      <c r="I188" s="44">
        <v>927582</v>
      </c>
      <c r="J188" s="44"/>
      <c r="K188" s="44">
        <v>848718</v>
      </c>
      <c r="L188" s="44"/>
      <c r="M188" s="44">
        <v>0</v>
      </c>
      <c r="N188" s="44"/>
      <c r="O188" s="44">
        <v>1887240</v>
      </c>
      <c r="P188" s="44"/>
      <c r="Q188" s="44">
        <v>1854360</v>
      </c>
      <c r="R188" s="44"/>
      <c r="S188" s="44">
        <v>0</v>
      </c>
      <c r="T188" s="44"/>
      <c r="U188" s="44">
        <v>813397</v>
      </c>
      <c r="V188" s="44"/>
      <c r="W188" s="44">
        <f t="shared" si="8"/>
        <v>8568783</v>
      </c>
      <c r="X188" s="44"/>
      <c r="Y188" s="44">
        <v>28195310</v>
      </c>
      <c r="Z188" s="44"/>
      <c r="AA188" s="44">
        <f>+'Stmt net assets'!Y188</f>
        <v>29510164</v>
      </c>
      <c r="AB188" s="44"/>
      <c r="AC188" s="44">
        <f>+Y188+'Stmt of activities-GA rev'!AC187-'Stmt of activities-GAexp'!W188-AA188</f>
        <v>0</v>
      </c>
    </row>
    <row r="189" spans="1:29" s="47" customFormat="1" ht="12.75" customHeight="1" x14ac:dyDescent="0.2">
      <c r="A189" s="47" t="s">
        <v>215</v>
      </c>
      <c r="B189" s="51"/>
      <c r="C189" s="47" t="s">
        <v>22</v>
      </c>
      <c r="E189" s="44">
        <f>3170793+2066235</f>
        <v>5237028</v>
      </c>
      <c r="F189" s="44"/>
      <c r="G189" s="44">
        <v>254365</v>
      </c>
      <c r="H189" s="44"/>
      <c r="I189" s="44">
        <v>818685</v>
      </c>
      <c r="J189" s="44"/>
      <c r="K189" s="44">
        <f>1357455+71953</f>
        <v>1429408</v>
      </c>
      <c r="L189" s="44"/>
      <c r="M189" s="44">
        <v>2212865</v>
      </c>
      <c r="N189" s="44"/>
      <c r="O189" s="44">
        <v>35994</v>
      </c>
      <c r="P189" s="44"/>
      <c r="Q189" s="44">
        <v>1740438</v>
      </c>
      <c r="R189" s="44"/>
      <c r="S189" s="44">
        <v>0</v>
      </c>
      <c r="T189" s="44"/>
      <c r="U189" s="44">
        <v>288567</v>
      </c>
      <c r="V189" s="44"/>
      <c r="W189" s="44">
        <f t="shared" si="8"/>
        <v>12017350</v>
      </c>
      <c r="X189" s="44"/>
      <c r="Y189" s="44">
        <v>47390676</v>
      </c>
      <c r="Z189" s="44"/>
      <c r="AA189" s="44">
        <f>+'Stmt net assets'!Y189</f>
        <v>47123761</v>
      </c>
      <c r="AB189" s="44"/>
      <c r="AC189" s="44">
        <f>+Y189+'Stmt of activities-GA rev'!AC188-'Stmt of activities-GAexp'!W189-AA189</f>
        <v>0</v>
      </c>
    </row>
    <row r="190" spans="1:29" s="47" customFormat="1" ht="12.75" customHeight="1" x14ac:dyDescent="0.2">
      <c r="A190" s="47" t="s">
        <v>216</v>
      </c>
      <c r="B190" s="51"/>
      <c r="C190" s="47" t="s">
        <v>45</v>
      </c>
      <c r="E190" s="44">
        <v>5647431</v>
      </c>
      <c r="F190" s="44"/>
      <c r="G190" s="44">
        <v>5190</v>
      </c>
      <c r="H190" s="44"/>
      <c r="I190" s="44">
        <v>435229</v>
      </c>
      <c r="J190" s="44"/>
      <c r="K190" s="44">
        <v>174053</v>
      </c>
      <c r="L190" s="44"/>
      <c r="M190" s="44">
        <v>1050922</v>
      </c>
      <c r="N190" s="44"/>
      <c r="O190" s="44">
        <v>473346</v>
      </c>
      <c r="P190" s="44"/>
      <c r="Q190" s="44">
        <v>1943296</v>
      </c>
      <c r="R190" s="44"/>
      <c r="S190" s="44">
        <v>0</v>
      </c>
      <c r="T190" s="44"/>
      <c r="U190" s="44">
        <v>81878</v>
      </c>
      <c r="V190" s="44"/>
      <c r="W190" s="44">
        <f t="shared" si="8"/>
        <v>9811345</v>
      </c>
      <c r="X190" s="44"/>
      <c r="Y190" s="44">
        <v>6590375</v>
      </c>
      <c r="Z190" s="44"/>
      <c r="AA190" s="44">
        <f>+'Stmt net assets'!Y190</f>
        <v>7177708</v>
      </c>
      <c r="AB190" s="44"/>
      <c r="AC190" s="44">
        <f>+Y190+'Stmt of activities-GA rev'!AC189-'Stmt of activities-GAexp'!W190-AA190</f>
        <v>0</v>
      </c>
    </row>
    <row r="191" spans="1:29" s="47" customFormat="1" ht="12.75" customHeight="1" x14ac:dyDescent="0.2">
      <c r="A191" s="47" t="s">
        <v>217</v>
      </c>
      <c r="B191" s="51"/>
      <c r="C191" s="47" t="s">
        <v>43</v>
      </c>
      <c r="E191" s="44">
        <v>8313332</v>
      </c>
      <c r="F191" s="44"/>
      <c r="G191" s="44">
        <v>205060</v>
      </c>
      <c r="H191" s="44"/>
      <c r="I191" s="44">
        <v>1072964</v>
      </c>
      <c r="J191" s="44"/>
      <c r="K191" s="44">
        <v>1296322</v>
      </c>
      <c r="L191" s="44"/>
      <c r="M191" s="44">
        <v>3240861</v>
      </c>
      <c r="N191" s="44"/>
      <c r="O191" s="44">
        <v>0</v>
      </c>
      <c r="P191" s="44"/>
      <c r="Q191" s="44">
        <v>3940560</v>
      </c>
      <c r="R191" s="44"/>
      <c r="S191" s="44">
        <v>0</v>
      </c>
      <c r="T191" s="44"/>
      <c r="U191" s="44">
        <v>973721</v>
      </c>
      <c r="V191" s="44"/>
      <c r="W191" s="44">
        <f t="shared" si="8"/>
        <v>19042820</v>
      </c>
      <c r="X191" s="44"/>
      <c r="Y191" s="44">
        <v>48625836</v>
      </c>
      <c r="Z191" s="44"/>
      <c r="AA191" s="44">
        <f>+'Stmt net assets'!Y191</f>
        <v>51730443</v>
      </c>
      <c r="AB191" s="44"/>
      <c r="AC191" s="44">
        <f>+Y191+'Stmt of activities-GA rev'!AC190-'Stmt of activities-GAexp'!W191-AA191</f>
        <v>0</v>
      </c>
    </row>
    <row r="192" spans="1:29" s="47" customFormat="1" ht="12.75" customHeight="1" x14ac:dyDescent="0.2">
      <c r="A192" s="47" t="s">
        <v>218</v>
      </c>
      <c r="B192" s="51"/>
      <c r="C192" s="47" t="s">
        <v>27</v>
      </c>
      <c r="E192" s="44">
        <v>5564596</v>
      </c>
      <c r="F192" s="44"/>
      <c r="G192" s="44">
        <v>0</v>
      </c>
      <c r="H192" s="44"/>
      <c r="I192" s="44">
        <v>380589</v>
      </c>
      <c r="J192" s="44"/>
      <c r="K192" s="44">
        <v>595884</v>
      </c>
      <c r="L192" s="44"/>
      <c r="M192" s="44">
        <v>2112324</v>
      </c>
      <c r="N192" s="44"/>
      <c r="O192" s="44">
        <v>0</v>
      </c>
      <c r="P192" s="44"/>
      <c r="Q192" s="44">
        <v>2033158</v>
      </c>
      <c r="R192" s="44"/>
      <c r="S192" s="44">
        <v>0</v>
      </c>
      <c r="T192" s="44"/>
      <c r="U192" s="44">
        <v>862320</v>
      </c>
      <c r="V192" s="44"/>
      <c r="W192" s="44">
        <f t="shared" si="8"/>
        <v>11548871</v>
      </c>
      <c r="X192" s="44"/>
      <c r="Y192" s="44">
        <v>11734396</v>
      </c>
      <c r="Z192" s="44"/>
      <c r="AA192" s="44">
        <f>+'Stmt net assets'!Y192</f>
        <v>12522346</v>
      </c>
      <c r="AB192" s="44"/>
      <c r="AC192" s="44">
        <f>+Y192+'Stmt of activities-GA rev'!AC191-'Stmt of activities-GAexp'!W192-AA192</f>
        <v>0</v>
      </c>
    </row>
    <row r="193" spans="1:30" s="47" customFormat="1" ht="12.75" customHeight="1" x14ac:dyDescent="0.2">
      <c r="A193" s="47" t="s">
        <v>219</v>
      </c>
      <c r="B193" s="51"/>
      <c r="C193" s="47" t="s">
        <v>199</v>
      </c>
      <c r="E193" s="44">
        <v>1692217</v>
      </c>
      <c r="F193" s="44"/>
      <c r="G193" s="44">
        <v>97425</v>
      </c>
      <c r="H193" s="44"/>
      <c r="I193" s="44">
        <v>496414</v>
      </c>
      <c r="J193" s="44"/>
      <c r="K193" s="44">
        <v>0</v>
      </c>
      <c r="L193" s="44"/>
      <c r="M193" s="44">
        <v>609020</v>
      </c>
      <c r="N193" s="44"/>
      <c r="O193" s="44">
        <v>412392</v>
      </c>
      <c r="P193" s="44"/>
      <c r="Q193" s="44">
        <v>661984</v>
      </c>
      <c r="R193" s="44"/>
      <c r="S193" s="44">
        <v>0</v>
      </c>
      <c r="T193" s="44"/>
      <c r="U193" s="44">
        <v>47759</v>
      </c>
      <c r="V193" s="44"/>
      <c r="W193" s="44">
        <f t="shared" si="8"/>
        <v>4017211</v>
      </c>
      <c r="X193" s="44"/>
      <c r="Y193" s="44">
        <v>7317960</v>
      </c>
      <c r="Z193" s="44"/>
      <c r="AA193" s="44">
        <f>+'Stmt net assets'!Y193</f>
        <v>7274023</v>
      </c>
      <c r="AB193" s="44"/>
      <c r="AC193" s="44">
        <f>+Y193+'Stmt of activities-GA rev'!AC192-'Stmt of activities-GAexp'!W193-AA193</f>
        <v>0</v>
      </c>
    </row>
    <row r="194" spans="1:30" s="47" customFormat="1" ht="12.75" customHeight="1" x14ac:dyDescent="0.2">
      <c r="A194" s="47" t="s">
        <v>220</v>
      </c>
      <c r="B194" s="51"/>
      <c r="C194" s="47" t="s">
        <v>66</v>
      </c>
      <c r="E194" s="44">
        <v>6216410</v>
      </c>
      <c r="F194" s="44"/>
      <c r="G194" s="44">
        <v>4140</v>
      </c>
      <c r="H194" s="44"/>
      <c r="I194" s="44">
        <v>61549</v>
      </c>
      <c r="J194" s="44"/>
      <c r="K194" s="44">
        <v>525722</v>
      </c>
      <c r="L194" s="44"/>
      <c r="M194" s="44">
        <v>1975928</v>
      </c>
      <c r="N194" s="44"/>
      <c r="O194" s="44">
        <v>0</v>
      </c>
      <c r="P194" s="44"/>
      <c r="Q194" s="44">
        <v>2133452</v>
      </c>
      <c r="R194" s="44"/>
      <c r="S194" s="44">
        <v>0</v>
      </c>
      <c r="T194" s="44"/>
      <c r="U194" s="44">
        <v>94544</v>
      </c>
      <c r="V194" s="44"/>
      <c r="W194" s="44">
        <f t="shared" si="8"/>
        <v>11011745</v>
      </c>
      <c r="X194" s="44"/>
      <c r="Y194" s="44">
        <v>19354313</v>
      </c>
      <c r="Z194" s="44"/>
      <c r="AA194" s="44">
        <f>+'Stmt net assets'!Y194</f>
        <v>20119583</v>
      </c>
      <c r="AB194" s="44"/>
      <c r="AC194" s="44">
        <f>+Y194+'Stmt of activities-GA rev'!AC193-'Stmt of activities-GAexp'!W194-AA194</f>
        <v>0</v>
      </c>
    </row>
    <row r="195" spans="1:30" s="47" customFormat="1" ht="12.75" customHeight="1" x14ac:dyDescent="0.2">
      <c r="A195" s="47" t="s">
        <v>221</v>
      </c>
      <c r="B195" s="51"/>
      <c r="C195" s="47" t="s">
        <v>27</v>
      </c>
      <c r="E195" s="44">
        <v>9472809</v>
      </c>
      <c r="F195" s="44"/>
      <c r="G195" s="44">
        <v>1386701</v>
      </c>
      <c r="H195" s="44"/>
      <c r="I195" s="44">
        <v>4527664</v>
      </c>
      <c r="J195" s="44"/>
      <c r="K195" s="44">
        <v>673807</v>
      </c>
      <c r="L195" s="44"/>
      <c r="M195" s="44">
        <v>2459672</v>
      </c>
      <c r="N195" s="44"/>
      <c r="O195" s="44">
        <v>2111718</v>
      </c>
      <c r="P195" s="44"/>
      <c r="Q195" s="44">
        <v>9384315</v>
      </c>
      <c r="R195" s="44"/>
      <c r="S195" s="44">
        <v>0</v>
      </c>
      <c r="T195" s="44"/>
      <c r="U195" s="44">
        <v>687642</v>
      </c>
      <c r="V195" s="44"/>
      <c r="W195" s="44">
        <f>SUM(E195:U195)</f>
        <v>30704328</v>
      </c>
      <c r="X195" s="44"/>
      <c r="Y195" s="44">
        <v>41456422</v>
      </c>
      <c r="Z195" s="44"/>
      <c r="AA195" s="44">
        <f>+'Stmt net assets'!Y195</f>
        <v>39055589</v>
      </c>
      <c r="AB195" s="44"/>
      <c r="AC195" s="44">
        <f>+Y195+'Stmt of activities-GA rev'!AC194-'Stmt of activities-GAexp'!W195-AA195</f>
        <v>0</v>
      </c>
    </row>
    <row r="196" spans="1:30" s="47" customFormat="1" ht="12.75" customHeight="1" x14ac:dyDescent="0.2">
      <c r="A196" s="47" t="s">
        <v>222</v>
      </c>
      <c r="B196" s="51"/>
      <c r="C196" s="47" t="s">
        <v>47</v>
      </c>
      <c r="E196" s="44">
        <v>2463233</v>
      </c>
      <c r="F196" s="44"/>
      <c r="G196" s="44">
        <v>0</v>
      </c>
      <c r="H196" s="44"/>
      <c r="I196" s="44">
        <v>334710</v>
      </c>
      <c r="J196" s="44"/>
      <c r="K196" s="44">
        <v>0</v>
      </c>
      <c r="L196" s="44"/>
      <c r="M196" s="44">
        <v>1133391</v>
      </c>
      <c r="N196" s="44"/>
      <c r="O196" s="44">
        <v>240951</v>
      </c>
      <c r="P196" s="44"/>
      <c r="Q196" s="44">
        <v>1538812</v>
      </c>
      <c r="R196" s="44"/>
      <c r="S196" s="44">
        <v>0</v>
      </c>
      <c r="T196" s="44"/>
      <c r="U196" s="44">
        <v>154848</v>
      </c>
      <c r="V196" s="44"/>
      <c r="W196" s="44">
        <f t="shared" si="8"/>
        <v>5865945</v>
      </c>
      <c r="X196" s="44"/>
      <c r="Y196" s="44">
        <v>8534289</v>
      </c>
      <c r="Z196" s="44"/>
      <c r="AA196" s="44">
        <f>+'Stmt net assets'!Y196</f>
        <v>10146181</v>
      </c>
      <c r="AB196" s="44"/>
      <c r="AC196" s="44">
        <f>+Y196+'Stmt of activities-GA rev'!AC195-'Stmt of activities-GAexp'!W196-AA196</f>
        <v>0</v>
      </c>
    </row>
    <row r="197" spans="1:30" s="47" customFormat="1" ht="12.75" customHeight="1" x14ac:dyDescent="0.2">
      <c r="A197" s="47" t="s">
        <v>223</v>
      </c>
      <c r="B197" s="51"/>
      <c r="C197" s="47" t="s">
        <v>94</v>
      </c>
      <c r="E197" s="44">
        <v>3447065</v>
      </c>
      <c r="F197" s="44"/>
      <c r="G197" s="44">
        <v>113515</v>
      </c>
      <c r="H197" s="44"/>
      <c r="I197" s="44">
        <v>509663</v>
      </c>
      <c r="J197" s="44"/>
      <c r="K197" s="44">
        <v>337489</v>
      </c>
      <c r="L197" s="44"/>
      <c r="M197" s="44">
        <v>1838374</v>
      </c>
      <c r="N197" s="44"/>
      <c r="O197" s="44">
        <v>0</v>
      </c>
      <c r="P197" s="44"/>
      <c r="Q197" s="44">
        <v>1328436</v>
      </c>
      <c r="R197" s="44"/>
      <c r="S197" s="44">
        <v>0</v>
      </c>
      <c r="T197" s="44"/>
      <c r="U197" s="44">
        <v>140361</v>
      </c>
      <c r="V197" s="44"/>
      <c r="W197" s="44">
        <f t="shared" si="8"/>
        <v>7714903</v>
      </c>
      <c r="X197" s="44"/>
      <c r="Y197" s="44">
        <v>17281317</v>
      </c>
      <c r="Z197" s="44"/>
      <c r="AA197" s="44">
        <f>+'Stmt net assets'!Y197</f>
        <v>17050505</v>
      </c>
      <c r="AB197" s="44"/>
      <c r="AC197" s="44">
        <f>+Y197+'Stmt of activities-GA rev'!AC196-'Stmt of activities-GAexp'!W197-AA197</f>
        <v>0</v>
      </c>
    </row>
    <row r="198" spans="1:30" s="47" customFormat="1" ht="12.75" customHeight="1" x14ac:dyDescent="0.2">
      <c r="A198" s="47" t="s">
        <v>76</v>
      </c>
      <c r="B198" s="51"/>
      <c r="C198" s="47" t="s">
        <v>132</v>
      </c>
      <c r="E198" s="44">
        <f>5402963+5527949+252562</f>
        <v>11183474</v>
      </c>
      <c r="F198" s="44"/>
      <c r="G198" s="44">
        <v>283560</v>
      </c>
      <c r="H198" s="44"/>
      <c r="I198" s="44">
        <v>508712</v>
      </c>
      <c r="J198" s="44"/>
      <c r="K198" s="44">
        <v>2893502</v>
      </c>
      <c r="L198" s="44"/>
      <c r="M198" s="44">
        <v>4445226</v>
      </c>
      <c r="N198" s="44"/>
      <c r="O198" s="44">
        <v>0</v>
      </c>
      <c r="P198" s="44"/>
      <c r="Q198" s="44">
        <f>1023043+3497520</f>
        <v>4520563</v>
      </c>
      <c r="R198" s="44"/>
      <c r="S198" s="44">
        <v>0</v>
      </c>
      <c r="T198" s="44"/>
      <c r="U198" s="44">
        <v>1005849</v>
      </c>
      <c r="V198" s="44"/>
      <c r="W198" s="44">
        <f t="shared" si="8"/>
        <v>24840886</v>
      </c>
      <c r="X198" s="44"/>
      <c r="Y198" s="44">
        <v>46783488</v>
      </c>
      <c r="Z198" s="44"/>
      <c r="AA198" s="44">
        <f>+'Stmt net assets'!Y198</f>
        <v>45539252</v>
      </c>
      <c r="AB198" s="44"/>
      <c r="AC198" s="44">
        <f>+Y198+'Stmt of activities-GA rev'!AC197-'Stmt of activities-GAexp'!W198-AA198</f>
        <v>0</v>
      </c>
    </row>
    <row r="199" spans="1:30" s="47" customFormat="1" ht="12.75" customHeight="1" x14ac:dyDescent="0.2">
      <c r="A199" s="47" t="s">
        <v>224</v>
      </c>
      <c r="B199" s="51"/>
      <c r="C199" s="47" t="s">
        <v>27</v>
      </c>
      <c r="E199" s="44">
        <v>4206144</v>
      </c>
      <c r="F199" s="44"/>
      <c r="G199" s="44">
        <v>871585</v>
      </c>
      <c r="H199" s="44"/>
      <c r="I199" s="44">
        <v>1691677</v>
      </c>
      <c r="J199" s="44"/>
      <c r="K199" s="44">
        <v>600536</v>
      </c>
      <c r="L199" s="44"/>
      <c r="M199" s="44">
        <v>2052163</v>
      </c>
      <c r="N199" s="44"/>
      <c r="O199" s="44">
        <v>71991</v>
      </c>
      <c r="P199" s="44"/>
      <c r="Q199" s="44">
        <v>2147725</v>
      </c>
      <c r="R199" s="44"/>
      <c r="S199" s="44">
        <v>0</v>
      </c>
      <c r="T199" s="44"/>
      <c r="U199" s="44">
        <v>775591</v>
      </c>
      <c r="V199" s="44"/>
      <c r="W199" s="44">
        <f t="shared" si="8"/>
        <v>12417412</v>
      </c>
      <c r="X199" s="44"/>
      <c r="Y199" s="44">
        <v>12620306</v>
      </c>
      <c r="Z199" s="44"/>
      <c r="AA199" s="44">
        <f>+'Stmt net assets'!Y199</f>
        <v>13210115</v>
      </c>
      <c r="AB199" s="44"/>
      <c r="AC199" s="44">
        <f>+Y199+'Stmt of activities-GA rev'!AC198-'Stmt of activities-GAexp'!W199-AA199</f>
        <v>0</v>
      </c>
    </row>
    <row r="200" spans="1:30" s="47" customFormat="1" ht="12.75" customHeight="1" x14ac:dyDescent="0.2">
      <c r="A200" s="47" t="s">
        <v>225</v>
      </c>
      <c r="B200" s="51"/>
      <c r="C200" s="47" t="s">
        <v>27</v>
      </c>
      <c r="E200" s="44">
        <f>13722786+7749867+777598</f>
        <v>22250251</v>
      </c>
      <c r="F200" s="44"/>
      <c r="G200" s="44">
        <v>572027</v>
      </c>
      <c r="H200" s="44"/>
      <c r="I200" s="44">
        <f>2929883+1106467</f>
        <v>4036350</v>
      </c>
      <c r="J200" s="44"/>
      <c r="K200" s="44">
        <v>5377610</v>
      </c>
      <c r="L200" s="44"/>
      <c r="M200" s="44">
        <v>2983859</v>
      </c>
      <c r="N200" s="44"/>
      <c r="O200" s="44">
        <v>4433164</v>
      </c>
      <c r="P200" s="44"/>
      <c r="Q200" s="44">
        <f>5032074+2444853</f>
        <v>7476927</v>
      </c>
      <c r="R200" s="44"/>
      <c r="S200" s="44">
        <v>2502961</v>
      </c>
      <c r="T200" s="44"/>
      <c r="U200" s="44">
        <v>902508</v>
      </c>
      <c r="V200" s="44"/>
      <c r="W200" s="44">
        <f t="shared" si="8"/>
        <v>50535657</v>
      </c>
      <c r="X200" s="44"/>
      <c r="Y200" s="44">
        <v>103547771</v>
      </c>
      <c r="Z200" s="44"/>
      <c r="AA200" s="44">
        <f>+'Stmt net assets'!Y200</f>
        <v>105245182</v>
      </c>
      <c r="AB200" s="44"/>
      <c r="AC200" s="44">
        <f>+Y200+'Stmt of activities-GA rev'!AC199-'Stmt of activities-GAexp'!W200-AA200</f>
        <v>0</v>
      </c>
    </row>
    <row r="201" spans="1:30" s="47" customFormat="1" ht="12.75" customHeight="1" x14ac:dyDescent="0.2">
      <c r="A201" s="47" t="s">
        <v>226</v>
      </c>
      <c r="B201" s="51"/>
      <c r="C201" s="47" t="s">
        <v>45</v>
      </c>
      <c r="E201" s="44">
        <v>12287143</v>
      </c>
      <c r="F201" s="44"/>
      <c r="G201" s="44">
        <v>374700</v>
      </c>
      <c r="H201" s="44"/>
      <c r="I201" s="44">
        <v>3087936</v>
      </c>
      <c r="J201" s="44"/>
      <c r="K201" s="44">
        <v>586111</v>
      </c>
      <c r="L201" s="44"/>
      <c r="M201" s="44">
        <v>2721535</v>
      </c>
      <c r="N201" s="44"/>
      <c r="O201" s="44">
        <v>527483</v>
      </c>
      <c r="P201" s="44"/>
      <c r="Q201" s="44">
        <v>4033393</v>
      </c>
      <c r="R201" s="44"/>
      <c r="S201" s="44">
        <v>0</v>
      </c>
      <c r="T201" s="44"/>
      <c r="U201" s="44">
        <v>536851</v>
      </c>
      <c r="V201" s="44"/>
      <c r="W201" s="44">
        <f t="shared" ref="W201" si="9">SUM(E201:U201)</f>
        <v>24155152</v>
      </c>
      <c r="X201" s="44"/>
      <c r="Y201" s="44">
        <v>34035484</v>
      </c>
      <c r="Z201" s="44"/>
      <c r="AA201" s="44">
        <f>+'Stmt net assets'!Y201</f>
        <v>37492512</v>
      </c>
      <c r="AB201" s="44"/>
      <c r="AC201" s="44">
        <f>+Y201+'Stmt of activities-GA rev'!AC201-'Stmt of activities-GAexp'!W201-AA201</f>
        <v>0</v>
      </c>
      <c r="AD201" s="103"/>
    </row>
    <row r="202" spans="1:30" s="46" customFormat="1" ht="12.75" customHeight="1" x14ac:dyDescent="0.2">
      <c r="A202" s="46" t="s">
        <v>227</v>
      </c>
      <c r="B202" s="66"/>
      <c r="C202" s="46" t="s">
        <v>17</v>
      </c>
      <c r="E202" s="44">
        <v>2952553</v>
      </c>
      <c r="F202" s="44"/>
      <c r="G202" s="44">
        <v>31644</v>
      </c>
      <c r="H202" s="44"/>
      <c r="I202" s="44">
        <v>169323</v>
      </c>
      <c r="J202" s="44"/>
      <c r="K202" s="44">
        <v>126069</v>
      </c>
      <c r="L202" s="44"/>
      <c r="M202" s="44">
        <v>1349647</v>
      </c>
      <c r="N202" s="44"/>
      <c r="O202" s="44">
        <v>729486</v>
      </c>
      <c r="P202" s="44"/>
      <c r="Q202" s="44">
        <v>1118175</v>
      </c>
      <c r="R202" s="44"/>
      <c r="S202" s="44">
        <v>0</v>
      </c>
      <c r="T202" s="44"/>
      <c r="U202" s="44">
        <v>202727</v>
      </c>
      <c r="V202" s="44"/>
      <c r="W202" s="44">
        <f t="shared" ref="W202:W242" si="10">SUM(E202:U202)</f>
        <v>6679624</v>
      </c>
      <c r="X202" s="44"/>
      <c r="Y202" s="44">
        <v>15378767</v>
      </c>
      <c r="Z202" s="44"/>
      <c r="AA202" s="44">
        <f>+'Stmt net assets'!Y202</f>
        <v>14852196</v>
      </c>
      <c r="AB202" s="44"/>
      <c r="AC202" s="44">
        <f>+Y202+'Stmt of activities-GA rev'!AC202-'Stmt of activities-GAexp'!W202-AA202</f>
        <v>0</v>
      </c>
    </row>
    <row r="203" spans="1:30" s="47" customFormat="1" ht="12.75" customHeight="1" x14ac:dyDescent="0.2">
      <c r="A203" s="47" t="s">
        <v>228</v>
      </c>
      <c r="B203" s="51"/>
      <c r="C203" s="47" t="s">
        <v>153</v>
      </c>
      <c r="E203" s="44">
        <v>3245390</v>
      </c>
      <c r="F203" s="44"/>
      <c r="G203" s="44">
        <v>261318</v>
      </c>
      <c r="H203" s="44"/>
      <c r="I203" s="44">
        <v>80782</v>
      </c>
      <c r="J203" s="44"/>
      <c r="K203" s="44">
        <v>1617244</v>
      </c>
      <c r="L203" s="44"/>
      <c r="M203" s="44">
        <v>949972</v>
      </c>
      <c r="N203" s="44"/>
      <c r="O203" s="44">
        <v>0</v>
      </c>
      <c r="P203" s="44"/>
      <c r="Q203" s="44">
        <v>932947</v>
      </c>
      <c r="R203" s="44"/>
      <c r="S203" s="44">
        <v>36336</v>
      </c>
      <c r="T203" s="44"/>
      <c r="U203" s="44">
        <v>50494</v>
      </c>
      <c r="V203" s="44"/>
      <c r="W203" s="44">
        <f t="shared" si="10"/>
        <v>7174483</v>
      </c>
      <c r="X203" s="44"/>
      <c r="Y203" s="44">
        <v>20940805</v>
      </c>
      <c r="Z203" s="44"/>
      <c r="AA203" s="44">
        <f>+'Stmt net assets'!Y203</f>
        <v>21493083</v>
      </c>
      <c r="AB203" s="44"/>
      <c r="AC203" s="44">
        <f>+Y203+'Stmt of activities-GA rev'!AC203-'Stmt of activities-GAexp'!W203-AA203</f>
        <v>0</v>
      </c>
    </row>
    <row r="204" spans="1:30" s="47" customFormat="1" ht="12.75" customHeight="1" x14ac:dyDescent="0.2">
      <c r="A204" s="47" t="s">
        <v>229</v>
      </c>
      <c r="B204" s="51"/>
      <c r="C204" s="47" t="s">
        <v>228</v>
      </c>
      <c r="E204" s="44">
        <f>5995394+4635651</f>
        <v>10631045</v>
      </c>
      <c r="F204" s="44"/>
      <c r="G204" s="44">
        <v>188091</v>
      </c>
      <c r="H204" s="44"/>
      <c r="I204" s="44">
        <v>1365458</v>
      </c>
      <c r="J204" s="44"/>
      <c r="K204" s="44">
        <f>833892+783027</f>
        <v>1616919</v>
      </c>
      <c r="L204" s="44"/>
      <c r="M204" s="44">
        <f>1364+3420370</f>
        <v>3421734</v>
      </c>
      <c r="N204" s="44"/>
      <c r="O204" s="44">
        <v>0</v>
      </c>
      <c r="P204" s="44"/>
      <c r="Q204" s="44">
        <f>820683+1638942</f>
        <v>2459625</v>
      </c>
      <c r="R204" s="44"/>
      <c r="S204" s="44">
        <v>0</v>
      </c>
      <c r="T204" s="44"/>
      <c r="U204" s="44">
        <v>321257</v>
      </c>
      <c r="V204" s="44"/>
      <c r="W204" s="44">
        <f t="shared" si="10"/>
        <v>20004129</v>
      </c>
      <c r="X204" s="44"/>
      <c r="Y204" s="44">
        <v>54983310</v>
      </c>
      <c r="Z204" s="44"/>
      <c r="AA204" s="44">
        <f>+'Stmt net assets'!Y204</f>
        <v>57689128</v>
      </c>
      <c r="AB204" s="44"/>
      <c r="AC204" s="44">
        <f>+Y204+'Stmt of activities-GA rev'!AC204-'Stmt of activities-GAexp'!W204-AA204</f>
        <v>0</v>
      </c>
    </row>
    <row r="205" spans="1:30" s="122" customFormat="1" ht="12.75" hidden="1" customHeight="1" x14ac:dyDescent="0.2">
      <c r="A205" s="122" t="s">
        <v>230</v>
      </c>
      <c r="B205" s="124"/>
      <c r="C205" s="122" t="s">
        <v>45</v>
      </c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>
        <f t="shared" si="10"/>
        <v>0</v>
      </c>
      <c r="X205" s="121"/>
      <c r="Y205" s="121"/>
      <c r="Z205" s="121"/>
      <c r="AA205" s="121">
        <f>+'Stmt net assets'!Y205</f>
        <v>0</v>
      </c>
      <c r="AB205" s="121"/>
      <c r="AC205" s="121">
        <f>+Y205+'Stmt of activities-GA rev'!AC205-'Stmt of activities-GAexp'!W205-AA205</f>
        <v>0</v>
      </c>
      <c r="AD205" s="121" t="s">
        <v>509</v>
      </c>
    </row>
    <row r="206" spans="1:30" s="47" customFormat="1" ht="12.75" customHeight="1" x14ac:dyDescent="0.2">
      <c r="A206" s="47" t="s">
        <v>231</v>
      </c>
      <c r="B206" s="51"/>
      <c r="C206" s="47" t="s">
        <v>27</v>
      </c>
      <c r="E206" s="44">
        <f>8501513+8137648+258477</f>
        <v>16897638</v>
      </c>
      <c r="F206" s="44"/>
      <c r="G206" s="44">
        <v>85571</v>
      </c>
      <c r="H206" s="44"/>
      <c r="I206" s="44">
        <v>6594011</v>
      </c>
      <c r="J206" s="44"/>
      <c r="K206" s="44">
        <v>2793632</v>
      </c>
      <c r="L206" s="44"/>
      <c r="M206" s="44">
        <v>14847835</v>
      </c>
      <c r="N206" s="44"/>
      <c r="O206" s="44">
        <v>2668113</v>
      </c>
      <c r="P206" s="44"/>
      <c r="Q206" s="44">
        <v>5426644</v>
      </c>
      <c r="R206" s="44"/>
      <c r="S206" s="44">
        <v>0</v>
      </c>
      <c r="T206" s="44"/>
      <c r="U206" s="44">
        <v>533090</v>
      </c>
      <c r="V206" s="44"/>
      <c r="W206" s="44">
        <f t="shared" si="10"/>
        <v>49846534</v>
      </c>
      <c r="X206" s="44"/>
      <c r="Y206" s="44">
        <v>143606056</v>
      </c>
      <c r="Z206" s="44"/>
      <c r="AA206" s="44">
        <f>+'Stmt net assets'!Y206</f>
        <v>146352216</v>
      </c>
      <c r="AB206" s="44"/>
      <c r="AC206" s="44">
        <f>+Y206+'Stmt of activities-GA rev'!AC206-'Stmt of activities-GAexp'!W206-AA206</f>
        <v>0</v>
      </c>
    </row>
    <row r="207" spans="1:30" s="47" customFormat="1" ht="12.75" customHeight="1" x14ac:dyDescent="0.2">
      <c r="A207" s="47" t="s">
        <v>232</v>
      </c>
      <c r="B207" s="51"/>
      <c r="C207" s="47" t="s">
        <v>27</v>
      </c>
      <c r="E207" s="44">
        <f>5251799+3817587</f>
        <v>9069386</v>
      </c>
      <c r="F207" s="44"/>
      <c r="G207" s="44">
        <v>125129</v>
      </c>
      <c r="H207" s="44"/>
      <c r="I207" s="44">
        <v>450164</v>
      </c>
      <c r="J207" s="44"/>
      <c r="K207" s="44">
        <v>241334</v>
      </c>
      <c r="L207" s="44"/>
      <c r="M207" s="44">
        <v>3625163</v>
      </c>
      <c r="N207" s="44"/>
      <c r="O207" s="44">
        <v>4438034</v>
      </c>
      <c r="P207" s="44"/>
      <c r="Q207" s="44">
        <f>2530948+567380</f>
        <v>3098328</v>
      </c>
      <c r="R207" s="44"/>
      <c r="S207" s="44">
        <f>331283+640481</f>
        <v>971764</v>
      </c>
      <c r="T207" s="44"/>
      <c r="U207" s="44">
        <v>575742</v>
      </c>
      <c r="V207" s="44"/>
      <c r="W207" s="44">
        <f t="shared" si="10"/>
        <v>22595044</v>
      </c>
      <c r="X207" s="44"/>
      <c r="Y207" s="44">
        <v>48764576</v>
      </c>
      <c r="Z207" s="44"/>
      <c r="AA207" s="44">
        <f>+'Stmt net assets'!Y207</f>
        <v>39491920</v>
      </c>
      <c r="AB207" s="44"/>
      <c r="AC207" s="44">
        <f>+Y207+'Stmt of activities-GA rev'!AC207-'Stmt of activities-GAexp'!W207-AA207</f>
        <v>0</v>
      </c>
    </row>
    <row r="208" spans="1:30" s="47" customFormat="1" ht="12.75" customHeight="1" x14ac:dyDescent="0.2">
      <c r="A208" s="47" t="s">
        <v>233</v>
      </c>
      <c r="B208" s="51"/>
      <c r="C208" s="47" t="s">
        <v>111</v>
      </c>
      <c r="E208" s="44">
        <v>3092860</v>
      </c>
      <c r="F208" s="44"/>
      <c r="G208" s="44">
        <v>14697</v>
      </c>
      <c r="H208" s="44"/>
      <c r="I208" s="44">
        <v>610141</v>
      </c>
      <c r="J208" s="44"/>
      <c r="K208" s="44">
        <v>550746</v>
      </c>
      <c r="L208" s="44"/>
      <c r="M208" s="44">
        <v>2295541</v>
      </c>
      <c r="N208" s="44"/>
      <c r="O208" s="44">
        <v>0</v>
      </c>
      <c r="P208" s="44"/>
      <c r="Q208" s="44">
        <v>5290935</v>
      </c>
      <c r="R208" s="44"/>
      <c r="S208" s="44">
        <v>0</v>
      </c>
      <c r="T208" s="44"/>
      <c r="U208" s="44">
        <v>671891</v>
      </c>
      <c r="V208" s="44"/>
      <c r="W208" s="44">
        <f t="shared" si="10"/>
        <v>12526811</v>
      </c>
      <c r="X208" s="44"/>
      <c r="Y208" s="44">
        <v>53020990</v>
      </c>
      <c r="Z208" s="44"/>
      <c r="AA208" s="44">
        <f>+'Stmt net assets'!Y208</f>
        <v>54406016</v>
      </c>
      <c r="AB208" s="44"/>
      <c r="AC208" s="44">
        <f>+Y208+'Stmt of activities-GA rev'!AC208-'Stmt of activities-GAexp'!W208-AA208</f>
        <v>0</v>
      </c>
    </row>
    <row r="209" spans="1:30" s="47" customFormat="1" ht="12.75" customHeight="1" x14ac:dyDescent="0.2">
      <c r="A209" s="47" t="s">
        <v>234</v>
      </c>
      <c r="B209" s="51"/>
      <c r="C209" s="47" t="s">
        <v>45</v>
      </c>
      <c r="E209" s="44">
        <v>8302605</v>
      </c>
      <c r="F209" s="44"/>
      <c r="G209" s="44">
        <v>325822</v>
      </c>
      <c r="H209" s="44"/>
      <c r="I209" s="44">
        <v>1680816</v>
      </c>
      <c r="J209" s="44"/>
      <c r="K209" s="44">
        <v>496284</v>
      </c>
      <c r="L209" s="44"/>
      <c r="M209" s="44">
        <v>2316491</v>
      </c>
      <c r="N209" s="44"/>
      <c r="O209" s="44">
        <v>0</v>
      </c>
      <c r="P209" s="44"/>
      <c r="Q209" s="44">
        <v>3967096</v>
      </c>
      <c r="R209" s="44"/>
      <c r="S209" s="44">
        <v>0</v>
      </c>
      <c r="T209" s="44"/>
      <c r="U209" s="44">
        <v>281867</v>
      </c>
      <c r="V209" s="44"/>
      <c r="W209" s="44">
        <f t="shared" si="10"/>
        <v>17370981</v>
      </c>
      <c r="X209" s="44"/>
      <c r="Y209" s="44">
        <v>48502499</v>
      </c>
      <c r="Z209" s="44"/>
      <c r="AA209" s="44">
        <f>+'Stmt net assets'!Y209</f>
        <v>48535492</v>
      </c>
      <c r="AB209" s="44"/>
      <c r="AC209" s="44">
        <f>+Y209+'Stmt of activities-GA rev'!AC209-'Stmt of activities-GAexp'!W209-AA209</f>
        <v>0</v>
      </c>
      <c r="AD209" s="44"/>
    </row>
    <row r="210" spans="1:30" s="47" customFormat="1" ht="12.75" customHeight="1" x14ac:dyDescent="0.2">
      <c r="A210" s="47" t="s">
        <v>235</v>
      </c>
      <c r="C210" s="47" t="s">
        <v>183</v>
      </c>
      <c r="E210" s="44">
        <v>29215142</v>
      </c>
      <c r="F210" s="44"/>
      <c r="G210" s="44">
        <v>148872</v>
      </c>
      <c r="H210" s="44"/>
      <c r="I210" s="44">
        <v>2512341</v>
      </c>
      <c r="J210" s="44"/>
      <c r="K210" s="44">
        <v>19126365</v>
      </c>
      <c r="L210" s="44"/>
      <c r="M210" s="44">
        <v>9090861</v>
      </c>
      <c r="N210" s="44"/>
      <c r="O210" s="44">
        <v>357450</v>
      </c>
      <c r="P210" s="44"/>
      <c r="Q210" s="44">
        <v>10934457</v>
      </c>
      <c r="R210" s="44"/>
      <c r="S210" s="44">
        <v>0</v>
      </c>
      <c r="T210" s="44"/>
      <c r="U210" s="44">
        <v>429616</v>
      </c>
      <c r="V210" s="44"/>
      <c r="W210" s="44">
        <f t="shared" si="10"/>
        <v>71815104</v>
      </c>
      <c r="X210" s="44"/>
      <c r="Y210" s="44">
        <v>100097057</v>
      </c>
      <c r="Z210" s="44"/>
      <c r="AA210" s="44">
        <f>+'Stmt net assets'!Y210</f>
        <v>101787564</v>
      </c>
      <c r="AB210" s="44"/>
      <c r="AC210" s="44">
        <f>+Y210+'Stmt of activities-GA rev'!AC210-'Stmt of activities-GAexp'!W210-AA210</f>
        <v>0</v>
      </c>
      <c r="AD210" s="44"/>
    </row>
    <row r="211" spans="1:30" s="47" customFormat="1" ht="12.75" customHeight="1" x14ac:dyDescent="0.2">
      <c r="A211" s="47" t="s">
        <v>236</v>
      </c>
      <c r="B211" s="51"/>
      <c r="C211" s="47" t="s">
        <v>45</v>
      </c>
      <c r="E211" s="44">
        <v>5826502</v>
      </c>
      <c r="F211" s="44"/>
      <c r="G211" s="44">
        <v>85658</v>
      </c>
      <c r="H211" s="44"/>
      <c r="I211" s="44">
        <v>520632</v>
      </c>
      <c r="J211" s="44"/>
      <c r="K211" s="44">
        <v>232428</v>
      </c>
      <c r="L211" s="44"/>
      <c r="M211" s="44">
        <v>1346149</v>
      </c>
      <c r="N211" s="44"/>
      <c r="O211" s="44">
        <v>0</v>
      </c>
      <c r="P211" s="44"/>
      <c r="Q211" s="44">
        <v>6365793</v>
      </c>
      <c r="R211" s="44"/>
      <c r="S211" s="44">
        <v>1692542</v>
      </c>
      <c r="T211" s="44"/>
      <c r="U211" s="44">
        <v>144012</v>
      </c>
      <c r="V211" s="44"/>
      <c r="W211" s="44">
        <f t="shared" si="10"/>
        <v>16213716</v>
      </c>
      <c r="X211" s="44"/>
      <c r="Y211" s="44">
        <v>24762124</v>
      </c>
      <c r="Z211" s="44"/>
      <c r="AA211" s="44">
        <f>+'Stmt net assets'!Y211</f>
        <v>23234004</v>
      </c>
      <c r="AB211" s="44"/>
      <c r="AC211" s="44">
        <f>+Y211+'Stmt of activities-GA rev'!AC211-'Stmt of activities-GAexp'!W211-AA211</f>
        <v>0</v>
      </c>
      <c r="AD211" s="44"/>
    </row>
    <row r="212" spans="1:30" s="47" customFormat="1" ht="12.75" customHeight="1" x14ac:dyDescent="0.2">
      <c r="A212" s="47" t="s">
        <v>237</v>
      </c>
      <c r="B212" s="51"/>
      <c r="C212" s="47" t="s">
        <v>33</v>
      </c>
      <c r="E212" s="44">
        <v>994497</v>
      </c>
      <c r="F212" s="44"/>
      <c r="G212" s="44">
        <v>32215</v>
      </c>
      <c r="H212" s="44"/>
      <c r="I212" s="44">
        <v>400435</v>
      </c>
      <c r="J212" s="44"/>
      <c r="K212" s="44">
        <v>327754</v>
      </c>
      <c r="L212" s="44"/>
      <c r="M212" s="44">
        <v>475697</v>
      </c>
      <c r="N212" s="44"/>
      <c r="O212" s="44">
        <v>0</v>
      </c>
      <c r="P212" s="44"/>
      <c r="Q212" s="44">
        <v>305938</v>
      </c>
      <c r="R212" s="44"/>
      <c r="S212" s="44">
        <v>0</v>
      </c>
      <c r="T212" s="44"/>
      <c r="U212" s="44">
        <v>44804</v>
      </c>
      <c r="V212" s="44"/>
      <c r="W212" s="44">
        <f t="shared" si="10"/>
        <v>2581340</v>
      </c>
      <c r="X212" s="44"/>
      <c r="Y212" s="44">
        <v>7942326</v>
      </c>
      <c r="Z212" s="44"/>
      <c r="AA212" s="44">
        <f>+'Stmt net assets'!Y212</f>
        <v>8729648</v>
      </c>
      <c r="AB212" s="44"/>
      <c r="AC212" s="44">
        <f>+Y212+'Stmt of activities-GA rev'!AC212-'Stmt of activities-GAexp'!W212-AA212</f>
        <v>0</v>
      </c>
    </row>
    <row r="213" spans="1:30" s="47" customFormat="1" ht="12.75" customHeight="1" x14ac:dyDescent="0.2">
      <c r="A213" s="47" t="s">
        <v>238</v>
      </c>
      <c r="B213" s="51"/>
      <c r="C213" s="47" t="s">
        <v>239</v>
      </c>
      <c r="E213" s="44">
        <v>3355764</v>
      </c>
      <c r="F213" s="44"/>
      <c r="G213" s="44">
        <v>68647</v>
      </c>
      <c r="H213" s="44"/>
      <c r="I213" s="44">
        <v>394902</v>
      </c>
      <c r="J213" s="44"/>
      <c r="K213" s="44">
        <v>134817</v>
      </c>
      <c r="L213" s="44"/>
      <c r="M213" s="44">
        <v>1960452</v>
      </c>
      <c r="N213" s="44"/>
      <c r="O213" s="44">
        <v>0</v>
      </c>
      <c r="P213" s="44"/>
      <c r="Q213" s="44">
        <v>949828</v>
      </c>
      <c r="R213" s="44"/>
      <c r="S213" s="44">
        <v>0</v>
      </c>
      <c r="T213" s="44"/>
      <c r="U213" s="44">
        <v>14350</v>
      </c>
      <c r="V213" s="44"/>
      <c r="W213" s="44">
        <f t="shared" si="10"/>
        <v>6878760</v>
      </c>
      <c r="X213" s="44"/>
      <c r="Y213" s="44">
        <v>33566682</v>
      </c>
      <c r="Z213" s="44"/>
      <c r="AA213" s="44">
        <f>+'Stmt net assets'!Y213</f>
        <v>32844394</v>
      </c>
      <c r="AB213" s="44"/>
      <c r="AC213" s="44">
        <f>+Y213+'Stmt of activities-GA rev'!AC213-'Stmt of activities-GAexp'!W213-AA213</f>
        <v>0</v>
      </c>
    </row>
    <row r="214" spans="1:30" s="47" customFormat="1" ht="12.75" customHeight="1" x14ac:dyDescent="0.2">
      <c r="A214" s="47" t="s">
        <v>486</v>
      </c>
      <c r="B214" s="51"/>
      <c r="C214" s="47" t="s">
        <v>249</v>
      </c>
      <c r="E214" s="44">
        <v>7694175</v>
      </c>
      <c r="F214" s="44"/>
      <c r="G214" s="44">
        <v>654869</v>
      </c>
      <c r="H214" s="44"/>
      <c r="I214" s="44">
        <v>1047822</v>
      </c>
      <c r="J214" s="44"/>
      <c r="K214" s="44">
        <v>941681</v>
      </c>
      <c r="L214" s="44"/>
      <c r="M214" s="44">
        <v>6514411</v>
      </c>
      <c r="N214" s="44"/>
      <c r="O214" s="44">
        <v>0</v>
      </c>
      <c r="P214" s="44"/>
      <c r="Q214" s="44">
        <v>2990157</v>
      </c>
      <c r="R214" s="44"/>
      <c r="S214" s="44">
        <v>0</v>
      </c>
      <c r="T214" s="44"/>
      <c r="U214" s="44">
        <v>278428</v>
      </c>
      <c r="V214" s="44"/>
      <c r="W214" s="44">
        <f t="shared" si="10"/>
        <v>20121543</v>
      </c>
      <c r="X214" s="44"/>
      <c r="Y214" s="44">
        <v>32799383</v>
      </c>
      <c r="Z214" s="44"/>
      <c r="AA214" s="44">
        <f>+'Stmt net assets'!Y214</f>
        <v>37436964</v>
      </c>
      <c r="AB214" s="44"/>
      <c r="AC214" s="44">
        <f>+Y214+'Stmt of activities-GA rev'!AC214-'Stmt of activities-GAexp'!W214-AA214</f>
        <v>0</v>
      </c>
    </row>
    <row r="215" spans="1:30" s="47" customFormat="1" ht="12.75" customHeight="1" x14ac:dyDescent="0.2">
      <c r="A215" s="47" t="s">
        <v>240</v>
      </c>
      <c r="B215" s="51"/>
      <c r="C215" s="47" t="s">
        <v>13</v>
      </c>
      <c r="E215" s="44">
        <v>14730146</v>
      </c>
      <c r="F215" s="44"/>
      <c r="G215" s="44">
        <v>507871</v>
      </c>
      <c r="H215" s="44"/>
      <c r="I215" s="44">
        <v>1826697</v>
      </c>
      <c r="J215" s="44"/>
      <c r="K215" s="44">
        <v>1104860</v>
      </c>
      <c r="L215" s="44"/>
      <c r="M215" s="44">
        <v>4259590</v>
      </c>
      <c r="N215" s="44"/>
      <c r="O215" s="44">
        <v>0</v>
      </c>
      <c r="P215" s="44"/>
      <c r="Q215" s="44">
        <v>8840406</v>
      </c>
      <c r="R215" s="44"/>
      <c r="S215" s="44">
        <v>0</v>
      </c>
      <c r="T215" s="44"/>
      <c r="U215" s="44">
        <v>840657</v>
      </c>
      <c r="V215" s="44"/>
      <c r="W215" s="44">
        <f t="shared" si="10"/>
        <v>32110227</v>
      </c>
      <c r="X215" s="44"/>
      <c r="Y215" s="44">
        <v>52396337</v>
      </c>
      <c r="Z215" s="44"/>
      <c r="AA215" s="44">
        <f>+'Stmt net assets'!Y215</f>
        <v>52715551</v>
      </c>
      <c r="AB215" s="44"/>
      <c r="AC215" s="44">
        <f>+Y215+'Stmt of activities-GA rev'!AC215-'Stmt of activities-GAexp'!W215-AA215</f>
        <v>0</v>
      </c>
    </row>
    <row r="216" spans="1:30" s="47" customFormat="1" ht="12.75" customHeight="1" x14ac:dyDescent="0.2">
      <c r="A216" s="47" t="s">
        <v>241</v>
      </c>
      <c r="B216" s="51"/>
      <c r="C216" s="47" t="s">
        <v>22</v>
      </c>
      <c r="E216" s="44">
        <v>6220906</v>
      </c>
      <c r="F216" s="44"/>
      <c r="G216" s="44">
        <v>34015</v>
      </c>
      <c r="H216" s="44"/>
      <c r="I216" s="44">
        <v>589581</v>
      </c>
      <c r="J216" s="44"/>
      <c r="K216" s="44">
        <f>776292+300</f>
        <v>776592</v>
      </c>
      <c r="L216" s="44"/>
      <c r="M216" s="44">
        <v>1270684</v>
      </c>
      <c r="N216" s="44"/>
      <c r="O216" s="44">
        <v>963846</v>
      </c>
      <c r="P216" s="44"/>
      <c r="Q216" s="44">
        <v>3034694</v>
      </c>
      <c r="R216" s="44"/>
      <c r="S216" s="44">
        <v>0</v>
      </c>
      <c r="T216" s="44"/>
      <c r="U216" s="44">
        <v>165028</v>
      </c>
      <c r="V216" s="44"/>
      <c r="W216" s="44">
        <f t="shared" si="10"/>
        <v>13055346</v>
      </c>
      <c r="X216" s="44"/>
      <c r="Y216" s="44">
        <v>11245487</v>
      </c>
      <c r="Z216" s="44"/>
      <c r="AA216" s="44">
        <f>+'Stmt net assets'!Y216</f>
        <v>12910477</v>
      </c>
      <c r="AB216" s="44"/>
      <c r="AC216" s="44">
        <f>+Y216+'Stmt of activities-GA rev'!AC216-'Stmt of activities-GAexp'!W216-AA216</f>
        <v>0</v>
      </c>
    </row>
    <row r="217" spans="1:30" s="47" customFormat="1" ht="12.75" customHeight="1" x14ac:dyDescent="0.2">
      <c r="A217" s="47" t="s">
        <v>242</v>
      </c>
      <c r="B217" s="51"/>
      <c r="C217" s="47" t="s">
        <v>27</v>
      </c>
      <c r="E217" s="44">
        <v>21516765</v>
      </c>
      <c r="F217" s="44"/>
      <c r="G217" s="44">
        <v>601590</v>
      </c>
      <c r="H217" s="44"/>
      <c r="I217" s="44">
        <v>5748672</v>
      </c>
      <c r="J217" s="44"/>
      <c r="K217" s="44">
        <v>1746987</v>
      </c>
      <c r="L217" s="44"/>
      <c r="M217" s="44">
        <v>19356513</v>
      </c>
      <c r="N217" s="44"/>
      <c r="O217" s="44">
        <v>2076197</v>
      </c>
      <c r="P217" s="44"/>
      <c r="Q217" s="44">
        <v>5530388</v>
      </c>
      <c r="R217" s="44"/>
      <c r="S217" s="44">
        <v>0</v>
      </c>
      <c r="T217" s="44"/>
      <c r="U217" s="44">
        <v>2339292</v>
      </c>
      <c r="V217" s="44"/>
      <c r="W217" s="44">
        <f t="shared" si="10"/>
        <v>58916404</v>
      </c>
      <c r="X217" s="44"/>
      <c r="Y217" s="44">
        <v>161289848</v>
      </c>
      <c r="Z217" s="44"/>
      <c r="AA217" s="44">
        <f>+'Stmt net assets'!Y217</f>
        <v>160096097</v>
      </c>
      <c r="AB217" s="44"/>
      <c r="AC217" s="44">
        <f>+Y217+'Stmt of activities-GA rev'!AC217-'Stmt of activities-GAexp'!W217-AA217</f>
        <v>0</v>
      </c>
    </row>
    <row r="218" spans="1:30" s="47" customFormat="1" ht="12.75" customHeight="1" x14ac:dyDescent="0.2">
      <c r="A218" s="47" t="s">
        <v>243</v>
      </c>
      <c r="B218" s="51"/>
      <c r="C218" s="47" t="s">
        <v>163</v>
      </c>
      <c r="E218" s="44">
        <v>6646625</v>
      </c>
      <c r="F218" s="44"/>
      <c r="G218" s="44">
        <v>147899</v>
      </c>
      <c r="H218" s="44"/>
      <c r="I218" s="44">
        <v>1218715</v>
      </c>
      <c r="J218" s="44"/>
      <c r="K218" s="44">
        <v>810571</v>
      </c>
      <c r="L218" s="44"/>
      <c r="M218" s="44">
        <v>987823</v>
      </c>
      <c r="N218" s="44"/>
      <c r="O218" s="44">
        <v>1148473</v>
      </c>
      <c r="P218" s="44"/>
      <c r="Q218" s="44">
        <v>6254317</v>
      </c>
      <c r="R218" s="44"/>
      <c r="S218" s="44">
        <v>0</v>
      </c>
      <c r="T218" s="44"/>
      <c r="U218" s="44">
        <v>710276</v>
      </c>
      <c r="V218" s="44"/>
      <c r="W218" s="44">
        <f t="shared" si="10"/>
        <v>17924699</v>
      </c>
      <c r="X218" s="44"/>
      <c r="Y218" s="44">
        <v>38704963</v>
      </c>
      <c r="Z218" s="44"/>
      <c r="AA218" s="44">
        <f>+'Stmt net assets'!Y218</f>
        <v>36894497</v>
      </c>
      <c r="AB218" s="44"/>
      <c r="AC218" s="44">
        <f>+Y218+'Stmt of activities-GA rev'!AC218-'Stmt of activities-GAexp'!W218-AA218</f>
        <v>0</v>
      </c>
    </row>
    <row r="219" spans="1:30" s="47" customFormat="1" ht="12.75" customHeight="1" x14ac:dyDescent="0.2">
      <c r="A219" s="47" t="s">
        <v>244</v>
      </c>
      <c r="B219" s="51"/>
      <c r="C219" s="47" t="s">
        <v>13</v>
      </c>
      <c r="E219" s="44">
        <f>3814646+38378+2619214</f>
        <v>6472238</v>
      </c>
      <c r="F219" s="44"/>
      <c r="G219" s="44">
        <v>65616</v>
      </c>
      <c r="H219" s="44"/>
      <c r="I219" s="44">
        <v>2046925</v>
      </c>
      <c r="J219" s="44"/>
      <c r="K219" s="44">
        <v>235743</v>
      </c>
      <c r="L219" s="44"/>
      <c r="M219" s="44">
        <v>2496576</v>
      </c>
      <c r="N219" s="44"/>
      <c r="O219" s="44">
        <v>0</v>
      </c>
      <c r="P219" s="44"/>
      <c r="Q219" s="44">
        <v>3182528</v>
      </c>
      <c r="R219" s="44"/>
      <c r="S219" s="44">
        <v>0</v>
      </c>
      <c r="T219" s="44"/>
      <c r="U219" s="44">
        <v>482500</v>
      </c>
      <c r="V219" s="44"/>
      <c r="W219" s="44">
        <f t="shared" si="10"/>
        <v>14982126</v>
      </c>
      <c r="X219" s="44"/>
      <c r="Y219" s="44">
        <v>24342914</v>
      </c>
      <c r="Z219" s="44"/>
      <c r="AA219" s="44">
        <f>+'Stmt net assets'!Y219</f>
        <v>26079368</v>
      </c>
      <c r="AB219" s="44"/>
      <c r="AC219" s="44">
        <f>+Y219+'Stmt of activities-GA rev'!AC219-'Stmt of activities-GAexp'!W219-AA219</f>
        <v>0</v>
      </c>
    </row>
    <row r="220" spans="1:30" s="47" customFormat="1" ht="13.5" customHeight="1" x14ac:dyDescent="0.2">
      <c r="A220" s="47" t="s">
        <v>245</v>
      </c>
      <c r="B220" s="51"/>
      <c r="C220" s="47" t="s">
        <v>110</v>
      </c>
      <c r="E220" s="44">
        <v>7207107</v>
      </c>
      <c r="F220" s="44"/>
      <c r="G220" s="44">
        <v>0</v>
      </c>
      <c r="H220" s="44"/>
      <c r="I220" s="44">
        <v>514093</v>
      </c>
      <c r="J220" s="44"/>
      <c r="K220" s="44">
        <f>544787+1975+33251</f>
        <v>580013</v>
      </c>
      <c r="L220" s="44"/>
      <c r="M220" s="44">
        <v>1037546</v>
      </c>
      <c r="N220" s="44"/>
      <c r="O220" s="44">
        <v>0</v>
      </c>
      <c r="P220" s="44"/>
      <c r="Q220" s="44">
        <v>2533516</v>
      </c>
      <c r="R220" s="44"/>
      <c r="S220" s="44">
        <v>0</v>
      </c>
      <c r="T220" s="44"/>
      <c r="U220" s="44">
        <v>117935</v>
      </c>
      <c r="V220" s="44"/>
      <c r="W220" s="44">
        <f t="shared" si="10"/>
        <v>11990210</v>
      </c>
      <c r="X220" s="44"/>
      <c r="Y220" s="44">
        <v>27342728</v>
      </c>
      <c r="Z220" s="44"/>
      <c r="AA220" s="44">
        <f>+'Stmt net assets'!Y220</f>
        <v>28557813</v>
      </c>
      <c r="AB220" s="44"/>
      <c r="AC220" s="44">
        <f>+Y220+'Stmt of activities-GA rev'!AC220-'Stmt of activities-GAexp'!W220-AA220</f>
        <v>0</v>
      </c>
    </row>
    <row r="221" spans="1:30" s="47" customFormat="1" ht="12.75" customHeight="1" x14ac:dyDescent="0.2">
      <c r="A221" s="47" t="s">
        <v>246</v>
      </c>
      <c r="B221" s="51"/>
      <c r="C221" s="47" t="s">
        <v>209</v>
      </c>
      <c r="E221" s="44">
        <v>3295937</v>
      </c>
      <c r="F221" s="44"/>
      <c r="G221" s="44">
        <v>0</v>
      </c>
      <c r="H221" s="44"/>
      <c r="I221" s="44">
        <v>1206554</v>
      </c>
      <c r="J221" s="44"/>
      <c r="K221" s="44">
        <v>263018</v>
      </c>
      <c r="L221" s="44"/>
      <c r="M221" s="44">
        <v>1496946</v>
      </c>
      <c r="N221" s="44"/>
      <c r="O221" s="44">
        <v>207591</v>
      </c>
      <c r="P221" s="44"/>
      <c r="Q221" s="44">
        <v>1724894</v>
      </c>
      <c r="R221" s="44"/>
      <c r="S221" s="44">
        <v>0</v>
      </c>
      <c r="T221" s="44"/>
      <c r="U221" s="44">
        <v>159465</v>
      </c>
      <c r="V221" s="44"/>
      <c r="W221" s="44">
        <f t="shared" si="10"/>
        <v>8354405</v>
      </c>
      <c r="X221" s="44"/>
      <c r="Y221" s="44">
        <v>40499589</v>
      </c>
      <c r="Z221" s="44"/>
      <c r="AA221" s="44">
        <f>+'Stmt net assets'!Y221</f>
        <v>42074316</v>
      </c>
      <c r="AB221" s="44"/>
      <c r="AC221" s="44">
        <f>+Y221+'Stmt of activities-GA rev'!AC221-'Stmt of activities-GAexp'!W221-AA221</f>
        <v>0</v>
      </c>
    </row>
    <row r="222" spans="1:30" s="122" customFormat="1" ht="12.75" hidden="1" customHeight="1" x14ac:dyDescent="0.2">
      <c r="A222" s="122" t="s">
        <v>247</v>
      </c>
      <c r="C222" s="122" t="s">
        <v>163</v>
      </c>
      <c r="E222" s="121">
        <v>164396000</v>
      </c>
      <c r="F222" s="121"/>
      <c r="G222" s="121">
        <v>18012000</v>
      </c>
      <c r="H222" s="121"/>
      <c r="I222" s="121">
        <v>5396000</v>
      </c>
      <c r="J222" s="121"/>
      <c r="K222" s="121">
        <v>27058000</v>
      </c>
      <c r="L222" s="121"/>
      <c r="M222" s="121">
        <v>48606000</v>
      </c>
      <c r="N222" s="121"/>
      <c r="O222" s="121">
        <v>492000</v>
      </c>
      <c r="P222" s="121"/>
      <c r="Q222" s="121">
        <v>21651000</v>
      </c>
      <c r="R222" s="121"/>
      <c r="S222" s="121">
        <v>0</v>
      </c>
      <c r="T222" s="121"/>
      <c r="U222" s="121">
        <v>14332000</v>
      </c>
      <c r="V222" s="121"/>
      <c r="W222" s="121">
        <f t="shared" si="10"/>
        <v>299943000</v>
      </c>
      <c r="X222" s="121"/>
      <c r="Y222" s="121">
        <v>421777000</v>
      </c>
      <c r="Z222" s="121"/>
      <c r="AA222" s="121">
        <f>+'Stmt net assets'!Y222</f>
        <v>444528000</v>
      </c>
      <c r="AB222" s="121"/>
      <c r="AC222" s="121">
        <f>+Y222+'Stmt of activities-GA rev'!AC222-'Stmt of activities-GAexp'!W222-AA222</f>
        <v>1000</v>
      </c>
      <c r="AD222" s="122" t="s">
        <v>513</v>
      </c>
    </row>
    <row r="223" spans="1:30" s="44" customFormat="1" ht="12.75" customHeight="1" x14ac:dyDescent="0.2">
      <c r="A223" s="47" t="s">
        <v>248</v>
      </c>
      <c r="B223" s="51"/>
      <c r="C223" s="47" t="s">
        <v>249</v>
      </c>
      <c r="D223" s="47"/>
      <c r="E223" s="44">
        <v>1770148</v>
      </c>
      <c r="G223" s="44">
        <v>21963</v>
      </c>
      <c r="I223" s="44">
        <v>226658</v>
      </c>
      <c r="K223" s="44">
        <v>357500</v>
      </c>
      <c r="M223" s="44">
        <v>499061</v>
      </c>
      <c r="O223" s="44">
        <v>0</v>
      </c>
      <c r="Q223" s="44">
        <v>553349</v>
      </c>
      <c r="S223" s="44">
        <v>0</v>
      </c>
      <c r="U223" s="44">
        <v>12139</v>
      </c>
      <c r="W223" s="44">
        <f t="shared" si="10"/>
        <v>3440818</v>
      </c>
      <c r="Y223" s="44">
        <v>5365108</v>
      </c>
      <c r="AA223" s="44">
        <f>+'Stmt net assets'!Y223</f>
        <v>5518945</v>
      </c>
      <c r="AC223" s="44">
        <f>+Y223+'Stmt of activities-GA rev'!AC223-'Stmt of activities-GAexp'!W223-AA223</f>
        <v>0</v>
      </c>
    </row>
    <row r="224" spans="1:30" s="47" customFormat="1" ht="12.75" customHeight="1" x14ac:dyDescent="0.2">
      <c r="A224" s="47" t="s">
        <v>250</v>
      </c>
      <c r="B224" s="51"/>
      <c r="C224" s="47" t="s">
        <v>103</v>
      </c>
      <c r="E224" s="44">
        <v>2563122</v>
      </c>
      <c r="F224" s="44"/>
      <c r="G224" s="44">
        <v>55355</v>
      </c>
      <c r="H224" s="44"/>
      <c r="I224" s="44">
        <v>101242</v>
      </c>
      <c r="J224" s="44"/>
      <c r="K224" s="44">
        <v>154909</v>
      </c>
      <c r="L224" s="44"/>
      <c r="M224" s="44">
        <v>526227</v>
      </c>
      <c r="N224" s="44"/>
      <c r="O224" s="44">
        <v>0</v>
      </c>
      <c r="P224" s="44"/>
      <c r="Q224" s="44">
        <v>410725</v>
      </c>
      <c r="R224" s="44"/>
      <c r="S224" s="44">
        <v>47386</v>
      </c>
      <c r="T224" s="44"/>
      <c r="U224" s="44">
        <v>15910</v>
      </c>
      <c r="V224" s="44"/>
      <c r="W224" s="44">
        <f t="shared" si="10"/>
        <v>3874876</v>
      </c>
      <c r="X224" s="44"/>
      <c r="Y224" s="44">
        <v>6186785</v>
      </c>
      <c r="Z224" s="44"/>
      <c r="AA224" s="44">
        <f>+'Stmt net assets'!Y224</f>
        <v>6308529</v>
      </c>
      <c r="AB224" s="44"/>
      <c r="AC224" s="44">
        <f>+Y224+'Stmt of activities-GA rev'!AC224-'Stmt of activities-GAexp'!W224-AA224</f>
        <v>0</v>
      </c>
    </row>
    <row r="225" spans="1:29" s="47" customFormat="1" ht="12.75" customHeight="1" x14ac:dyDescent="0.2">
      <c r="A225" s="47" t="s">
        <v>251</v>
      </c>
      <c r="B225" s="51"/>
      <c r="C225" s="47" t="s">
        <v>66</v>
      </c>
      <c r="E225" s="44">
        <v>8583577</v>
      </c>
      <c r="F225" s="44"/>
      <c r="G225" s="44">
        <v>0</v>
      </c>
      <c r="H225" s="44"/>
      <c r="I225" s="44">
        <v>383732</v>
      </c>
      <c r="J225" s="44"/>
      <c r="K225" s="44">
        <v>1029674</v>
      </c>
      <c r="L225" s="44"/>
      <c r="M225" s="44">
        <v>2754010</v>
      </c>
      <c r="N225" s="44"/>
      <c r="O225" s="44">
        <v>0</v>
      </c>
      <c r="P225" s="44"/>
      <c r="Q225" s="44">
        <v>3062455</v>
      </c>
      <c r="R225" s="44"/>
      <c r="S225" s="44">
        <v>0</v>
      </c>
      <c r="T225" s="44"/>
      <c r="U225" s="44">
        <v>679405</v>
      </c>
      <c r="V225" s="44"/>
      <c r="W225" s="44">
        <f t="shared" si="10"/>
        <v>16492853</v>
      </c>
      <c r="X225" s="44"/>
      <c r="Y225" s="44">
        <v>47271311</v>
      </c>
      <c r="Z225" s="44"/>
      <c r="AA225" s="44">
        <f>+'Stmt net assets'!Y225</f>
        <v>47735540</v>
      </c>
      <c r="AB225" s="44"/>
      <c r="AC225" s="44">
        <f>+Y225+'Stmt of activities-GA rev'!AC225-'Stmt of activities-GAexp'!W225-AA225</f>
        <v>0</v>
      </c>
    </row>
    <row r="226" spans="1:29" s="47" customFormat="1" ht="12.75" customHeight="1" x14ac:dyDescent="0.2">
      <c r="A226" s="47" t="s">
        <v>252</v>
      </c>
      <c r="B226" s="51"/>
      <c r="C226" s="47" t="s">
        <v>209</v>
      </c>
      <c r="E226" s="44">
        <v>9788994</v>
      </c>
      <c r="F226" s="44"/>
      <c r="G226" s="44">
        <v>349444</v>
      </c>
      <c r="H226" s="44"/>
      <c r="I226" s="44">
        <v>1963883</v>
      </c>
      <c r="J226" s="44"/>
      <c r="K226" s="44">
        <v>969092</v>
      </c>
      <c r="L226" s="44"/>
      <c r="M226" s="44">
        <v>3955665</v>
      </c>
      <c r="N226" s="44"/>
      <c r="O226" s="44">
        <v>1197495</v>
      </c>
      <c r="P226" s="44"/>
      <c r="Q226" s="44">
        <v>4811024</v>
      </c>
      <c r="R226" s="44"/>
      <c r="S226" s="44">
        <v>0</v>
      </c>
      <c r="T226" s="44"/>
      <c r="U226" s="44">
        <v>453931</v>
      </c>
      <c r="V226" s="44"/>
      <c r="W226" s="44">
        <f t="shared" si="10"/>
        <v>23489528</v>
      </c>
      <c r="X226" s="44"/>
      <c r="Y226" s="44">
        <v>85970393</v>
      </c>
      <c r="Z226" s="44"/>
      <c r="AA226" s="44">
        <f>+'Stmt net assets'!Y226</f>
        <v>88423347</v>
      </c>
      <c r="AB226" s="44"/>
      <c r="AC226" s="44">
        <f>+Y226+'Stmt of activities-GA rev'!AC226-'Stmt of activities-GAexp'!W226-AA226</f>
        <v>0</v>
      </c>
    </row>
    <row r="227" spans="1:29" s="47" customFormat="1" ht="12.75" customHeight="1" x14ac:dyDescent="0.2">
      <c r="A227" s="47" t="s">
        <v>253</v>
      </c>
      <c r="B227" s="51"/>
      <c r="C227" s="47" t="s">
        <v>13</v>
      </c>
      <c r="E227" s="44">
        <v>7179745</v>
      </c>
      <c r="F227" s="44"/>
      <c r="G227" s="44">
        <v>0</v>
      </c>
      <c r="H227" s="44"/>
      <c r="I227" s="44">
        <v>2183923</v>
      </c>
      <c r="J227" s="44"/>
      <c r="K227" s="44">
        <v>4265753</v>
      </c>
      <c r="L227" s="44"/>
      <c r="M227" s="44">
        <v>5217894</v>
      </c>
      <c r="N227" s="44"/>
      <c r="O227" s="44">
        <v>15815</v>
      </c>
      <c r="P227" s="44"/>
      <c r="Q227" s="44">
        <v>4505303</v>
      </c>
      <c r="R227" s="44"/>
      <c r="S227" s="44">
        <v>0</v>
      </c>
      <c r="T227" s="44"/>
      <c r="U227" s="44">
        <v>779923</v>
      </c>
      <c r="V227" s="44"/>
      <c r="W227" s="44">
        <f t="shared" si="10"/>
        <v>24148356</v>
      </c>
      <c r="X227" s="44"/>
      <c r="Y227" s="44">
        <v>132424876</v>
      </c>
      <c r="Z227" s="44"/>
      <c r="AA227" s="44">
        <f>+'Stmt net assets'!Y227</f>
        <v>133424527</v>
      </c>
      <c r="AB227" s="44"/>
      <c r="AC227" s="44">
        <f>+Y227+'Stmt of activities-GA rev'!AC227-'Stmt of activities-GAexp'!W227-AA227</f>
        <v>0</v>
      </c>
    </row>
    <row r="228" spans="1:29" s="47" customFormat="1" ht="12.75" customHeight="1" x14ac:dyDescent="0.2">
      <c r="A228" s="47" t="s">
        <v>254</v>
      </c>
      <c r="B228" s="51"/>
      <c r="C228" s="47" t="s">
        <v>89</v>
      </c>
      <c r="E228" s="44">
        <v>1488761</v>
      </c>
      <c r="F228" s="44"/>
      <c r="G228" s="44">
        <v>176960</v>
      </c>
      <c r="H228" s="44"/>
      <c r="I228" s="44">
        <v>58993</v>
      </c>
      <c r="J228" s="44"/>
      <c r="K228" s="44">
        <v>15016</v>
      </c>
      <c r="L228" s="44"/>
      <c r="M228" s="44">
        <v>419662</v>
      </c>
      <c r="N228" s="44"/>
      <c r="O228" s="44">
        <v>0</v>
      </c>
      <c r="P228" s="44"/>
      <c r="Q228" s="44">
        <v>477441</v>
      </c>
      <c r="R228" s="44"/>
      <c r="S228" s="44">
        <v>0</v>
      </c>
      <c r="T228" s="44"/>
      <c r="U228" s="44">
        <v>72160</v>
      </c>
      <c r="V228" s="44"/>
      <c r="W228" s="44">
        <f t="shared" si="10"/>
        <v>2708993</v>
      </c>
      <c r="X228" s="44"/>
      <c r="Y228" s="44">
        <v>7100133</v>
      </c>
      <c r="Z228" s="44"/>
      <c r="AA228" s="44">
        <f>+'Stmt net assets'!Y228</f>
        <v>7747443</v>
      </c>
      <c r="AB228" s="44"/>
      <c r="AC228" s="44">
        <f>+Y228+'Stmt of activities-GA rev'!AC228-'Stmt of activities-GAexp'!W228-AA228</f>
        <v>0</v>
      </c>
    </row>
    <row r="229" spans="1:29" s="47" customFormat="1" ht="12.75" customHeight="1" x14ac:dyDescent="0.2">
      <c r="A229" s="47" t="s">
        <v>159</v>
      </c>
      <c r="B229" s="51"/>
      <c r="C229" s="47" t="s">
        <v>66</v>
      </c>
      <c r="E229" s="44">
        <v>1592605</v>
      </c>
      <c r="F229" s="44"/>
      <c r="G229" s="44">
        <v>10663</v>
      </c>
      <c r="H229" s="44"/>
      <c r="I229" s="44">
        <v>87287</v>
      </c>
      <c r="J229" s="44"/>
      <c r="K229" s="44">
        <v>499465</v>
      </c>
      <c r="L229" s="44"/>
      <c r="M229" s="44">
        <v>641438</v>
      </c>
      <c r="N229" s="44"/>
      <c r="O229" s="44">
        <v>0</v>
      </c>
      <c r="P229" s="44"/>
      <c r="Q229" s="44">
        <v>922464</v>
      </c>
      <c r="R229" s="44"/>
      <c r="S229" s="44">
        <v>0</v>
      </c>
      <c r="T229" s="44"/>
      <c r="U229" s="44">
        <v>72024</v>
      </c>
      <c r="V229" s="44"/>
      <c r="W229" s="44">
        <f t="shared" si="10"/>
        <v>3825946</v>
      </c>
      <c r="X229" s="44"/>
      <c r="Y229" s="44">
        <v>7134076</v>
      </c>
      <c r="Z229" s="44"/>
      <c r="AA229" s="44">
        <f>+'Stmt net assets'!Y229</f>
        <v>7561943</v>
      </c>
      <c r="AB229" s="44"/>
      <c r="AC229" s="44">
        <f>+Y229+'Stmt of activities-GA rev'!AC229-'Stmt of activities-GAexp'!W229-AA229</f>
        <v>0</v>
      </c>
    </row>
    <row r="230" spans="1:29" s="47" customFormat="1" ht="12.75" customHeight="1" x14ac:dyDescent="0.2">
      <c r="A230" s="47" t="s">
        <v>255</v>
      </c>
      <c r="B230" s="51"/>
      <c r="C230" s="47" t="s">
        <v>27</v>
      </c>
      <c r="E230" s="44">
        <v>7779186</v>
      </c>
      <c r="F230" s="44"/>
      <c r="G230" s="44">
        <v>52410</v>
      </c>
      <c r="H230" s="44"/>
      <c r="I230" s="44">
        <v>317451</v>
      </c>
      <c r="J230" s="44"/>
      <c r="K230" s="44">
        <v>2429283</v>
      </c>
      <c r="L230" s="44"/>
      <c r="M230" s="44">
        <v>1605998</v>
      </c>
      <c r="N230" s="44"/>
      <c r="O230" s="44">
        <v>3194888</v>
      </c>
      <c r="P230" s="44"/>
      <c r="Q230" s="44">
        <v>1504247</v>
      </c>
      <c r="R230" s="44"/>
      <c r="S230" s="44">
        <v>0</v>
      </c>
      <c r="T230" s="44"/>
      <c r="U230" s="44">
        <v>91867</v>
      </c>
      <c r="V230" s="44"/>
      <c r="W230" s="44">
        <f t="shared" si="10"/>
        <v>16975330</v>
      </c>
      <c r="X230" s="44"/>
      <c r="Y230" s="44">
        <v>6269818</v>
      </c>
      <c r="Z230" s="44"/>
      <c r="AA230" s="44">
        <f>+'Stmt net assets'!Y230</f>
        <v>8928718</v>
      </c>
      <c r="AB230" s="44"/>
      <c r="AC230" s="44">
        <f>+Y230+'Stmt of activities-GA rev'!AC230-'Stmt of activities-GAexp'!W230-AA230</f>
        <v>0</v>
      </c>
    </row>
    <row r="231" spans="1:29" s="152" customFormat="1" ht="12.75" customHeight="1" x14ac:dyDescent="0.2">
      <c r="A231" s="152" t="s">
        <v>256</v>
      </c>
      <c r="B231" s="153"/>
      <c r="C231" s="152" t="s">
        <v>43</v>
      </c>
      <c r="E231" s="44">
        <v>15972628</v>
      </c>
      <c r="F231" s="44"/>
      <c r="G231" s="44">
        <v>0</v>
      </c>
      <c r="H231" s="44"/>
      <c r="I231" s="44">
        <v>3147422</v>
      </c>
      <c r="J231" s="44"/>
      <c r="K231" s="44">
        <v>934862</v>
      </c>
      <c r="L231" s="44"/>
      <c r="M231" s="44">
        <v>0</v>
      </c>
      <c r="N231" s="44"/>
      <c r="O231" s="44">
        <v>4649528</v>
      </c>
      <c r="P231" s="44"/>
      <c r="Q231" s="44">
        <v>7971087</v>
      </c>
      <c r="R231" s="44"/>
      <c r="S231" s="44">
        <v>0</v>
      </c>
      <c r="T231" s="44"/>
      <c r="U231" s="44">
        <v>1821627</v>
      </c>
      <c r="V231" s="44"/>
      <c r="W231" s="44">
        <f t="shared" si="10"/>
        <v>34497154</v>
      </c>
      <c r="X231" s="44"/>
      <c r="Y231" s="44">
        <v>80714555</v>
      </c>
      <c r="Z231" s="44"/>
      <c r="AA231" s="44">
        <f>+'Stmt net assets'!Y231</f>
        <v>86274532</v>
      </c>
      <c r="AB231" s="44"/>
      <c r="AC231" s="44">
        <f>+Y231+'Stmt of activities-GA rev'!AC231-'Stmt of activities-GAexp'!W231-AA231</f>
        <v>0</v>
      </c>
    </row>
    <row r="232" spans="1:29" s="47" customFormat="1" ht="12.75" customHeight="1" x14ac:dyDescent="0.2">
      <c r="B232" s="51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8" t="s">
        <v>484</v>
      </c>
      <c r="AB232" s="44"/>
      <c r="AC232" s="44"/>
    </row>
    <row r="233" spans="1:29" s="47" customFormat="1" ht="12.75" customHeight="1" x14ac:dyDescent="0.2">
      <c r="A233" s="47" t="s">
        <v>257</v>
      </c>
      <c r="B233" s="51"/>
      <c r="C233" s="47" t="s">
        <v>258</v>
      </c>
      <c r="E233" s="46">
        <v>1992671</v>
      </c>
      <c r="F233" s="46"/>
      <c r="G233" s="46">
        <v>37437</v>
      </c>
      <c r="H233" s="46"/>
      <c r="I233" s="46">
        <v>405179</v>
      </c>
      <c r="J233" s="46"/>
      <c r="K233" s="46">
        <v>110172</v>
      </c>
      <c r="L233" s="46"/>
      <c r="M233" s="46">
        <v>532772</v>
      </c>
      <c r="N233" s="46"/>
      <c r="O233" s="46">
        <v>224431</v>
      </c>
      <c r="P233" s="46"/>
      <c r="Q233" s="46">
        <f>766427+752223</f>
        <v>1518650</v>
      </c>
      <c r="R233" s="46"/>
      <c r="S233" s="46">
        <v>0</v>
      </c>
      <c r="T233" s="46"/>
      <c r="U233" s="46">
        <v>243388</v>
      </c>
      <c r="V233" s="46"/>
      <c r="W233" s="46">
        <f t="shared" si="10"/>
        <v>5064700</v>
      </c>
      <c r="X233" s="46"/>
      <c r="Y233" s="46">
        <v>3897400</v>
      </c>
      <c r="Z233" s="46"/>
      <c r="AA233" s="46">
        <f>+'Stmt net assets'!Y233</f>
        <v>5021212</v>
      </c>
      <c r="AB233" s="44"/>
      <c r="AC233" s="44">
        <f>+Y233+'Stmt of activities-GA rev'!AC232-'Stmt of activities-GAexp'!W233-AA233</f>
        <v>0</v>
      </c>
    </row>
    <row r="234" spans="1:29" s="47" customFormat="1" ht="12.75" customHeight="1" x14ac:dyDescent="0.2">
      <c r="A234" s="47" t="s">
        <v>259</v>
      </c>
      <c r="B234" s="51"/>
      <c r="C234" s="47" t="s">
        <v>260</v>
      </c>
      <c r="E234" s="44">
        <v>5017755</v>
      </c>
      <c r="F234" s="44"/>
      <c r="G234" s="44">
        <v>293359</v>
      </c>
      <c r="H234" s="44"/>
      <c r="I234" s="44">
        <v>409532</v>
      </c>
      <c r="J234" s="44"/>
      <c r="K234" s="44">
        <v>809239</v>
      </c>
      <c r="L234" s="44"/>
      <c r="M234" s="44">
        <v>1841229</v>
      </c>
      <c r="N234" s="44"/>
      <c r="O234" s="44">
        <v>0</v>
      </c>
      <c r="P234" s="44"/>
      <c r="Q234" s="44">
        <v>2089500</v>
      </c>
      <c r="R234" s="44"/>
      <c r="S234" s="44">
        <v>0</v>
      </c>
      <c r="T234" s="44"/>
      <c r="U234" s="44">
        <v>152536</v>
      </c>
      <c r="V234" s="44"/>
      <c r="W234" s="44">
        <f t="shared" si="10"/>
        <v>10613150</v>
      </c>
      <c r="X234" s="44"/>
      <c r="Y234" s="44">
        <v>23981912</v>
      </c>
      <c r="Z234" s="44"/>
      <c r="AA234" s="44">
        <f>+'Stmt net assets'!Y234</f>
        <v>26430459</v>
      </c>
      <c r="AB234" s="44"/>
      <c r="AC234" s="44">
        <f>+Y234+'Stmt of activities-GA rev'!AC233-'Stmt of activities-GAexp'!W234-AA234</f>
        <v>0</v>
      </c>
    </row>
    <row r="235" spans="1:29" s="47" customFormat="1" ht="12.75" customHeight="1" x14ac:dyDescent="0.2">
      <c r="A235" s="47" t="s">
        <v>261</v>
      </c>
      <c r="B235" s="51"/>
      <c r="C235" s="47" t="s">
        <v>66</v>
      </c>
      <c r="E235" s="44">
        <f>4778170+2133203</f>
        <v>6911373</v>
      </c>
      <c r="F235" s="44"/>
      <c r="G235" s="44">
        <v>0</v>
      </c>
      <c r="H235" s="44"/>
      <c r="I235" s="44">
        <v>3958580</v>
      </c>
      <c r="J235" s="44"/>
      <c r="K235" s="44">
        <v>0</v>
      </c>
      <c r="L235" s="44"/>
      <c r="M235" s="44">
        <f>1226624+3211126</f>
        <v>4437750</v>
      </c>
      <c r="N235" s="44"/>
      <c r="O235" s="44">
        <v>863750</v>
      </c>
      <c r="P235" s="44"/>
      <c r="Q235" s="44">
        <f>3731173+1995444</f>
        <v>5726617</v>
      </c>
      <c r="R235" s="44"/>
      <c r="S235" s="44">
        <v>27280</v>
      </c>
      <c r="T235" s="44"/>
      <c r="U235" s="44">
        <v>661538</v>
      </c>
      <c r="V235" s="44"/>
      <c r="W235" s="44">
        <f t="shared" si="10"/>
        <v>22586888</v>
      </c>
      <c r="X235" s="44"/>
      <c r="Y235" s="44">
        <v>60433175</v>
      </c>
      <c r="Z235" s="44"/>
      <c r="AA235" s="44">
        <f>+'Stmt net assets'!Y235</f>
        <v>60396277</v>
      </c>
      <c r="AB235" s="44"/>
      <c r="AC235" s="44">
        <f>+Y235+'Stmt of activities-GA rev'!AC234-'Stmt of activities-GAexp'!W235-AA235</f>
        <v>0</v>
      </c>
    </row>
    <row r="236" spans="1:29" s="47" customFormat="1" ht="12.75" customHeight="1" x14ac:dyDescent="0.2">
      <c r="A236" s="47" t="s">
        <v>262</v>
      </c>
      <c r="B236" s="51"/>
      <c r="C236" s="47" t="s">
        <v>132</v>
      </c>
      <c r="E236" s="44">
        <f>2506787+236971</f>
        <v>2743758</v>
      </c>
      <c r="F236" s="44"/>
      <c r="G236" s="44">
        <v>68205</v>
      </c>
      <c r="H236" s="44"/>
      <c r="I236" s="44">
        <v>255293</v>
      </c>
      <c r="J236" s="44"/>
      <c r="K236" s="44">
        <v>356910</v>
      </c>
      <c r="L236" s="44"/>
      <c r="M236" s="44">
        <v>1228674</v>
      </c>
      <c r="N236" s="44"/>
      <c r="O236" s="44">
        <v>1089207</v>
      </c>
      <c r="P236" s="44"/>
      <c r="Q236" s="44">
        <v>2241888</v>
      </c>
      <c r="R236" s="44"/>
      <c r="S236" s="44">
        <v>134805</v>
      </c>
      <c r="T236" s="44"/>
      <c r="U236" s="44">
        <v>181654</v>
      </c>
      <c r="V236" s="44"/>
      <c r="W236" s="44">
        <f t="shared" si="10"/>
        <v>8300394</v>
      </c>
      <c r="X236" s="44"/>
      <c r="Y236" s="44">
        <v>14136890</v>
      </c>
      <c r="Z236" s="44"/>
      <c r="AA236" s="44">
        <f>+'Stmt net assets'!Y236</f>
        <v>15086528</v>
      </c>
      <c r="AB236" s="44"/>
      <c r="AC236" s="44">
        <f>+Y236+'Stmt of activities-GA rev'!AC235-'Stmt of activities-GAexp'!W236-AA236</f>
        <v>0</v>
      </c>
    </row>
    <row r="237" spans="1:29" s="47" customFormat="1" ht="12.75" customHeight="1" x14ac:dyDescent="0.2">
      <c r="A237" s="44" t="s">
        <v>512</v>
      </c>
      <c r="C237" s="44" t="s">
        <v>45</v>
      </c>
      <c r="E237" s="44">
        <v>4555392</v>
      </c>
      <c r="F237" s="44"/>
      <c r="G237" s="44">
        <v>120904</v>
      </c>
      <c r="H237" s="44"/>
      <c r="I237" s="44">
        <v>1171339</v>
      </c>
      <c r="J237" s="44"/>
      <c r="K237" s="44">
        <v>1486817</v>
      </c>
      <c r="L237" s="44"/>
      <c r="M237" s="44">
        <v>2015426</v>
      </c>
      <c r="N237" s="44"/>
      <c r="O237" s="44">
        <v>0</v>
      </c>
      <c r="P237" s="44"/>
      <c r="Q237" s="44">
        <v>1820748</v>
      </c>
      <c r="R237" s="44"/>
      <c r="S237" s="44">
        <v>0</v>
      </c>
      <c r="T237" s="44"/>
      <c r="U237" s="44">
        <v>98077</v>
      </c>
      <c r="V237" s="44"/>
      <c r="W237" s="44">
        <f t="shared" si="10"/>
        <v>11268703</v>
      </c>
      <c r="X237" s="44"/>
      <c r="Y237" s="44">
        <v>113776858</v>
      </c>
      <c r="Z237" s="44"/>
      <c r="AA237" s="44">
        <f>+'Stmt net assets'!Y237</f>
        <v>117575248</v>
      </c>
      <c r="AB237" s="44"/>
      <c r="AC237" s="44">
        <f>+Y237+'Stmt of activities-GA rev'!AC236-'Stmt of activities-GAexp'!W237-AA237</f>
        <v>0</v>
      </c>
    </row>
    <row r="238" spans="1:29" s="47" customFormat="1" ht="12.75" customHeight="1" x14ac:dyDescent="0.2">
      <c r="A238" s="47" t="s">
        <v>263</v>
      </c>
      <c r="B238" s="51"/>
      <c r="C238" s="47" t="s">
        <v>53</v>
      </c>
      <c r="E238" s="44">
        <v>6512974</v>
      </c>
      <c r="F238" s="44"/>
      <c r="G238" s="44">
        <v>105261</v>
      </c>
      <c r="H238" s="44"/>
      <c r="I238" s="44">
        <v>1510485</v>
      </c>
      <c r="J238" s="44"/>
      <c r="K238" s="44">
        <v>660516</v>
      </c>
      <c r="L238" s="44"/>
      <c r="M238" s="44">
        <v>3186302</v>
      </c>
      <c r="N238" s="44"/>
      <c r="O238" s="44">
        <v>200224</v>
      </c>
      <c r="P238" s="44"/>
      <c r="Q238" s="44">
        <v>3809401</v>
      </c>
      <c r="R238" s="44"/>
      <c r="S238" s="44">
        <v>0</v>
      </c>
      <c r="T238" s="44"/>
      <c r="U238" s="44">
        <v>781845</v>
      </c>
      <c r="V238" s="44"/>
      <c r="W238" s="44">
        <f t="shared" si="10"/>
        <v>16767008</v>
      </c>
      <c r="X238" s="44"/>
      <c r="Y238" s="44">
        <v>44807404</v>
      </c>
      <c r="Z238" s="44"/>
      <c r="AA238" s="44">
        <f>+'Stmt net assets'!Y238</f>
        <v>45940018</v>
      </c>
      <c r="AB238" s="44"/>
      <c r="AC238" s="44">
        <f>+Y238+'Stmt of activities-GA rev'!AC237-'Stmt of activities-GAexp'!W238-AA238</f>
        <v>0</v>
      </c>
    </row>
    <row r="239" spans="1:29" s="47" customFormat="1" ht="12.75" customHeight="1" x14ac:dyDescent="0.2">
      <c r="A239" s="47" t="s">
        <v>264</v>
      </c>
      <c r="B239" s="51"/>
      <c r="C239" s="47" t="s">
        <v>239</v>
      </c>
      <c r="E239" s="44">
        <f>1584868+1353865+8492</f>
        <v>2947225</v>
      </c>
      <c r="F239" s="44"/>
      <c r="G239" s="44">
        <v>177297</v>
      </c>
      <c r="H239" s="44"/>
      <c r="I239" s="44">
        <v>492736</v>
      </c>
      <c r="J239" s="44"/>
      <c r="K239" s="44">
        <v>116039</v>
      </c>
      <c r="L239" s="44"/>
      <c r="M239" s="44">
        <v>2236189</v>
      </c>
      <c r="N239" s="44"/>
      <c r="O239" s="44">
        <v>0</v>
      </c>
      <c r="P239" s="44"/>
      <c r="Q239" s="44">
        <v>512540</v>
      </c>
      <c r="R239" s="44"/>
      <c r="S239" s="44">
        <v>0</v>
      </c>
      <c r="T239" s="44"/>
      <c r="U239" s="44">
        <v>49942</v>
      </c>
      <c r="V239" s="44"/>
      <c r="W239" s="44">
        <f t="shared" si="10"/>
        <v>6531968</v>
      </c>
      <c r="X239" s="44"/>
      <c r="Y239" s="44">
        <v>28620780</v>
      </c>
      <c r="Z239" s="44"/>
      <c r="AA239" s="44">
        <f>+'Stmt net assets'!Y239</f>
        <v>27576487</v>
      </c>
      <c r="AB239" s="44"/>
      <c r="AC239" s="44">
        <f>+Y239+'Stmt of activities-GA rev'!AC238-'Stmt of activities-GAexp'!W239-AA239</f>
        <v>0</v>
      </c>
    </row>
    <row r="240" spans="1:29" s="47" customFormat="1" ht="12.75" customHeight="1" x14ac:dyDescent="0.2">
      <c r="A240" s="47" t="s">
        <v>111</v>
      </c>
      <c r="B240" s="51"/>
      <c r="C240" s="47" t="s">
        <v>80</v>
      </c>
      <c r="E240" s="44">
        <v>16860682</v>
      </c>
      <c r="F240" s="44"/>
      <c r="G240" s="44">
        <v>615238</v>
      </c>
      <c r="H240" s="44"/>
      <c r="I240" s="44">
        <v>453413</v>
      </c>
      <c r="J240" s="44"/>
      <c r="K240" s="44">
        <f>1797152+2821164</f>
        <v>4618316</v>
      </c>
      <c r="L240" s="44"/>
      <c r="M240" s="44">
        <v>4034308</v>
      </c>
      <c r="N240" s="44"/>
      <c r="O240" s="44">
        <v>0</v>
      </c>
      <c r="P240" s="44"/>
      <c r="Q240" s="44">
        <v>5614737</v>
      </c>
      <c r="R240" s="44"/>
      <c r="S240" s="44">
        <v>0</v>
      </c>
      <c r="T240" s="44"/>
      <c r="U240" s="44">
        <v>312812</v>
      </c>
      <c r="V240" s="44"/>
      <c r="W240" s="44">
        <f t="shared" si="10"/>
        <v>32509506</v>
      </c>
      <c r="X240" s="44"/>
      <c r="Y240" s="44">
        <v>51342841</v>
      </c>
      <c r="Z240" s="44"/>
      <c r="AA240" s="44">
        <f>+'Stmt net assets'!Y240</f>
        <v>56401301</v>
      </c>
      <c r="AB240" s="44"/>
      <c r="AC240" s="44">
        <f>+Y240+'Stmt of activities-GA rev'!AC239-'Stmt of activities-GAexp'!W240-AA240</f>
        <v>0</v>
      </c>
    </row>
    <row r="241" spans="1:29" s="47" customFormat="1" ht="12.75" customHeight="1" x14ac:dyDescent="0.2">
      <c r="A241" s="47" t="s">
        <v>265</v>
      </c>
      <c r="B241" s="51"/>
      <c r="C241" s="47" t="s">
        <v>27</v>
      </c>
      <c r="E241" s="44">
        <f>5372668+3626904</f>
        <v>8999572</v>
      </c>
      <c r="F241" s="44"/>
      <c r="G241" s="44">
        <v>55903</v>
      </c>
      <c r="H241" s="44"/>
      <c r="I241" s="44">
        <v>266661</v>
      </c>
      <c r="J241" s="44"/>
      <c r="K241" s="44">
        <v>882581</v>
      </c>
      <c r="L241" s="44"/>
      <c r="M241" s="44">
        <v>1697499</v>
      </c>
      <c r="N241" s="44"/>
      <c r="O241" s="44">
        <v>1024141</v>
      </c>
      <c r="P241" s="44"/>
      <c r="Q241" s="44">
        <v>3730870</v>
      </c>
      <c r="R241" s="44"/>
      <c r="S241" s="44">
        <v>0</v>
      </c>
      <c r="T241" s="44"/>
      <c r="U241" s="44">
        <v>849472</v>
      </c>
      <c r="V241" s="44"/>
      <c r="W241" s="44">
        <f t="shared" si="10"/>
        <v>17506699</v>
      </c>
      <c r="X241" s="44"/>
      <c r="Y241" s="44">
        <v>1117077</v>
      </c>
      <c r="Z241" s="44"/>
      <c r="AA241" s="44">
        <f>+'Stmt net assets'!Y241</f>
        <v>2779329</v>
      </c>
      <c r="AB241" s="44"/>
      <c r="AC241" s="44">
        <f>+Y241+'Stmt of activities-GA rev'!AC240-'Stmt of activities-GAexp'!W241-AA241</f>
        <v>0</v>
      </c>
    </row>
    <row r="242" spans="1:29" s="47" customFormat="1" ht="12.75" customHeight="1" x14ac:dyDescent="0.2">
      <c r="A242" s="47" t="s">
        <v>514</v>
      </c>
      <c r="B242" s="51"/>
      <c r="C242" s="47" t="s">
        <v>451</v>
      </c>
      <c r="E242" s="44">
        <v>4295058</v>
      </c>
      <c r="F242" s="44"/>
      <c r="G242" s="44">
        <v>300029</v>
      </c>
      <c r="H242" s="44"/>
      <c r="I242" s="44">
        <v>67642</v>
      </c>
      <c r="J242" s="44"/>
      <c r="K242" s="44">
        <v>2172864</v>
      </c>
      <c r="L242" s="44"/>
      <c r="M242" s="44">
        <v>2964229</v>
      </c>
      <c r="N242" s="44"/>
      <c r="O242" s="44">
        <v>0</v>
      </c>
      <c r="P242" s="44"/>
      <c r="Q242" s="44">
        <v>2983038</v>
      </c>
      <c r="R242" s="44"/>
      <c r="S242" s="44">
        <v>0</v>
      </c>
      <c r="T242" s="44"/>
      <c r="U242" s="44">
        <v>595095</v>
      </c>
      <c r="V242" s="44"/>
      <c r="W242" s="44">
        <f t="shared" si="10"/>
        <v>13377955</v>
      </c>
      <c r="X242" s="44"/>
      <c r="Y242" s="44">
        <v>15182582</v>
      </c>
      <c r="Z242" s="44"/>
      <c r="AA242" s="44">
        <f>+'Stmt net assets'!Y242</f>
        <v>13421155</v>
      </c>
      <c r="AB242" s="44"/>
      <c r="AC242" s="44">
        <f>+Y242+'Stmt of activities-GA rev'!AC241-'Stmt of activities-GAexp'!W242-AA242</f>
        <v>0</v>
      </c>
    </row>
    <row r="243" spans="1:29" s="47" customFormat="1" ht="12.75" customHeight="1" x14ac:dyDescent="0.2">
      <c r="A243" s="44" t="s">
        <v>515</v>
      </c>
      <c r="C243" s="44" t="s">
        <v>163</v>
      </c>
      <c r="E243" s="44">
        <f>1092715+413011+77819</f>
        <v>1583545</v>
      </c>
      <c r="F243" s="44"/>
      <c r="G243" s="44">
        <v>0</v>
      </c>
      <c r="H243" s="44"/>
      <c r="I243" s="44">
        <v>67938</v>
      </c>
      <c r="J243" s="44"/>
      <c r="K243" s="44">
        <v>146211</v>
      </c>
      <c r="L243" s="44"/>
      <c r="M243" s="44">
        <v>970734</v>
      </c>
      <c r="N243" s="44"/>
      <c r="O243" s="44">
        <v>265851</v>
      </c>
      <c r="P243" s="44"/>
      <c r="Q243" s="44">
        <v>1014451</v>
      </c>
      <c r="R243" s="44"/>
      <c r="S243" s="44">
        <v>0</v>
      </c>
      <c r="T243" s="44"/>
      <c r="U243" s="44">
        <v>181854</v>
      </c>
      <c r="V243" s="44"/>
      <c r="W243" s="44">
        <f t="shared" ref="W243" si="11">SUM(E243:U243)</f>
        <v>4230584</v>
      </c>
      <c r="X243" s="44"/>
      <c r="Y243" s="44">
        <v>12985913</v>
      </c>
      <c r="Z243" s="44"/>
      <c r="AA243" s="44">
        <f>+'Stmt net assets'!Y243</f>
        <v>13741671</v>
      </c>
      <c r="AB243" s="44"/>
      <c r="AC243" s="44">
        <f>+Y243+'Stmt of activities-GA rev'!AC242-'Stmt of activities-GAexp'!W243-AA243</f>
        <v>0</v>
      </c>
    </row>
    <row r="244" spans="1:29" s="47" customFormat="1" ht="12.75" customHeight="1" x14ac:dyDescent="0.2">
      <c r="A244" s="47" t="s">
        <v>266</v>
      </c>
      <c r="B244" s="51"/>
      <c r="C244" s="47" t="s">
        <v>267</v>
      </c>
      <c r="E244" s="44">
        <v>2388370</v>
      </c>
      <c r="F244" s="44"/>
      <c r="G244" s="44">
        <v>0</v>
      </c>
      <c r="H244" s="44"/>
      <c r="I244" s="44">
        <v>512564</v>
      </c>
      <c r="J244" s="44"/>
      <c r="K244" s="44">
        <v>347878</v>
      </c>
      <c r="L244" s="44"/>
      <c r="M244" s="44">
        <v>937575</v>
      </c>
      <c r="N244" s="44"/>
      <c r="O244" s="44">
        <v>88988</v>
      </c>
      <c r="P244" s="44"/>
      <c r="Q244" s="44">
        <v>764921</v>
      </c>
      <c r="R244" s="44"/>
      <c r="S244" s="44">
        <v>0</v>
      </c>
      <c r="T244" s="44"/>
      <c r="U244" s="44">
        <v>149298</v>
      </c>
      <c r="V244" s="44"/>
      <c r="W244" s="44">
        <f t="shared" ref="W244:W262" si="12">SUM(E244:U244)</f>
        <v>5189594</v>
      </c>
      <c r="X244" s="44"/>
      <c r="Y244" s="44">
        <v>14305891</v>
      </c>
      <c r="Z244" s="44"/>
      <c r="AA244" s="44">
        <f>+'Stmt net assets'!Y244</f>
        <v>14392680</v>
      </c>
      <c r="AB244" s="44"/>
      <c r="AC244" s="44">
        <f>+Y244+'Stmt of activities-GA rev'!AC243-'Stmt of activities-GAexp'!W244-AA244</f>
        <v>0</v>
      </c>
    </row>
    <row r="245" spans="1:29" s="47" customFormat="1" ht="12.75" customHeight="1" x14ac:dyDescent="0.2">
      <c r="A245" s="47" t="s">
        <v>268</v>
      </c>
      <c r="B245" s="51"/>
      <c r="C245" s="47" t="s">
        <v>269</v>
      </c>
      <c r="E245" s="44">
        <v>1553455</v>
      </c>
      <c r="F245" s="44"/>
      <c r="G245" s="44">
        <v>1470</v>
      </c>
      <c r="H245" s="44"/>
      <c r="I245" s="44">
        <v>82919</v>
      </c>
      <c r="J245" s="44"/>
      <c r="K245" s="44">
        <v>0</v>
      </c>
      <c r="L245" s="44"/>
      <c r="M245" s="44">
        <v>615484</v>
      </c>
      <c r="N245" s="44"/>
      <c r="O245" s="44">
        <v>0</v>
      </c>
      <c r="P245" s="44"/>
      <c r="Q245" s="44">
        <v>911601</v>
      </c>
      <c r="R245" s="44"/>
      <c r="S245" s="44">
        <v>0</v>
      </c>
      <c r="T245" s="44"/>
      <c r="U245" s="44">
        <v>32798</v>
      </c>
      <c r="V245" s="44"/>
      <c r="W245" s="44">
        <f t="shared" si="12"/>
        <v>3197727</v>
      </c>
      <c r="X245" s="44"/>
      <c r="Y245" s="44">
        <v>4868341</v>
      </c>
      <c r="Z245" s="44"/>
      <c r="AA245" s="44">
        <f>+'Stmt net assets'!Y245</f>
        <v>4518909</v>
      </c>
      <c r="AB245" s="44"/>
      <c r="AC245" s="44">
        <f>+Y245+'Stmt of activities-GA rev'!AC244-'Stmt of activities-GAexp'!W245-AA245</f>
        <v>0</v>
      </c>
    </row>
    <row r="246" spans="1:29" s="47" customFormat="1" ht="12.75" customHeight="1" x14ac:dyDescent="0.2">
      <c r="A246" s="47" t="s">
        <v>270</v>
      </c>
      <c r="B246" s="51"/>
      <c r="C246" s="47" t="s">
        <v>136</v>
      </c>
      <c r="E246" s="44">
        <v>1388752</v>
      </c>
      <c r="F246" s="44"/>
      <c r="G246" s="44">
        <v>18294</v>
      </c>
      <c r="H246" s="44"/>
      <c r="I246" s="44">
        <v>7538</v>
      </c>
      <c r="J246" s="44"/>
      <c r="K246" s="44">
        <v>346376</v>
      </c>
      <c r="L246" s="44"/>
      <c r="M246" s="44">
        <v>324152</v>
      </c>
      <c r="N246" s="44"/>
      <c r="O246" s="44">
        <v>0</v>
      </c>
      <c r="P246" s="44"/>
      <c r="Q246" s="44">
        <v>653751</v>
      </c>
      <c r="R246" s="44"/>
      <c r="S246" s="44">
        <v>0</v>
      </c>
      <c r="T246" s="44"/>
      <c r="U246" s="44">
        <v>7155</v>
      </c>
      <c r="V246" s="44"/>
      <c r="W246" s="44">
        <f t="shared" si="12"/>
        <v>2746018</v>
      </c>
      <c r="X246" s="44"/>
      <c r="Y246" s="44">
        <v>5508289</v>
      </c>
      <c r="Z246" s="44"/>
      <c r="AA246" s="44">
        <f>+'Stmt net assets'!Y246</f>
        <v>6262294</v>
      </c>
      <c r="AB246" s="44"/>
      <c r="AC246" s="44">
        <f>+Y246+'Stmt of activities-GA rev'!AC245-'Stmt of activities-GAexp'!W246-AA246</f>
        <v>0</v>
      </c>
    </row>
    <row r="247" spans="1:29" s="47" customFormat="1" ht="12.75" customHeight="1" x14ac:dyDescent="0.2">
      <c r="A247" s="47" t="s">
        <v>271</v>
      </c>
      <c r="B247" s="51"/>
      <c r="C247" s="47" t="s">
        <v>66</v>
      </c>
      <c r="E247" s="44">
        <v>5233384</v>
      </c>
      <c r="F247" s="44"/>
      <c r="G247" s="44">
        <v>0</v>
      </c>
      <c r="H247" s="44"/>
      <c r="I247" s="44">
        <v>782492</v>
      </c>
      <c r="J247" s="44"/>
      <c r="K247" s="44">
        <v>2600305</v>
      </c>
      <c r="L247" s="44"/>
      <c r="M247" s="44">
        <v>1032508</v>
      </c>
      <c r="N247" s="44"/>
      <c r="O247" s="44">
        <v>0</v>
      </c>
      <c r="P247" s="44"/>
      <c r="Q247" s="44">
        <v>896692</v>
      </c>
      <c r="R247" s="44"/>
      <c r="S247" s="44">
        <v>0</v>
      </c>
      <c r="T247" s="44"/>
      <c r="U247" s="44">
        <v>178375</v>
      </c>
      <c r="V247" s="44"/>
      <c r="W247" s="44">
        <f t="shared" si="12"/>
        <v>10723756</v>
      </c>
      <c r="X247" s="44"/>
      <c r="Y247" s="44">
        <v>20589543</v>
      </c>
      <c r="Z247" s="44"/>
      <c r="AA247" s="44">
        <f>+'Stmt net assets'!Y247</f>
        <v>19795842</v>
      </c>
      <c r="AB247" s="44"/>
      <c r="AC247" s="44">
        <f>+Y247+'Stmt of activities-GA rev'!AC246-'Stmt of activities-GAexp'!W247-AA247</f>
        <v>0</v>
      </c>
    </row>
    <row r="248" spans="1:29" s="47" customFormat="1" ht="12.75" customHeight="1" x14ac:dyDescent="0.2">
      <c r="A248" s="47" t="s">
        <v>272</v>
      </c>
      <c r="B248" s="51"/>
      <c r="C248" s="47" t="s">
        <v>43</v>
      </c>
      <c r="E248" s="44">
        <v>27331663</v>
      </c>
      <c r="F248" s="44"/>
      <c r="G248" s="44">
        <v>117232</v>
      </c>
      <c r="H248" s="44"/>
      <c r="I248" s="44">
        <v>7471158</v>
      </c>
      <c r="J248" s="44"/>
      <c r="K248" s="44">
        <v>2672231</v>
      </c>
      <c r="L248" s="44"/>
      <c r="M248" s="44">
        <v>9475825</v>
      </c>
      <c r="N248" s="44"/>
      <c r="O248" s="44">
        <v>1292044</v>
      </c>
      <c r="P248" s="44"/>
      <c r="Q248" s="44">
        <v>14459348</v>
      </c>
      <c r="R248" s="44"/>
      <c r="S248" s="44">
        <v>0</v>
      </c>
      <c r="T248" s="44"/>
      <c r="U248" s="44">
        <v>1073030</v>
      </c>
      <c r="V248" s="44"/>
      <c r="W248" s="44">
        <f t="shared" si="12"/>
        <v>63892531</v>
      </c>
      <c r="X248" s="44"/>
      <c r="Y248" s="44">
        <v>236731293</v>
      </c>
      <c r="Z248" s="44"/>
      <c r="AA248" s="44">
        <f>+'Stmt net assets'!Y248</f>
        <v>248897898</v>
      </c>
      <c r="AB248" s="44"/>
      <c r="AC248" s="44">
        <f>+Y248+'Stmt of activities-GA rev'!AC247-'Stmt of activities-GAexp'!W248-AA248</f>
        <v>0</v>
      </c>
    </row>
    <row r="249" spans="1:29" s="47" customFormat="1" ht="12.75" customHeight="1" x14ac:dyDescent="0.2">
      <c r="A249" s="47" t="s">
        <v>273</v>
      </c>
      <c r="B249" s="51"/>
      <c r="C249" s="47" t="s">
        <v>27</v>
      </c>
      <c r="E249" s="44">
        <v>14747275</v>
      </c>
      <c r="F249" s="44"/>
      <c r="G249" s="44">
        <v>1190286</v>
      </c>
      <c r="H249" s="44"/>
      <c r="I249" s="44">
        <v>3761827</v>
      </c>
      <c r="J249" s="44"/>
      <c r="K249" s="44">
        <v>1721879</v>
      </c>
      <c r="L249" s="44"/>
      <c r="M249" s="44">
        <v>11711632</v>
      </c>
      <c r="N249" s="44"/>
      <c r="O249" s="44">
        <v>1801486</v>
      </c>
      <c r="P249" s="44"/>
      <c r="Q249" s="44">
        <v>7836975</v>
      </c>
      <c r="R249" s="44"/>
      <c r="S249" s="44">
        <v>0</v>
      </c>
      <c r="T249" s="44"/>
      <c r="U249" s="44">
        <v>806303</v>
      </c>
      <c r="V249" s="44"/>
      <c r="W249" s="44">
        <f t="shared" si="12"/>
        <v>43577663</v>
      </c>
      <c r="X249" s="44"/>
      <c r="Y249" s="44">
        <v>185051790</v>
      </c>
      <c r="Z249" s="44"/>
      <c r="AA249" s="44">
        <f>+'Stmt net assets'!Y249</f>
        <v>192983945</v>
      </c>
      <c r="AB249" s="44"/>
      <c r="AC249" s="44">
        <f>+Y249+'Stmt of activities-GA rev'!AC248-'Stmt of activities-GAexp'!W249-AA249</f>
        <v>0</v>
      </c>
    </row>
    <row r="250" spans="1:29" s="47" customFormat="1" ht="12.75" customHeight="1" x14ac:dyDescent="0.2">
      <c r="A250" s="47" t="s">
        <v>274</v>
      </c>
      <c r="B250" s="51"/>
      <c r="C250" s="47" t="s">
        <v>43</v>
      </c>
      <c r="E250" s="44">
        <v>12965963</v>
      </c>
      <c r="F250" s="44"/>
      <c r="G250" s="44">
        <v>124388</v>
      </c>
      <c r="H250" s="44"/>
      <c r="I250" s="44">
        <v>803154</v>
      </c>
      <c r="J250" s="44"/>
      <c r="K250" s="44">
        <v>26063</v>
      </c>
      <c r="L250" s="44"/>
      <c r="M250" s="44">
        <v>2701909</v>
      </c>
      <c r="N250" s="44"/>
      <c r="O250" s="44">
        <v>1541342</v>
      </c>
      <c r="P250" s="44"/>
      <c r="Q250" s="44">
        <v>6499347</v>
      </c>
      <c r="R250" s="44"/>
      <c r="S250" s="44">
        <v>0</v>
      </c>
      <c r="T250" s="44"/>
      <c r="U250" s="44">
        <v>74273</v>
      </c>
      <c r="V250" s="44"/>
      <c r="W250" s="44">
        <f t="shared" si="12"/>
        <v>24736439</v>
      </c>
      <c r="X250" s="44"/>
      <c r="Y250" s="44">
        <v>31547145</v>
      </c>
      <c r="Z250" s="44"/>
      <c r="AA250" s="44">
        <f>+'Stmt net assets'!Y250</f>
        <v>35501111</v>
      </c>
      <c r="AB250" s="44"/>
      <c r="AC250" s="44">
        <f>+Y250+'Stmt of activities-GA rev'!AC249-'Stmt of activities-GAexp'!W250-AA250</f>
        <v>0</v>
      </c>
    </row>
    <row r="251" spans="1:29" s="47" customFormat="1" ht="12.75" customHeight="1" x14ac:dyDescent="0.2">
      <c r="A251" s="47" t="s">
        <v>275</v>
      </c>
      <c r="B251" s="51"/>
      <c r="C251" s="47" t="s">
        <v>92</v>
      </c>
      <c r="E251" s="44">
        <v>6793902</v>
      </c>
      <c r="F251" s="44"/>
      <c r="G251" s="44">
        <v>398704</v>
      </c>
      <c r="H251" s="44"/>
      <c r="I251" s="44">
        <v>778060</v>
      </c>
      <c r="J251" s="44"/>
      <c r="K251" s="44">
        <v>241369</v>
      </c>
      <c r="L251" s="44"/>
      <c r="M251" s="44">
        <v>6012955</v>
      </c>
      <c r="N251" s="44"/>
      <c r="O251" s="44">
        <v>1335319</v>
      </c>
      <c r="P251" s="44"/>
      <c r="Q251" s="44">
        <v>4525753</v>
      </c>
      <c r="R251" s="44"/>
      <c r="S251" s="44">
        <v>0</v>
      </c>
      <c r="T251" s="44"/>
      <c r="U251" s="44">
        <v>91569</v>
      </c>
      <c r="V251" s="44"/>
      <c r="W251" s="44">
        <f t="shared" si="12"/>
        <v>20177631</v>
      </c>
      <c r="X251" s="44"/>
      <c r="Y251" s="44">
        <v>97170106</v>
      </c>
      <c r="Z251" s="44"/>
      <c r="AA251" s="44">
        <f>+'Stmt net assets'!Y251</f>
        <v>98944013</v>
      </c>
      <c r="AB251" s="44"/>
      <c r="AC251" s="44">
        <f>+Y251+'Stmt of activities-GA rev'!AC250-'Stmt of activities-GAexp'!W251-AA251</f>
        <v>0</v>
      </c>
    </row>
    <row r="252" spans="1:29" s="47" customFormat="1" ht="12.75" customHeight="1" x14ac:dyDescent="0.2">
      <c r="A252" s="47" t="s">
        <v>276</v>
      </c>
      <c r="B252" s="51"/>
      <c r="C252" s="47" t="s">
        <v>38</v>
      </c>
      <c r="E252" s="44">
        <v>2916487</v>
      </c>
      <c r="F252" s="44"/>
      <c r="G252" s="44">
        <v>46648</v>
      </c>
      <c r="H252" s="44"/>
      <c r="I252" s="44">
        <v>326334</v>
      </c>
      <c r="J252" s="44"/>
      <c r="K252" s="44">
        <v>280343</v>
      </c>
      <c r="L252" s="44"/>
      <c r="M252" s="44">
        <v>984576</v>
      </c>
      <c r="N252" s="44"/>
      <c r="O252" s="44">
        <v>0</v>
      </c>
      <c r="P252" s="44"/>
      <c r="Q252" s="44">
        <v>821915</v>
      </c>
      <c r="R252" s="44"/>
      <c r="S252" s="44">
        <v>0</v>
      </c>
      <c r="T252" s="44"/>
      <c r="U252" s="44">
        <v>42321</v>
      </c>
      <c r="V252" s="44"/>
      <c r="W252" s="44">
        <f t="shared" si="12"/>
        <v>5418624</v>
      </c>
      <c r="X252" s="44"/>
      <c r="Y252" s="44">
        <v>14856228</v>
      </c>
      <c r="Z252" s="44"/>
      <c r="AA252" s="44">
        <f>+'Stmt net assets'!Y252</f>
        <v>15394086</v>
      </c>
      <c r="AB252" s="44"/>
      <c r="AC252" s="44">
        <f>+Y252+'Stmt of activities-GA rev'!AC251-'Stmt of activities-GAexp'!W252-AA252</f>
        <v>0</v>
      </c>
    </row>
    <row r="253" spans="1:29" s="47" customFormat="1" ht="12.75" customHeight="1" x14ac:dyDescent="0.2">
      <c r="A253" s="47" t="s">
        <v>277</v>
      </c>
      <c r="B253" s="51"/>
      <c r="C253" s="47" t="s">
        <v>92</v>
      </c>
      <c r="E253" s="44">
        <v>14533487</v>
      </c>
      <c r="F253" s="44"/>
      <c r="G253" s="44">
        <v>445762</v>
      </c>
      <c r="H253" s="44"/>
      <c r="I253" s="44">
        <v>2129458</v>
      </c>
      <c r="J253" s="44"/>
      <c r="K253" s="44">
        <v>892978</v>
      </c>
      <c r="L253" s="44"/>
      <c r="M253" s="44">
        <v>3875203</v>
      </c>
      <c r="N253" s="44"/>
      <c r="O253" s="44">
        <v>1747166</v>
      </c>
      <c r="P253" s="44"/>
      <c r="Q253" s="44">
        <v>7422339</v>
      </c>
      <c r="R253" s="44"/>
      <c r="S253" s="44">
        <v>0</v>
      </c>
      <c r="T253" s="44"/>
      <c r="U253" s="44">
        <v>491465</v>
      </c>
      <c r="V253" s="44"/>
      <c r="W253" s="44">
        <f t="shared" si="12"/>
        <v>31537858</v>
      </c>
      <c r="X253" s="44"/>
      <c r="Y253" s="44">
        <v>67069513</v>
      </c>
      <c r="Z253" s="44"/>
      <c r="AA253" s="44">
        <f>+'Stmt net assets'!Y253</f>
        <v>67195751</v>
      </c>
      <c r="AB253" s="44"/>
      <c r="AC253" s="44">
        <f>+Y253+'Stmt of activities-GA rev'!AC252-'Stmt of activities-GAexp'!W253-AA253</f>
        <v>0</v>
      </c>
    </row>
    <row r="254" spans="1:29" s="47" customFormat="1" ht="12.75" customHeight="1" x14ac:dyDescent="0.2">
      <c r="A254" s="47" t="s">
        <v>278</v>
      </c>
      <c r="B254" s="51"/>
      <c r="C254" s="47" t="s">
        <v>92</v>
      </c>
      <c r="E254" s="44">
        <f>3262757+2059268</f>
        <v>5322025</v>
      </c>
      <c r="F254" s="44"/>
      <c r="G254" s="44">
        <v>0</v>
      </c>
      <c r="H254" s="44"/>
      <c r="I254" s="44">
        <v>248345</v>
      </c>
      <c r="J254" s="44"/>
      <c r="K254" s="44">
        <v>145704</v>
      </c>
      <c r="L254" s="44"/>
      <c r="M254" s="44">
        <v>1417348</v>
      </c>
      <c r="N254" s="44"/>
      <c r="O254" s="44">
        <v>0</v>
      </c>
      <c r="P254" s="44"/>
      <c r="Q254" s="44">
        <v>2801461</v>
      </c>
      <c r="R254" s="44"/>
      <c r="S254" s="44">
        <v>0</v>
      </c>
      <c r="T254" s="44"/>
      <c r="U254" s="44">
        <v>101978</v>
      </c>
      <c r="V254" s="44"/>
      <c r="W254" s="44">
        <f t="shared" si="12"/>
        <v>10036861</v>
      </c>
      <c r="X254" s="44"/>
      <c r="Y254" s="44">
        <v>10856437</v>
      </c>
      <c r="Z254" s="44"/>
      <c r="AA254" s="44">
        <f>+'Stmt net assets'!Y254</f>
        <v>12873251</v>
      </c>
      <c r="AB254" s="44"/>
      <c r="AC254" s="44">
        <f>+Y254+'Stmt of activities-GA rev'!AC253-'Stmt of activities-GAexp'!W254-AA254</f>
        <v>0</v>
      </c>
    </row>
    <row r="255" spans="1:29" s="47" customFormat="1" ht="12.75" customHeight="1" x14ac:dyDescent="0.2">
      <c r="A255" s="47" t="s">
        <v>279</v>
      </c>
      <c r="B255" s="51"/>
      <c r="C255" s="47" t="s">
        <v>92</v>
      </c>
      <c r="E255" s="44">
        <v>5247677</v>
      </c>
      <c r="F255" s="44"/>
      <c r="G255" s="44">
        <v>105344</v>
      </c>
      <c r="H255" s="44"/>
      <c r="I255" s="44">
        <v>971692</v>
      </c>
      <c r="J255" s="44"/>
      <c r="K255" s="44">
        <v>511537</v>
      </c>
      <c r="L255" s="44"/>
      <c r="M255" s="44">
        <v>1755787</v>
      </c>
      <c r="N255" s="44"/>
      <c r="O255" s="44">
        <v>1296432</v>
      </c>
      <c r="P255" s="44"/>
      <c r="Q255" s="44">
        <v>1855273</v>
      </c>
      <c r="R255" s="44"/>
      <c r="S255" s="44">
        <v>0</v>
      </c>
      <c r="T255" s="44"/>
      <c r="U255" s="44">
        <v>32284</v>
      </c>
      <c r="V255" s="44"/>
      <c r="W255" s="44">
        <f t="shared" si="12"/>
        <v>11776026</v>
      </c>
      <c r="X255" s="44"/>
      <c r="Y255" s="44">
        <v>36638216</v>
      </c>
      <c r="Z255" s="44"/>
      <c r="AA255" s="44">
        <f>+'Stmt net assets'!Y255</f>
        <v>37023738</v>
      </c>
      <c r="AB255" s="44"/>
      <c r="AC255" s="44">
        <f>+Y255+'Stmt of activities-GA rev'!AC254-'Stmt of activities-GAexp'!W255-AA255</f>
        <v>0</v>
      </c>
    </row>
    <row r="256" spans="1:29" s="47" customFormat="1" ht="12.75" customHeight="1" x14ac:dyDescent="0.2">
      <c r="A256" s="47" t="s">
        <v>280</v>
      </c>
      <c r="B256" s="51"/>
      <c r="C256" s="47" t="s">
        <v>281</v>
      </c>
      <c r="E256" s="44">
        <v>5267002</v>
      </c>
      <c r="F256" s="44"/>
      <c r="G256" s="44">
        <v>418814</v>
      </c>
      <c r="H256" s="44"/>
      <c r="I256" s="44">
        <v>531305</v>
      </c>
      <c r="J256" s="44"/>
      <c r="K256" s="44">
        <v>0</v>
      </c>
      <c r="L256" s="44"/>
      <c r="M256" s="44">
        <v>2688603</v>
      </c>
      <c r="N256" s="44"/>
      <c r="O256" s="44">
        <v>0</v>
      </c>
      <c r="P256" s="44"/>
      <c r="Q256" s="44">
        <v>4785086</v>
      </c>
      <c r="R256" s="44"/>
      <c r="S256" s="44">
        <v>0</v>
      </c>
      <c r="T256" s="44"/>
      <c r="U256" s="44">
        <v>327134</v>
      </c>
      <c r="V256" s="44"/>
      <c r="W256" s="44">
        <f t="shared" si="12"/>
        <v>14017944</v>
      </c>
      <c r="X256" s="44"/>
      <c r="Y256" s="44">
        <v>16266720</v>
      </c>
      <c r="Z256" s="44"/>
      <c r="AA256" s="44">
        <f>+'Stmt net assets'!Y256</f>
        <v>14245651</v>
      </c>
      <c r="AB256" s="44"/>
      <c r="AC256" s="44">
        <f>+Y256+'Stmt of activities-GA rev'!AC255-'Stmt of activities-GAexp'!W256-AA256</f>
        <v>0</v>
      </c>
    </row>
    <row r="257" spans="1:29" s="47" customFormat="1" ht="12.75" customHeight="1" x14ac:dyDescent="0.2">
      <c r="A257" s="47" t="s">
        <v>282</v>
      </c>
      <c r="B257" s="51"/>
      <c r="C257" s="47" t="s">
        <v>199</v>
      </c>
      <c r="E257" s="44">
        <f>10564667+1094548</f>
        <v>11659215</v>
      </c>
      <c r="F257" s="44"/>
      <c r="G257" s="44">
        <v>136364</v>
      </c>
      <c r="H257" s="44"/>
      <c r="I257" s="44">
        <f>1527771+262377</f>
        <v>1790148</v>
      </c>
      <c r="J257" s="44"/>
      <c r="K257" s="44">
        <f>1172772+33752</f>
        <v>1206524</v>
      </c>
      <c r="L257" s="44"/>
      <c r="M257" s="44">
        <f>2876972+214373</f>
        <v>3091345</v>
      </c>
      <c r="N257" s="44"/>
      <c r="O257" s="44">
        <v>0</v>
      </c>
      <c r="P257" s="44"/>
      <c r="Q257" s="44">
        <f>3192626-2729848</f>
        <v>462778</v>
      </c>
      <c r="R257" s="44"/>
      <c r="S257" s="44">
        <f>185751-350387</f>
        <v>-164636</v>
      </c>
      <c r="T257" s="44"/>
      <c r="U257" s="44">
        <v>158936</v>
      </c>
      <c r="V257" s="44"/>
      <c r="W257" s="44">
        <f t="shared" si="12"/>
        <v>18340674</v>
      </c>
      <c r="X257" s="44"/>
      <c r="Y257" s="44">
        <v>60985923</v>
      </c>
      <c r="Z257" s="44"/>
      <c r="AA257" s="44">
        <f>+'Stmt net assets'!Y257</f>
        <v>64027344</v>
      </c>
      <c r="AB257" s="44"/>
      <c r="AC257" s="44">
        <f>+Y257+'Stmt of activities-GA rev'!AC256-'Stmt of activities-GAexp'!W257-AA257</f>
        <v>0</v>
      </c>
    </row>
    <row r="258" spans="1:29" s="47" customFormat="1" ht="12.75" customHeight="1" x14ac:dyDescent="0.2">
      <c r="A258" s="47" t="s">
        <v>283</v>
      </c>
      <c r="B258" s="51"/>
      <c r="C258" s="47" t="s">
        <v>43</v>
      </c>
      <c r="E258" s="44">
        <v>10653113</v>
      </c>
      <c r="F258" s="44"/>
      <c r="G258" s="44">
        <v>61674</v>
      </c>
      <c r="H258" s="44"/>
      <c r="I258" s="44">
        <v>4407676</v>
      </c>
      <c r="J258" s="44"/>
      <c r="K258" s="44">
        <v>899821</v>
      </c>
      <c r="L258" s="44"/>
      <c r="M258" s="44">
        <v>3770597</v>
      </c>
      <c r="N258" s="44"/>
      <c r="O258" s="44">
        <v>1901240</v>
      </c>
      <c r="P258" s="44"/>
      <c r="Q258" s="44">
        <v>5671954</v>
      </c>
      <c r="R258" s="44"/>
      <c r="S258" s="44">
        <v>32255</v>
      </c>
      <c r="T258" s="44"/>
      <c r="U258" s="44">
        <v>357753</v>
      </c>
      <c r="V258" s="44"/>
      <c r="W258" s="44">
        <f t="shared" si="12"/>
        <v>27756083</v>
      </c>
      <c r="X258" s="44"/>
      <c r="Y258" s="44">
        <v>45050164</v>
      </c>
      <c r="Z258" s="44"/>
      <c r="AA258" s="44">
        <f>+'Stmt net assets'!Y258</f>
        <v>47439190</v>
      </c>
      <c r="AB258" s="44"/>
      <c r="AC258" s="44">
        <f>+Y258+'Stmt of activities-GA rev'!AC257-'Stmt of activities-GAexp'!W258-AA258</f>
        <v>0</v>
      </c>
    </row>
    <row r="259" spans="1:29" s="47" customFormat="1" ht="12.75" customHeight="1" x14ac:dyDescent="0.2">
      <c r="A259" s="47" t="s">
        <v>284</v>
      </c>
      <c r="B259" s="51"/>
      <c r="C259" s="47" t="s">
        <v>45</v>
      </c>
      <c r="E259" s="44">
        <v>3144412</v>
      </c>
      <c r="F259" s="44"/>
      <c r="G259" s="44">
        <v>67258</v>
      </c>
      <c r="H259" s="44"/>
      <c r="I259" s="44">
        <v>1630553</v>
      </c>
      <c r="J259" s="44"/>
      <c r="K259" s="44">
        <v>463301</v>
      </c>
      <c r="L259" s="44"/>
      <c r="M259" s="44">
        <v>1293436</v>
      </c>
      <c r="N259" s="44"/>
      <c r="O259" s="44">
        <v>511108</v>
      </c>
      <c r="P259" s="44"/>
      <c r="Q259" s="44">
        <v>2696316</v>
      </c>
      <c r="R259" s="44"/>
      <c r="S259" s="44">
        <v>0</v>
      </c>
      <c r="T259" s="44"/>
      <c r="U259" s="44">
        <v>506270</v>
      </c>
      <c r="V259" s="44"/>
      <c r="W259" s="44">
        <f t="shared" si="12"/>
        <v>10312654</v>
      </c>
      <c r="X259" s="44"/>
      <c r="Y259" s="44">
        <v>24827233</v>
      </c>
      <c r="Z259" s="44"/>
      <c r="AA259" s="44">
        <f>+'Stmt net assets'!Y259</f>
        <v>24385447</v>
      </c>
      <c r="AB259" s="44"/>
      <c r="AC259" s="44">
        <f>+Y259+'Stmt of activities-GA rev'!AC258-'Stmt of activities-GAexp'!W259-AA259</f>
        <v>0</v>
      </c>
    </row>
    <row r="260" spans="1:29" s="47" customFormat="1" ht="12.75" customHeight="1" x14ac:dyDescent="0.2">
      <c r="A260" s="47" t="s">
        <v>285</v>
      </c>
      <c r="B260" s="51"/>
      <c r="C260" s="47" t="s">
        <v>30</v>
      </c>
      <c r="E260" s="44">
        <v>12065050</v>
      </c>
      <c r="F260" s="44"/>
      <c r="G260" s="44">
        <v>0</v>
      </c>
      <c r="H260" s="44"/>
      <c r="I260" s="44">
        <v>272941</v>
      </c>
      <c r="J260" s="44"/>
      <c r="K260" s="44">
        <f>139753+151523</f>
        <v>291276</v>
      </c>
      <c r="L260" s="44"/>
      <c r="M260" s="44">
        <v>2409163</v>
      </c>
      <c r="N260" s="44"/>
      <c r="O260" s="44">
        <v>0</v>
      </c>
      <c r="P260" s="44"/>
      <c r="Q260" s="44">
        <v>3677014</v>
      </c>
      <c r="R260" s="44"/>
      <c r="S260" s="44">
        <v>0</v>
      </c>
      <c r="T260" s="44"/>
      <c r="U260" s="44">
        <v>67642</v>
      </c>
      <c r="V260" s="44"/>
      <c r="W260" s="44">
        <f t="shared" si="12"/>
        <v>18783086</v>
      </c>
      <c r="X260" s="44"/>
      <c r="Y260" s="44">
        <v>41847229</v>
      </c>
      <c r="Z260" s="44"/>
      <c r="AA260" s="44">
        <f>+'Stmt net assets'!Y260</f>
        <v>44589452</v>
      </c>
      <c r="AB260" s="44"/>
      <c r="AC260" s="44">
        <f>+Y260+'Stmt of activities-GA rev'!AC259-'Stmt of activities-GAexp'!W260-AA260</f>
        <v>0</v>
      </c>
    </row>
    <row r="261" spans="1:29" s="47" customFormat="1" ht="12.75" customHeight="1" x14ac:dyDescent="0.2">
      <c r="A261" s="47" t="s">
        <v>286</v>
      </c>
      <c r="B261" s="51"/>
      <c r="C261" s="47" t="s">
        <v>61</v>
      </c>
      <c r="E261" s="44">
        <v>35249601</v>
      </c>
      <c r="F261" s="44"/>
      <c r="G261" s="44">
        <v>2553106</v>
      </c>
      <c r="H261" s="44"/>
      <c r="I261" s="44">
        <v>3004090</v>
      </c>
      <c r="J261" s="44"/>
      <c r="K261" s="44">
        <v>7851492</v>
      </c>
      <c r="L261" s="44"/>
      <c r="M261" s="44">
        <v>9419034</v>
      </c>
      <c r="N261" s="44"/>
      <c r="O261" s="44">
        <v>2749335</v>
      </c>
      <c r="P261" s="44"/>
      <c r="Q261" s="44">
        <v>14661266</v>
      </c>
      <c r="R261" s="44"/>
      <c r="S261" s="44">
        <v>0</v>
      </c>
      <c r="T261" s="44"/>
      <c r="U261" s="44">
        <v>2036155</v>
      </c>
      <c r="V261" s="44"/>
      <c r="W261" s="44">
        <f t="shared" si="12"/>
        <v>77524079</v>
      </c>
      <c r="X261" s="44"/>
      <c r="Y261" s="44">
        <v>87989076</v>
      </c>
      <c r="Z261" s="44"/>
      <c r="AA261" s="44">
        <f>+'Stmt net assets'!Y261</f>
        <v>97562406</v>
      </c>
      <c r="AB261" s="44"/>
      <c r="AC261" s="44">
        <f>+Y261+'Stmt of activities-GA rev'!AC260-'Stmt of activities-GAexp'!W261-AA261</f>
        <v>0</v>
      </c>
    </row>
    <row r="262" spans="1:29" s="47" customFormat="1" ht="12.75" customHeight="1" x14ac:dyDescent="0.2">
      <c r="A262" s="47" t="s">
        <v>287</v>
      </c>
      <c r="B262" s="51"/>
      <c r="C262" s="47" t="s">
        <v>288</v>
      </c>
      <c r="E262" s="44">
        <f>7215421+5027385+327111</f>
        <v>12569917</v>
      </c>
      <c r="F262" s="44"/>
      <c r="G262" s="44">
        <v>437516</v>
      </c>
      <c r="H262" s="44"/>
      <c r="I262" s="44">
        <v>794034</v>
      </c>
      <c r="J262" s="44"/>
      <c r="K262" s="44">
        <v>1339688</v>
      </c>
      <c r="L262" s="44"/>
      <c r="M262" s="44">
        <v>3996768</v>
      </c>
      <c r="N262" s="44"/>
      <c r="O262" s="44">
        <v>0</v>
      </c>
      <c r="P262" s="44"/>
      <c r="Q262" s="44">
        <f>4170779+474125</f>
        <v>4644904</v>
      </c>
      <c r="R262" s="44"/>
      <c r="S262" s="44">
        <v>0</v>
      </c>
      <c r="T262" s="44"/>
      <c r="U262" s="44">
        <v>229668</v>
      </c>
      <c r="V262" s="44"/>
      <c r="W262" s="44">
        <f t="shared" si="12"/>
        <v>24012495</v>
      </c>
      <c r="X262" s="44"/>
      <c r="Y262" s="44">
        <v>23155979</v>
      </c>
      <c r="Z262" s="44"/>
      <c r="AA262" s="44">
        <f>+'Stmt net assets'!Y262</f>
        <v>24431326</v>
      </c>
      <c r="AB262" s="44"/>
      <c r="AC262" s="44">
        <f>+Y262+'Stmt of activities-GA rev'!AC261-'Stmt of activities-GAexp'!W262-AA262</f>
        <v>0</v>
      </c>
    </row>
    <row r="263" spans="1:29" s="47" customFormat="1" ht="12.75" customHeight="1" x14ac:dyDescent="0.2">
      <c r="A263" s="49"/>
      <c r="B263" s="51"/>
      <c r="C263" s="49"/>
    </row>
    <row r="264" spans="1:29" s="47" customFormat="1" ht="12.75" customHeight="1" x14ac:dyDescent="0.2">
      <c r="B264" s="51"/>
    </row>
    <row r="265" spans="1:29" s="47" customFormat="1" ht="12.75" customHeight="1" x14ac:dyDescent="0.2">
      <c r="B265" s="51"/>
    </row>
    <row r="266" spans="1:29" s="47" customFormat="1" ht="12.75" customHeight="1" x14ac:dyDescent="0.2">
      <c r="B266" s="51"/>
    </row>
    <row r="267" spans="1:29" s="47" customFormat="1" ht="12.75" customHeight="1" x14ac:dyDescent="0.2">
      <c r="B267" s="51"/>
    </row>
    <row r="268" spans="1:29" s="47" customFormat="1" ht="12.75" customHeight="1" x14ac:dyDescent="0.2">
      <c r="B268" s="51"/>
    </row>
  </sheetData>
  <mergeCells count="1">
    <mergeCell ref="E5:P5"/>
  </mergeCells>
  <phoneticPr fontId="4" type="noConversion"/>
  <printOptions horizontalCentered="1"/>
  <pageMargins left="0.75" right="0.75" top="0.5" bottom="0.5" header="0" footer="0.25"/>
  <pageSetup scale="86" firstPageNumber="22" pageOrder="overThenDown" orientation="portrait" useFirstPageNumber="1" r:id="rId1"/>
  <headerFooter alignWithMargins="0">
    <oddFooter>&amp;C&amp;"Times New Roman,Regular"&amp;11&amp;P</oddFooter>
  </headerFooter>
  <rowBreaks count="4" manualBreakCount="4">
    <brk id="65" max="26" man="1"/>
    <brk id="123" max="26" man="1"/>
    <brk id="177" max="26" man="1"/>
    <brk id="232" max="26" man="1"/>
  </rowBreaks>
  <colBreaks count="1" manualBreakCount="1">
    <brk id="14" min="9" max="2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1"/>
  <sheetViews>
    <sheetView view="pageBreakPreview" zoomScaleNormal="120" zoomScaleSheetLayoutView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4" sqref="A4"/>
    </sheetView>
  </sheetViews>
  <sheetFormatPr defaultColWidth="9.140625" defaultRowHeight="12.75" customHeight="1" x14ac:dyDescent="0.2"/>
  <cols>
    <col min="1" max="1" width="18.140625" style="2" customWidth="1"/>
    <col min="2" max="2" width="1.7109375" customWidth="1"/>
    <col min="3" max="3" width="11" style="2" customWidth="1"/>
    <col min="4" max="4" width="1.7109375" style="2" customWidth="1"/>
    <col min="5" max="5" width="11.7109375" style="2" customWidth="1"/>
    <col min="6" max="6" width="1.7109375" style="2" customWidth="1"/>
    <col min="7" max="7" width="11.7109375" style="2" customWidth="1"/>
    <col min="8" max="8" width="1.7109375" style="2" customWidth="1"/>
    <col min="9" max="9" width="11.7109375" style="2" customWidth="1"/>
    <col min="10" max="10" width="1.7109375" style="2" customWidth="1"/>
    <col min="11" max="11" width="11.7109375" style="2" customWidth="1"/>
    <col min="12" max="12" width="1.7109375" style="2" customWidth="1"/>
    <col min="13" max="13" width="11.7109375" style="2" customWidth="1"/>
    <col min="14" max="14" width="1.7109375" style="2" customWidth="1"/>
    <col min="15" max="15" width="11.7109375" style="2" customWidth="1"/>
    <col min="16" max="16" width="1.7109375" style="2" customWidth="1"/>
    <col min="17" max="17" width="11.7109375" style="2" customWidth="1"/>
    <col min="18" max="18" width="1.7109375" style="2" customWidth="1"/>
    <col min="19" max="19" width="11.7109375" style="2" customWidth="1"/>
    <col min="20" max="20" width="1.7109375" style="2" customWidth="1"/>
    <col min="21" max="21" width="10.7109375" style="2" hidden="1" customWidth="1"/>
    <col min="22" max="22" width="10" style="2" customWidth="1"/>
    <col min="23" max="23" width="9.28515625" style="2" bestFit="1" customWidth="1"/>
    <col min="24" max="16384" width="9.140625" style="2"/>
  </cols>
  <sheetData>
    <row r="1" spans="1:23" ht="12.75" customHeight="1" x14ac:dyDescent="0.2">
      <c r="A1" s="20" t="s">
        <v>416</v>
      </c>
      <c r="C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</row>
    <row r="2" spans="1:23" ht="12.75" customHeight="1" x14ac:dyDescent="0.2">
      <c r="A2" s="20" t="s">
        <v>500</v>
      </c>
      <c r="C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</row>
    <row r="3" spans="1:23" ht="12.75" customHeight="1" x14ac:dyDescent="0.2">
      <c r="A3" s="22" t="s">
        <v>289</v>
      </c>
      <c r="C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3" ht="12.75" customHeight="1" x14ac:dyDescent="0.2">
      <c r="A4" s="22" t="s">
        <v>484</v>
      </c>
      <c r="C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3" ht="12.75" customHeight="1" x14ac:dyDescent="0.2">
      <c r="O5" s="6" t="s">
        <v>318</v>
      </c>
      <c r="P5" s="6"/>
      <c r="Q5" s="6" t="s">
        <v>318</v>
      </c>
    </row>
    <row r="6" spans="1:23" ht="12.75" customHeight="1" x14ac:dyDescent="0.2">
      <c r="A6" s="5"/>
      <c r="C6" s="5"/>
      <c r="D6" s="3"/>
      <c r="E6" s="6"/>
      <c r="F6" s="6"/>
      <c r="G6" s="6"/>
      <c r="H6" s="6"/>
      <c r="I6" s="6"/>
      <c r="J6" s="6"/>
      <c r="K6" s="6"/>
      <c r="L6" s="6"/>
      <c r="M6" s="6" t="s">
        <v>317</v>
      </c>
      <c r="N6" s="6"/>
      <c r="O6" s="8" t="s">
        <v>437</v>
      </c>
      <c r="P6" s="6"/>
      <c r="Q6" s="6" t="s">
        <v>321</v>
      </c>
      <c r="R6" s="6"/>
      <c r="S6" s="6" t="s">
        <v>6</v>
      </c>
      <c r="T6" s="5"/>
    </row>
    <row r="7" spans="1:23" ht="12.75" customHeight="1" x14ac:dyDescent="0.2">
      <c r="A7" s="5"/>
      <c r="C7" s="5"/>
      <c r="D7" s="5"/>
      <c r="E7" s="6" t="s">
        <v>319</v>
      </c>
      <c r="F7" s="6"/>
      <c r="G7" s="6" t="s">
        <v>6</v>
      </c>
      <c r="H7" s="6"/>
      <c r="I7" s="6" t="s">
        <v>5</v>
      </c>
      <c r="J7" s="6"/>
      <c r="K7" s="6" t="s">
        <v>6</v>
      </c>
      <c r="L7" s="6"/>
      <c r="M7" s="6" t="s">
        <v>320</v>
      </c>
      <c r="N7" s="6"/>
      <c r="O7" s="3" t="s">
        <v>497</v>
      </c>
      <c r="P7" s="3"/>
      <c r="Q7" s="3" t="s">
        <v>498</v>
      </c>
      <c r="R7" s="6"/>
      <c r="S7" s="6" t="s">
        <v>320</v>
      </c>
      <c r="T7" s="5"/>
      <c r="V7" s="3" t="s">
        <v>428</v>
      </c>
    </row>
    <row r="8" spans="1:23" s="44" customFormat="1" ht="12.75" customHeight="1" x14ac:dyDescent="0.2">
      <c r="A8" s="78" t="s">
        <v>8</v>
      </c>
      <c r="B8" s="51"/>
      <c r="C8" s="78" t="s">
        <v>9</v>
      </c>
      <c r="D8" s="35"/>
      <c r="E8" s="78" t="s">
        <v>322</v>
      </c>
      <c r="F8" s="8"/>
      <c r="G8" s="78" t="s">
        <v>0</v>
      </c>
      <c r="H8" s="8"/>
      <c r="I8" s="78" t="s">
        <v>323</v>
      </c>
      <c r="J8" s="8"/>
      <c r="K8" s="78" t="s">
        <v>1</v>
      </c>
      <c r="L8" s="8"/>
      <c r="M8" s="78" t="s">
        <v>324</v>
      </c>
      <c r="N8" s="8"/>
      <c r="O8" s="78" t="s">
        <v>325</v>
      </c>
      <c r="P8" s="8"/>
      <c r="Q8" s="78" t="s">
        <v>325</v>
      </c>
      <c r="R8" s="8"/>
      <c r="S8" s="78" t="s">
        <v>324</v>
      </c>
      <c r="T8" s="35"/>
      <c r="V8" s="104" t="s">
        <v>430</v>
      </c>
    </row>
    <row r="9" spans="1:23" s="44" customFormat="1" ht="12.75" customHeight="1" x14ac:dyDescent="0.2">
      <c r="A9" s="8"/>
      <c r="B9" s="51"/>
      <c r="C9" s="8"/>
      <c r="D9" s="35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35"/>
    </row>
    <row r="10" spans="1:23" s="46" customFormat="1" ht="12.75" hidden="1" customHeight="1" x14ac:dyDescent="0.2">
      <c r="A10" s="44" t="s">
        <v>12</v>
      </c>
      <c r="B10" s="51"/>
      <c r="C10" s="44" t="s">
        <v>13</v>
      </c>
      <c r="D10" s="35"/>
      <c r="E10" s="94">
        <v>1798472</v>
      </c>
      <c r="F10" s="94"/>
      <c r="G10" s="94">
        <v>51483624</v>
      </c>
      <c r="H10" s="94"/>
      <c r="I10" s="94">
        <f>12761+32223651</f>
        <v>32236412</v>
      </c>
      <c r="J10" s="94"/>
      <c r="K10" s="94">
        <v>42339433</v>
      </c>
      <c r="L10" s="94"/>
      <c r="M10" s="94">
        <v>0</v>
      </c>
      <c r="N10" s="94"/>
      <c r="O10" s="94">
        <v>1242472</v>
      </c>
      <c r="P10" s="94"/>
      <c r="Q10" s="94">
        <v>7901719</v>
      </c>
      <c r="R10" s="94"/>
      <c r="S10" s="94">
        <f t="shared" ref="S10:S73" si="0">+Q10+O10+M10</f>
        <v>9144191</v>
      </c>
      <c r="T10" s="45"/>
      <c r="U10" s="46">
        <f t="shared" ref="U10:U73" si="1">+G10-K10-S10</f>
        <v>0</v>
      </c>
      <c r="V10" s="44">
        <f t="shared" ref="V10:V73" si="2">+G10-K10-S10</f>
        <v>0</v>
      </c>
    </row>
    <row r="11" spans="1:23" s="46" customFormat="1" ht="12.75" customHeight="1" x14ac:dyDescent="0.2">
      <c r="A11" s="44" t="s">
        <v>14</v>
      </c>
      <c r="B11" s="51"/>
      <c r="C11" s="44" t="s">
        <v>15</v>
      </c>
      <c r="D11" s="35"/>
      <c r="E11" s="94">
        <v>3087487</v>
      </c>
      <c r="F11" s="94"/>
      <c r="G11" s="94">
        <v>7667936</v>
      </c>
      <c r="H11" s="94"/>
      <c r="I11" s="94">
        <v>2067082</v>
      </c>
      <c r="J11" s="94"/>
      <c r="K11" s="94">
        <v>3715329</v>
      </c>
      <c r="L11" s="94"/>
      <c r="M11" s="94">
        <f>88225+10289</f>
        <v>98514</v>
      </c>
      <c r="N11" s="94"/>
      <c r="O11" s="94">
        <v>64886</v>
      </c>
      <c r="P11" s="94"/>
      <c r="Q11" s="94">
        <v>3789207</v>
      </c>
      <c r="R11" s="94"/>
      <c r="S11" s="94">
        <f>+Q11+O11+M11</f>
        <v>3952607</v>
      </c>
      <c r="T11" s="45"/>
      <c r="U11" s="46">
        <f t="shared" si="1"/>
        <v>0</v>
      </c>
      <c r="V11" s="44">
        <f t="shared" si="2"/>
        <v>0</v>
      </c>
    </row>
    <row r="12" spans="1:23" s="44" customFormat="1" ht="12.75" customHeight="1" x14ac:dyDescent="0.2">
      <c r="A12" s="44" t="s">
        <v>16</v>
      </c>
      <c r="B12" s="51"/>
      <c r="C12" s="44" t="s">
        <v>17</v>
      </c>
      <c r="D12" s="35"/>
      <c r="E12" s="45">
        <v>1529630</v>
      </c>
      <c r="F12" s="45"/>
      <c r="G12" s="45">
        <v>3876499</v>
      </c>
      <c r="H12" s="45"/>
      <c r="I12" s="45">
        <v>1323254</v>
      </c>
      <c r="J12" s="45"/>
      <c r="K12" s="45">
        <v>1551901</v>
      </c>
      <c r="L12" s="45"/>
      <c r="M12" s="45">
        <v>153001</v>
      </c>
      <c r="N12" s="45"/>
      <c r="O12" s="45">
        <v>74755</v>
      </c>
      <c r="P12" s="45"/>
      <c r="Q12" s="45">
        <v>2096842</v>
      </c>
      <c r="R12" s="45"/>
      <c r="S12" s="45">
        <f t="shared" si="0"/>
        <v>2324598</v>
      </c>
      <c r="T12" s="45"/>
      <c r="U12" s="44">
        <f t="shared" si="1"/>
        <v>0</v>
      </c>
      <c r="V12" s="44">
        <f t="shared" si="2"/>
        <v>0</v>
      </c>
    </row>
    <row r="13" spans="1:23" s="44" customFormat="1" ht="12.75" customHeight="1" x14ac:dyDescent="0.2">
      <c r="A13" s="44" t="s">
        <v>18</v>
      </c>
      <c r="B13" s="51"/>
      <c r="C13" s="44" t="s">
        <v>18</v>
      </c>
      <c r="D13" s="35"/>
      <c r="E13" s="45">
        <v>1418522</v>
      </c>
      <c r="F13" s="45"/>
      <c r="G13" s="45">
        <v>4385376</v>
      </c>
      <c r="H13" s="45"/>
      <c r="I13" s="45">
        <v>1702393</v>
      </c>
      <c r="J13" s="45"/>
      <c r="K13" s="45">
        <v>2292739</v>
      </c>
      <c r="L13" s="45"/>
      <c r="M13" s="45">
        <f>85412+3020</f>
        <v>88432</v>
      </c>
      <c r="N13" s="45"/>
      <c r="O13" s="45">
        <v>129698</v>
      </c>
      <c r="P13" s="45"/>
      <c r="Q13" s="45">
        <v>1874507</v>
      </c>
      <c r="R13" s="45"/>
      <c r="S13" s="45">
        <f t="shared" si="0"/>
        <v>2092637</v>
      </c>
      <c r="T13" s="45"/>
      <c r="U13" s="44">
        <f t="shared" si="1"/>
        <v>0</v>
      </c>
      <c r="V13" s="44">
        <f t="shared" si="2"/>
        <v>0</v>
      </c>
    </row>
    <row r="14" spans="1:23" s="121" customFormat="1" ht="12.75" hidden="1" customHeight="1" x14ac:dyDescent="0.2">
      <c r="A14" s="121" t="s">
        <v>19</v>
      </c>
      <c r="B14" s="124"/>
      <c r="C14" s="121" t="s">
        <v>19</v>
      </c>
      <c r="D14" s="126"/>
      <c r="E14" s="127">
        <f>63458+95669+17563</f>
        <v>176690</v>
      </c>
      <c r="F14" s="127"/>
      <c r="G14" s="127">
        <v>4041165</v>
      </c>
      <c r="H14" s="127"/>
      <c r="I14" s="127">
        <v>3123110</v>
      </c>
      <c r="J14" s="127"/>
      <c r="K14" s="127">
        <v>3614260</v>
      </c>
      <c r="L14" s="127"/>
      <c r="M14" s="127">
        <v>107285</v>
      </c>
      <c r="N14" s="127"/>
      <c r="O14" s="127">
        <v>40815</v>
      </c>
      <c r="P14" s="127"/>
      <c r="Q14" s="127">
        <v>278805</v>
      </c>
      <c r="R14" s="127"/>
      <c r="S14" s="127">
        <f t="shared" si="0"/>
        <v>426905</v>
      </c>
      <c r="T14" s="127"/>
      <c r="U14" s="121">
        <f t="shared" si="1"/>
        <v>0</v>
      </c>
      <c r="V14" s="121">
        <f t="shared" si="2"/>
        <v>0</v>
      </c>
      <c r="W14" s="121" t="s">
        <v>502</v>
      </c>
    </row>
    <row r="15" spans="1:23" s="44" customFormat="1" ht="12.75" customHeight="1" x14ac:dyDescent="0.2">
      <c r="A15" s="44" t="s">
        <v>20</v>
      </c>
      <c r="B15" s="51"/>
      <c r="C15" s="44" t="s">
        <v>20</v>
      </c>
      <c r="D15" s="35"/>
      <c r="E15" s="45">
        <f>1743262+55035</f>
        <v>1798297</v>
      </c>
      <c r="F15" s="45"/>
      <c r="G15" s="45">
        <v>3586603</v>
      </c>
      <c r="H15" s="45"/>
      <c r="I15" s="45">
        <v>924341</v>
      </c>
      <c r="J15" s="45"/>
      <c r="K15" s="45">
        <v>1924589</v>
      </c>
      <c r="L15" s="45"/>
      <c r="M15" s="45">
        <v>57497</v>
      </c>
      <c r="N15" s="45"/>
      <c r="O15" s="45">
        <v>543326</v>
      </c>
      <c r="P15" s="45"/>
      <c r="Q15" s="45">
        <v>1061191</v>
      </c>
      <c r="R15" s="45"/>
      <c r="S15" s="45">
        <f t="shared" si="0"/>
        <v>1662014</v>
      </c>
      <c r="T15" s="45"/>
      <c r="U15" s="44">
        <f t="shared" si="1"/>
        <v>0</v>
      </c>
      <c r="V15" s="44">
        <f t="shared" si="2"/>
        <v>0</v>
      </c>
    </row>
    <row r="16" spans="1:23" s="44" customFormat="1" ht="12.75" customHeight="1" x14ac:dyDescent="0.2">
      <c r="A16" s="44" t="s">
        <v>21</v>
      </c>
      <c r="C16" s="44" t="s">
        <v>22</v>
      </c>
      <c r="D16" s="35"/>
      <c r="E16" s="45">
        <v>6984258</v>
      </c>
      <c r="F16" s="45"/>
      <c r="G16" s="45">
        <v>11539016</v>
      </c>
      <c r="H16" s="45"/>
      <c r="I16" s="45">
        <v>2019628</v>
      </c>
      <c r="J16" s="45"/>
      <c r="K16" s="45">
        <v>4448320</v>
      </c>
      <c r="L16" s="45"/>
      <c r="M16" s="45">
        <f>70160+188192</f>
        <v>258352</v>
      </c>
      <c r="N16" s="45"/>
      <c r="O16" s="45">
        <v>115857</v>
      </c>
      <c r="P16" s="45"/>
      <c r="Q16" s="45">
        <v>6716487</v>
      </c>
      <c r="R16" s="45"/>
      <c r="S16" s="45">
        <f t="shared" si="0"/>
        <v>7090696</v>
      </c>
      <c r="T16" s="45"/>
      <c r="U16" s="44">
        <f t="shared" si="1"/>
        <v>0</v>
      </c>
      <c r="V16" s="44">
        <f t="shared" si="2"/>
        <v>0</v>
      </c>
    </row>
    <row r="17" spans="1:22" s="44" customFormat="1" ht="12.75" customHeight="1" x14ac:dyDescent="0.2">
      <c r="A17" s="44" t="s">
        <v>23</v>
      </c>
      <c r="B17" s="51"/>
      <c r="C17" s="44" t="s">
        <v>17</v>
      </c>
      <c r="D17" s="35"/>
      <c r="E17" s="45">
        <f>3374612+1051123</f>
        <v>4425735</v>
      </c>
      <c r="F17" s="45"/>
      <c r="G17" s="45">
        <v>11517142</v>
      </c>
      <c r="H17" s="45"/>
      <c r="I17" s="45">
        <v>2543841</v>
      </c>
      <c r="J17" s="45"/>
      <c r="K17" s="45">
        <v>2650198</v>
      </c>
      <c r="L17" s="45"/>
      <c r="M17" s="45">
        <v>1250272</v>
      </c>
      <c r="N17" s="45"/>
      <c r="O17" s="45">
        <v>107024</v>
      </c>
      <c r="P17" s="45"/>
      <c r="Q17" s="45">
        <v>7509648</v>
      </c>
      <c r="R17" s="45"/>
      <c r="S17" s="45">
        <f t="shared" si="0"/>
        <v>8866944</v>
      </c>
      <c r="T17" s="45"/>
      <c r="U17" s="44">
        <f t="shared" si="1"/>
        <v>0</v>
      </c>
      <c r="V17" s="44">
        <f t="shared" si="2"/>
        <v>0</v>
      </c>
    </row>
    <row r="18" spans="1:22" s="44" customFormat="1" ht="12.75" customHeight="1" x14ac:dyDescent="0.2">
      <c r="A18" s="44" t="s">
        <v>24</v>
      </c>
      <c r="B18" s="51"/>
      <c r="C18" s="44" t="s">
        <v>17</v>
      </c>
      <c r="D18" s="35"/>
      <c r="E18" s="45">
        <v>2657899</v>
      </c>
      <c r="F18" s="45"/>
      <c r="G18" s="45">
        <v>9780067</v>
      </c>
      <c r="H18" s="45"/>
      <c r="I18" s="45">
        <v>5485482</v>
      </c>
      <c r="J18" s="45"/>
      <c r="K18" s="45">
        <v>6425075</v>
      </c>
      <c r="L18" s="45"/>
      <c r="M18" s="45">
        <f>132914+390996</f>
        <v>523910</v>
      </c>
      <c r="N18" s="45"/>
      <c r="O18" s="45">
        <v>2145213</v>
      </c>
      <c r="P18" s="45"/>
      <c r="Q18" s="45">
        <v>685869</v>
      </c>
      <c r="R18" s="45"/>
      <c r="S18" s="45">
        <f t="shared" ref="S18" si="3">+Q18+O18+M18</f>
        <v>3354992</v>
      </c>
      <c r="T18" s="45"/>
      <c r="U18" s="44">
        <f t="shared" si="1"/>
        <v>0</v>
      </c>
      <c r="V18" s="44">
        <f t="shared" si="2"/>
        <v>0</v>
      </c>
    </row>
    <row r="19" spans="1:22" s="44" customFormat="1" ht="12.75" customHeight="1" x14ac:dyDescent="0.2">
      <c r="A19" s="44" t="s">
        <v>25</v>
      </c>
      <c r="C19" s="44" t="s">
        <v>13</v>
      </c>
      <c r="D19" s="35"/>
      <c r="E19" s="45">
        <f>3278540+268748</f>
        <v>3547288</v>
      </c>
      <c r="F19" s="45"/>
      <c r="G19" s="45">
        <v>8041408</v>
      </c>
      <c r="H19" s="45"/>
      <c r="I19" s="45">
        <v>1465080</v>
      </c>
      <c r="J19" s="45"/>
      <c r="K19" s="45">
        <v>3355937</v>
      </c>
      <c r="L19" s="45"/>
      <c r="M19" s="45">
        <f>56998+8533</f>
        <v>65531</v>
      </c>
      <c r="N19" s="45"/>
      <c r="O19" s="45">
        <v>236644</v>
      </c>
      <c r="P19" s="45"/>
      <c r="Q19" s="45">
        <v>4383296</v>
      </c>
      <c r="R19" s="45"/>
      <c r="S19" s="45">
        <f t="shared" si="0"/>
        <v>4685471</v>
      </c>
      <c r="T19" s="45"/>
      <c r="U19" s="44">
        <f t="shared" si="1"/>
        <v>0</v>
      </c>
      <c r="V19" s="44">
        <f>+G19-K19-S19</f>
        <v>0</v>
      </c>
    </row>
    <row r="20" spans="1:22" s="44" customFormat="1" ht="12.75" customHeight="1" x14ac:dyDescent="0.2">
      <c r="A20" s="44" t="s">
        <v>26</v>
      </c>
      <c r="B20" s="51"/>
      <c r="C20" s="44" t="s">
        <v>27</v>
      </c>
      <c r="D20" s="35"/>
      <c r="E20" s="45">
        <v>761051</v>
      </c>
      <c r="F20" s="45"/>
      <c r="G20" s="45">
        <v>7973632</v>
      </c>
      <c r="H20" s="45"/>
      <c r="I20" s="45">
        <v>1965226</v>
      </c>
      <c r="J20" s="45"/>
      <c r="K20" s="45">
        <v>5997997</v>
      </c>
      <c r="L20" s="45"/>
      <c r="M20" s="45">
        <f>81560+27015</f>
        <v>108575</v>
      </c>
      <c r="N20" s="45"/>
      <c r="O20" s="45">
        <v>587063</v>
      </c>
      <c r="P20" s="45"/>
      <c r="Q20" s="45">
        <v>1279997</v>
      </c>
      <c r="R20" s="45"/>
      <c r="S20" s="45">
        <f t="shared" si="0"/>
        <v>1975635</v>
      </c>
      <c r="T20" s="45"/>
      <c r="U20" s="44">
        <f t="shared" si="1"/>
        <v>0</v>
      </c>
      <c r="V20" s="44">
        <f t="shared" si="2"/>
        <v>0</v>
      </c>
    </row>
    <row r="21" spans="1:22" s="44" customFormat="1" ht="12.75" customHeight="1" x14ac:dyDescent="0.2">
      <c r="A21" s="44" t="s">
        <v>28</v>
      </c>
      <c r="B21" s="51"/>
      <c r="C21" s="44" t="s">
        <v>27</v>
      </c>
      <c r="D21" s="35"/>
      <c r="E21" s="45">
        <f>19136080+10219+9229</f>
        <v>19155528</v>
      </c>
      <c r="F21" s="45"/>
      <c r="G21" s="45">
        <v>30428770</v>
      </c>
      <c r="H21" s="45"/>
      <c r="I21" s="45">
        <v>4946286</v>
      </c>
      <c r="J21" s="45"/>
      <c r="K21" s="45">
        <v>6528888</v>
      </c>
      <c r="L21" s="45"/>
      <c r="M21" s="45">
        <f>991572+1045377</f>
        <v>2036949</v>
      </c>
      <c r="N21" s="45"/>
      <c r="O21" s="45">
        <v>1302093</v>
      </c>
      <c r="P21" s="45"/>
      <c r="Q21" s="45">
        <v>20560840</v>
      </c>
      <c r="R21" s="45"/>
      <c r="S21" s="45">
        <f t="shared" si="0"/>
        <v>23899882</v>
      </c>
      <c r="T21" s="45"/>
      <c r="U21" s="44">
        <f t="shared" si="1"/>
        <v>0</v>
      </c>
      <c r="V21" s="44">
        <f t="shared" si="2"/>
        <v>0</v>
      </c>
    </row>
    <row r="22" spans="1:22" s="44" customFormat="1" ht="12.75" customHeight="1" x14ac:dyDescent="0.2">
      <c r="A22" s="44" t="s">
        <v>29</v>
      </c>
      <c r="B22" s="51"/>
      <c r="C22" s="44" t="s">
        <v>30</v>
      </c>
      <c r="D22" s="35"/>
      <c r="E22" s="45">
        <f>144378+230955</f>
        <v>375333</v>
      </c>
      <c r="F22" s="45"/>
      <c r="G22" s="45">
        <v>3849427</v>
      </c>
      <c r="H22" s="45"/>
      <c r="I22" s="45">
        <v>1749133</v>
      </c>
      <c r="J22" s="45"/>
      <c r="K22" s="45">
        <v>1906911</v>
      </c>
      <c r="L22" s="45"/>
      <c r="M22" s="45">
        <v>249255</v>
      </c>
      <c r="N22" s="45"/>
      <c r="O22" s="45">
        <v>41526</v>
      </c>
      <c r="P22" s="45"/>
      <c r="Q22" s="45">
        <v>1651735</v>
      </c>
      <c r="R22" s="45"/>
      <c r="S22" s="45">
        <f t="shared" si="0"/>
        <v>1942516</v>
      </c>
      <c r="T22" s="45"/>
      <c r="U22" s="44">
        <f t="shared" si="1"/>
        <v>0</v>
      </c>
      <c r="V22" s="44">
        <f t="shared" si="2"/>
        <v>0</v>
      </c>
    </row>
    <row r="23" spans="1:22" s="44" customFormat="1" ht="12.75" customHeight="1" x14ac:dyDescent="0.2">
      <c r="A23" s="44" t="s">
        <v>31</v>
      </c>
      <c r="B23" s="51"/>
      <c r="C23" s="44" t="s">
        <v>27</v>
      </c>
      <c r="D23" s="35"/>
      <c r="E23" s="45">
        <v>8793053</v>
      </c>
      <c r="F23" s="45"/>
      <c r="G23" s="45">
        <v>15664105</v>
      </c>
      <c r="H23" s="45"/>
      <c r="I23" s="45">
        <v>4840397</v>
      </c>
      <c r="J23" s="45"/>
      <c r="K23" s="45">
        <v>5365367</v>
      </c>
      <c r="L23" s="45"/>
      <c r="M23" s="45">
        <f>201231+16033</f>
        <v>217264</v>
      </c>
      <c r="N23" s="45"/>
      <c r="O23" s="45">
        <v>61663</v>
      </c>
      <c r="P23" s="45"/>
      <c r="Q23" s="45">
        <v>10019811</v>
      </c>
      <c r="R23" s="45"/>
      <c r="S23" s="45">
        <f t="shared" si="0"/>
        <v>10298738</v>
      </c>
      <c r="T23" s="45"/>
      <c r="U23" s="44">
        <f t="shared" si="1"/>
        <v>0</v>
      </c>
      <c r="V23" s="44">
        <f t="shared" si="2"/>
        <v>0</v>
      </c>
    </row>
    <row r="24" spans="1:22" s="44" customFormat="1" ht="12.75" customHeight="1" x14ac:dyDescent="0.2">
      <c r="A24" s="44" t="s">
        <v>32</v>
      </c>
      <c r="B24" s="51"/>
      <c r="C24" s="44" t="s">
        <v>27</v>
      </c>
      <c r="D24" s="35"/>
      <c r="E24" s="45">
        <v>2248354</v>
      </c>
      <c r="F24" s="45"/>
      <c r="G24" s="45">
        <v>6038826</v>
      </c>
      <c r="H24" s="45"/>
      <c r="I24" s="45">
        <v>1759237</v>
      </c>
      <c r="J24" s="45"/>
      <c r="K24" s="45">
        <v>2263018</v>
      </c>
      <c r="L24" s="45"/>
      <c r="M24" s="45">
        <f>58757+38159+15417</f>
        <v>112333</v>
      </c>
      <c r="N24" s="45"/>
      <c r="O24" s="45">
        <v>59078</v>
      </c>
      <c r="P24" s="45"/>
      <c r="Q24" s="45">
        <v>3604397</v>
      </c>
      <c r="R24" s="45"/>
      <c r="S24" s="45">
        <f t="shared" si="0"/>
        <v>3775808</v>
      </c>
      <c r="T24" s="45"/>
      <c r="U24" s="44">
        <f t="shared" si="1"/>
        <v>0</v>
      </c>
      <c r="V24" s="44">
        <f t="shared" si="2"/>
        <v>0</v>
      </c>
    </row>
    <row r="25" spans="1:22" s="44" customFormat="1" ht="12.75" customHeight="1" x14ac:dyDescent="0.2">
      <c r="A25" s="44" t="s">
        <v>34</v>
      </c>
      <c r="B25" s="51"/>
      <c r="C25" s="44" t="s">
        <v>30</v>
      </c>
      <c r="D25" s="35"/>
      <c r="E25" s="45">
        <v>1191384</v>
      </c>
      <c r="F25" s="45"/>
      <c r="G25" s="45">
        <v>1931168</v>
      </c>
      <c r="H25" s="45"/>
      <c r="I25" s="45">
        <v>676944</v>
      </c>
      <c r="J25" s="45"/>
      <c r="K25" s="45">
        <v>705091</v>
      </c>
      <c r="L25" s="45"/>
      <c r="M25" s="45">
        <v>1099</v>
      </c>
      <c r="N25" s="45"/>
      <c r="O25" s="45">
        <v>0</v>
      </c>
      <c r="P25" s="45"/>
      <c r="Q25" s="45">
        <v>1224978</v>
      </c>
      <c r="R25" s="145"/>
      <c r="S25" s="145">
        <f t="shared" si="0"/>
        <v>1226077</v>
      </c>
      <c r="T25" s="45"/>
      <c r="U25" s="44">
        <f t="shared" si="1"/>
        <v>0</v>
      </c>
      <c r="V25" s="44">
        <f t="shared" si="2"/>
        <v>0</v>
      </c>
    </row>
    <row r="26" spans="1:22" s="44" customFormat="1" ht="12.75" customHeight="1" x14ac:dyDescent="0.2">
      <c r="A26" s="44" t="s">
        <v>35</v>
      </c>
      <c r="B26" s="51"/>
      <c r="C26" s="44" t="s">
        <v>36</v>
      </c>
      <c r="D26" s="35"/>
      <c r="E26" s="45">
        <v>2352169</v>
      </c>
      <c r="F26" s="45"/>
      <c r="G26" s="45">
        <v>3972702</v>
      </c>
      <c r="H26" s="45"/>
      <c r="I26" s="45">
        <v>566427</v>
      </c>
      <c r="J26" s="45"/>
      <c r="K26" s="45">
        <v>1478927</v>
      </c>
      <c r="L26" s="45"/>
      <c r="M26" s="45">
        <v>15236</v>
      </c>
      <c r="N26" s="45"/>
      <c r="O26" s="45">
        <f>530603+50882+32447</f>
        <v>613932</v>
      </c>
      <c r="P26" s="45"/>
      <c r="Q26" s="45">
        <v>1864607</v>
      </c>
      <c r="R26" s="45"/>
      <c r="S26" s="45">
        <f t="shared" si="0"/>
        <v>2493775</v>
      </c>
      <c r="T26" s="45"/>
      <c r="U26" s="44">
        <f t="shared" si="1"/>
        <v>0</v>
      </c>
      <c r="V26" s="44">
        <f t="shared" si="2"/>
        <v>0</v>
      </c>
    </row>
    <row r="27" spans="1:22" s="44" customFormat="1" ht="12.75" customHeight="1" x14ac:dyDescent="0.2">
      <c r="A27" s="44" t="s">
        <v>37</v>
      </c>
      <c r="B27" s="51"/>
      <c r="C27" s="44" t="s">
        <v>38</v>
      </c>
      <c r="D27" s="35"/>
      <c r="E27" s="45">
        <f>200663+495</f>
        <v>201158</v>
      </c>
      <c r="F27" s="45"/>
      <c r="G27" s="45">
        <v>3583154</v>
      </c>
      <c r="H27" s="45"/>
      <c r="I27" s="45">
        <v>1266723</v>
      </c>
      <c r="J27" s="45"/>
      <c r="K27" s="45">
        <v>1545680</v>
      </c>
      <c r="L27" s="45"/>
      <c r="M27" s="45">
        <v>7943</v>
      </c>
      <c r="N27" s="45"/>
      <c r="O27" s="45">
        <v>0</v>
      </c>
      <c r="P27" s="45"/>
      <c r="Q27" s="45">
        <v>2029531</v>
      </c>
      <c r="R27" s="45"/>
      <c r="S27" s="45">
        <f t="shared" si="0"/>
        <v>2037474</v>
      </c>
      <c r="T27" s="45"/>
      <c r="U27" s="44">
        <f t="shared" si="1"/>
        <v>0</v>
      </c>
      <c r="V27" s="44">
        <f t="shared" si="2"/>
        <v>0</v>
      </c>
    </row>
    <row r="28" spans="1:22" s="44" customFormat="1" ht="12.75" customHeight="1" x14ac:dyDescent="0.2">
      <c r="A28" s="44" t="s">
        <v>39</v>
      </c>
      <c r="C28" s="44" t="s">
        <v>40</v>
      </c>
      <c r="D28" s="35"/>
      <c r="E28" s="45">
        <f>1383115+8000+20469</f>
        <v>1411584</v>
      </c>
      <c r="F28" s="45"/>
      <c r="G28" s="45">
        <v>2282135</v>
      </c>
      <c r="H28" s="45"/>
      <c r="I28" s="45">
        <v>413628</v>
      </c>
      <c r="J28" s="45"/>
      <c r="K28" s="45">
        <v>762421</v>
      </c>
      <c r="L28" s="45"/>
      <c r="M28" s="45">
        <f>17100+20469</f>
        <v>37569</v>
      </c>
      <c r="N28" s="45"/>
      <c r="O28" s="45">
        <v>2780</v>
      </c>
      <c r="P28" s="45"/>
      <c r="Q28" s="45">
        <v>1479365</v>
      </c>
      <c r="R28" s="45"/>
      <c r="S28" s="45">
        <f t="shared" si="0"/>
        <v>1519714</v>
      </c>
      <c r="T28" s="45"/>
      <c r="U28" s="44">
        <f t="shared" si="1"/>
        <v>0</v>
      </c>
      <c r="V28" s="44">
        <f t="shared" si="2"/>
        <v>0</v>
      </c>
    </row>
    <row r="29" spans="1:22" s="44" customFormat="1" ht="12.75" customHeight="1" x14ac:dyDescent="0.2">
      <c r="A29" s="44" t="s">
        <v>41</v>
      </c>
      <c r="B29" s="51"/>
      <c r="C29" s="44" t="s">
        <v>27</v>
      </c>
      <c r="D29" s="35"/>
      <c r="E29" s="45">
        <v>2198731</v>
      </c>
      <c r="F29" s="45"/>
      <c r="G29" s="45">
        <v>7544035</v>
      </c>
      <c r="H29" s="45"/>
      <c r="I29" s="45">
        <v>2652021</v>
      </c>
      <c r="J29" s="45"/>
      <c r="K29" s="45">
        <v>3262050</v>
      </c>
      <c r="L29" s="45"/>
      <c r="M29" s="45">
        <f>47891+927075</f>
        <v>974966</v>
      </c>
      <c r="N29" s="45"/>
      <c r="O29" s="45">
        <v>6106</v>
      </c>
      <c r="P29" s="45"/>
      <c r="Q29" s="45">
        <v>3300913</v>
      </c>
      <c r="R29" s="45"/>
      <c r="S29" s="45">
        <f t="shared" si="0"/>
        <v>4281985</v>
      </c>
      <c r="T29" s="45"/>
      <c r="U29" s="44">
        <f t="shared" si="1"/>
        <v>0</v>
      </c>
      <c r="V29" s="44">
        <f t="shared" si="2"/>
        <v>0</v>
      </c>
    </row>
    <row r="30" spans="1:22" s="44" customFormat="1" ht="11.25" customHeight="1" x14ac:dyDescent="0.2">
      <c r="A30" s="44" t="s">
        <v>42</v>
      </c>
      <c r="B30" s="51"/>
      <c r="C30" s="44" t="s">
        <v>43</v>
      </c>
      <c r="D30" s="35"/>
      <c r="E30" s="45">
        <f>4528804+2779</f>
        <v>4531583</v>
      </c>
      <c r="F30" s="45"/>
      <c r="G30" s="45">
        <v>8118315</v>
      </c>
      <c r="H30" s="45"/>
      <c r="I30" s="45">
        <v>2302966</v>
      </c>
      <c r="J30" s="45"/>
      <c r="K30" s="45">
        <v>3112106</v>
      </c>
      <c r="L30" s="45"/>
      <c r="M30" s="45">
        <v>15173</v>
      </c>
      <c r="N30" s="45"/>
      <c r="O30" s="45">
        <v>917428</v>
      </c>
      <c r="P30" s="45"/>
      <c r="Q30" s="45">
        <v>4073608</v>
      </c>
      <c r="R30" s="45"/>
      <c r="S30" s="45">
        <f t="shared" si="0"/>
        <v>5006209</v>
      </c>
      <c r="T30" s="45"/>
      <c r="U30" s="44">
        <f t="shared" si="1"/>
        <v>0</v>
      </c>
      <c r="V30" s="44">
        <f t="shared" si="2"/>
        <v>0</v>
      </c>
    </row>
    <row r="31" spans="1:22" s="44" customFormat="1" ht="12.75" customHeight="1" x14ac:dyDescent="0.2">
      <c r="A31" s="44" t="s">
        <v>44</v>
      </c>
      <c r="B31" s="51"/>
      <c r="C31" s="44" t="s">
        <v>45</v>
      </c>
      <c r="D31" s="35"/>
      <c r="E31" s="45">
        <v>23630719</v>
      </c>
      <c r="F31" s="45"/>
      <c r="G31" s="45">
        <v>32621546</v>
      </c>
      <c r="H31" s="45"/>
      <c r="I31" s="45">
        <v>5021165</v>
      </c>
      <c r="J31" s="45"/>
      <c r="K31" s="45">
        <v>6143808</v>
      </c>
      <c r="L31" s="45"/>
      <c r="M31" s="45">
        <v>70661</v>
      </c>
      <c r="N31" s="45"/>
      <c r="O31" s="45">
        <v>692613</v>
      </c>
      <c r="P31" s="45"/>
      <c r="Q31" s="45">
        <v>25714464</v>
      </c>
      <c r="R31" s="45"/>
      <c r="S31" s="45">
        <f t="shared" si="0"/>
        <v>26477738</v>
      </c>
      <c r="T31" s="45"/>
      <c r="U31" s="44">
        <f t="shared" si="1"/>
        <v>0</v>
      </c>
      <c r="V31" s="44">
        <f t="shared" si="2"/>
        <v>0</v>
      </c>
    </row>
    <row r="32" spans="1:22" s="44" customFormat="1" ht="12.75" customHeight="1" x14ac:dyDescent="0.2">
      <c r="A32" s="44" t="s">
        <v>46</v>
      </c>
      <c r="B32" s="51"/>
      <c r="C32" s="44" t="s">
        <v>47</v>
      </c>
      <c r="D32" s="35"/>
      <c r="E32" s="45">
        <f>3350183+50534</f>
        <v>3400717</v>
      </c>
      <c r="F32" s="45"/>
      <c r="G32" s="45">
        <v>8005964</v>
      </c>
      <c r="H32" s="45"/>
      <c r="I32" s="45">
        <v>3180123</v>
      </c>
      <c r="J32" s="45"/>
      <c r="K32" s="45">
        <v>4243785</v>
      </c>
      <c r="L32" s="45"/>
      <c r="M32" s="45">
        <f>176760+289787</f>
        <v>466547</v>
      </c>
      <c r="N32" s="45"/>
      <c r="O32" s="45">
        <v>252127</v>
      </c>
      <c r="P32" s="45"/>
      <c r="Q32" s="45">
        <v>3043505</v>
      </c>
      <c r="R32" s="45"/>
      <c r="S32" s="45">
        <f t="shared" si="0"/>
        <v>3762179</v>
      </c>
      <c r="T32" s="45"/>
      <c r="U32" s="44">
        <f t="shared" si="1"/>
        <v>0</v>
      </c>
      <c r="V32" s="44">
        <f t="shared" si="2"/>
        <v>0</v>
      </c>
    </row>
    <row r="33" spans="1:23" s="44" customFormat="1" ht="12.75" customHeight="1" x14ac:dyDescent="0.2">
      <c r="A33" s="44" t="s">
        <v>48</v>
      </c>
      <c r="C33" s="44" t="s">
        <v>27</v>
      </c>
      <c r="D33" s="35"/>
      <c r="E33" s="45">
        <f>7808639+35085+5536</f>
        <v>7849260</v>
      </c>
      <c r="F33" s="45"/>
      <c r="G33" s="45">
        <v>13428272</v>
      </c>
      <c r="H33" s="45"/>
      <c r="I33" s="45">
        <v>3994967</v>
      </c>
      <c r="J33" s="45"/>
      <c r="K33" s="45">
        <v>4831904</v>
      </c>
      <c r="L33" s="45"/>
      <c r="M33" s="45">
        <f>291866+776399</f>
        <v>1068265</v>
      </c>
      <c r="N33" s="45"/>
      <c r="O33" s="45">
        <v>312269</v>
      </c>
      <c r="P33" s="45"/>
      <c r="Q33" s="45">
        <v>7215834</v>
      </c>
      <c r="R33" s="45"/>
      <c r="S33" s="45">
        <f t="shared" si="0"/>
        <v>8596368</v>
      </c>
      <c r="T33" s="45"/>
      <c r="U33" s="44">
        <f t="shared" si="1"/>
        <v>0</v>
      </c>
      <c r="V33" s="44">
        <f t="shared" si="2"/>
        <v>0</v>
      </c>
    </row>
    <row r="34" spans="1:23" s="44" customFormat="1" ht="12.75" customHeight="1" x14ac:dyDescent="0.2">
      <c r="A34" s="44" t="s">
        <v>49</v>
      </c>
      <c r="C34" s="44" t="s">
        <v>27</v>
      </c>
      <c r="D34" s="35"/>
      <c r="E34" s="45">
        <v>2991267</v>
      </c>
      <c r="F34" s="45"/>
      <c r="G34" s="45">
        <v>7466578</v>
      </c>
      <c r="H34" s="45"/>
      <c r="I34" s="45">
        <v>2875987</v>
      </c>
      <c r="J34" s="45"/>
      <c r="K34" s="45">
        <v>3748385</v>
      </c>
      <c r="L34" s="45"/>
      <c r="M34" s="45">
        <v>2685</v>
      </c>
      <c r="N34" s="45"/>
      <c r="O34" s="45">
        <v>184901</v>
      </c>
      <c r="P34" s="45"/>
      <c r="Q34" s="45">
        <v>3530607</v>
      </c>
      <c r="R34" s="45"/>
      <c r="S34" s="45">
        <f t="shared" si="0"/>
        <v>3718193</v>
      </c>
      <c r="T34" s="45"/>
      <c r="U34" s="44">
        <f t="shared" si="1"/>
        <v>0</v>
      </c>
      <c r="V34" s="44">
        <f t="shared" si="2"/>
        <v>0</v>
      </c>
    </row>
    <row r="35" spans="1:23" s="44" customFormat="1" ht="12.75" customHeight="1" x14ac:dyDescent="0.2">
      <c r="A35" s="44" t="s">
        <v>50</v>
      </c>
      <c r="B35" s="51"/>
      <c r="C35" s="44" t="s">
        <v>27</v>
      </c>
      <c r="D35" s="35"/>
      <c r="E35" s="45">
        <v>4315075</v>
      </c>
      <c r="F35" s="45"/>
      <c r="G35" s="45">
        <v>9493583</v>
      </c>
      <c r="H35" s="45"/>
      <c r="I35" s="45">
        <v>2838933</v>
      </c>
      <c r="J35" s="45"/>
      <c r="K35" s="45">
        <v>4150411</v>
      </c>
      <c r="L35" s="45"/>
      <c r="M35" s="45">
        <f>283312+3229970</f>
        <v>3513282</v>
      </c>
      <c r="N35" s="45"/>
      <c r="O35" s="45">
        <v>414414</v>
      </c>
      <c r="P35" s="45"/>
      <c r="Q35" s="45">
        <v>1415476</v>
      </c>
      <c r="R35" s="45"/>
      <c r="S35" s="45">
        <f t="shared" si="0"/>
        <v>5343172</v>
      </c>
      <c r="T35" s="45"/>
      <c r="U35" s="44">
        <f t="shared" si="1"/>
        <v>0</v>
      </c>
      <c r="V35" s="44">
        <f t="shared" si="2"/>
        <v>0</v>
      </c>
    </row>
    <row r="36" spans="1:23" s="44" customFormat="1" ht="12.75" customHeight="1" x14ac:dyDescent="0.2">
      <c r="A36" s="44" t="s">
        <v>51</v>
      </c>
      <c r="B36" s="51"/>
      <c r="C36" s="44" t="s">
        <v>27</v>
      </c>
      <c r="D36" s="35"/>
      <c r="E36" s="45">
        <f>7719024+61699+1289734+2852139</f>
        <v>11922596</v>
      </c>
      <c r="F36" s="45"/>
      <c r="G36" s="45">
        <v>16091530</v>
      </c>
      <c r="H36" s="45"/>
      <c r="I36" s="45">
        <v>1830025</v>
      </c>
      <c r="J36" s="45"/>
      <c r="K36" s="45">
        <v>2655389</v>
      </c>
      <c r="L36" s="45"/>
      <c r="M36" s="45">
        <f>338094+4141873</f>
        <v>4479967</v>
      </c>
      <c r="N36" s="45"/>
      <c r="O36" s="45">
        <v>99272</v>
      </c>
      <c r="P36" s="45"/>
      <c r="Q36" s="45">
        <v>8856902</v>
      </c>
      <c r="R36" s="45"/>
      <c r="S36" s="45">
        <f t="shared" si="0"/>
        <v>13436141</v>
      </c>
      <c r="T36" s="45"/>
      <c r="U36" s="44">
        <f t="shared" si="1"/>
        <v>0</v>
      </c>
      <c r="V36" s="44">
        <f t="shared" si="2"/>
        <v>0</v>
      </c>
    </row>
    <row r="37" spans="1:23" s="44" customFormat="1" ht="12.75" customHeight="1" x14ac:dyDescent="0.2">
      <c r="A37" s="44" t="s">
        <v>462</v>
      </c>
      <c r="B37" s="51"/>
      <c r="C37" s="44" t="s">
        <v>66</v>
      </c>
      <c r="D37" s="35"/>
      <c r="E37" s="45">
        <v>1243834</v>
      </c>
      <c r="F37" s="45"/>
      <c r="G37" s="45">
        <v>2308397</v>
      </c>
      <c r="H37" s="45"/>
      <c r="I37" s="45">
        <v>412187</v>
      </c>
      <c r="J37" s="45"/>
      <c r="K37" s="45">
        <v>681386</v>
      </c>
      <c r="L37" s="45"/>
      <c r="M37" s="45">
        <v>88502</v>
      </c>
      <c r="N37" s="45"/>
      <c r="O37" s="45">
        <v>433040</v>
      </c>
      <c r="P37" s="45"/>
      <c r="Q37" s="45">
        <v>1105469</v>
      </c>
      <c r="R37" s="45"/>
      <c r="S37" s="45">
        <f t="shared" si="0"/>
        <v>1627011</v>
      </c>
      <c r="T37" s="45"/>
      <c r="U37" s="44">
        <f t="shared" si="1"/>
        <v>0</v>
      </c>
      <c r="V37" s="44">
        <f t="shared" si="2"/>
        <v>0</v>
      </c>
    </row>
    <row r="38" spans="1:23" s="44" customFormat="1" ht="12.75" customHeight="1" x14ac:dyDescent="0.2">
      <c r="A38" s="44" t="s">
        <v>52</v>
      </c>
      <c r="B38" s="51"/>
      <c r="C38" s="44" t="s">
        <v>53</v>
      </c>
      <c r="D38" s="35"/>
      <c r="E38" s="45">
        <f>5220866+10420+17905</f>
        <v>5249191</v>
      </c>
      <c r="F38" s="45"/>
      <c r="G38" s="45">
        <v>10597639</v>
      </c>
      <c r="H38" s="45"/>
      <c r="I38" s="45">
        <v>2647436</v>
      </c>
      <c r="J38" s="45"/>
      <c r="K38" s="45">
        <v>2832353</v>
      </c>
      <c r="L38" s="45"/>
      <c r="M38" s="45">
        <f>956605+540280</f>
        <v>1496885</v>
      </c>
      <c r="N38" s="45"/>
      <c r="O38" s="45">
        <v>1620933</v>
      </c>
      <c r="P38" s="45"/>
      <c r="Q38" s="45">
        <v>4647468</v>
      </c>
      <c r="R38" s="45"/>
      <c r="S38" s="45">
        <f t="shared" si="0"/>
        <v>7765286</v>
      </c>
      <c r="T38" s="45"/>
      <c r="U38" s="44">
        <f t="shared" si="1"/>
        <v>0</v>
      </c>
      <c r="V38" s="44">
        <f t="shared" si="2"/>
        <v>0</v>
      </c>
    </row>
    <row r="39" spans="1:23" s="44" customFormat="1" ht="12.75" customHeight="1" x14ac:dyDescent="0.2">
      <c r="A39" s="44" t="s">
        <v>54</v>
      </c>
      <c r="B39" s="51"/>
      <c r="C39" s="44" t="s">
        <v>55</v>
      </c>
      <c r="D39" s="35"/>
      <c r="E39" s="45">
        <v>6264742</v>
      </c>
      <c r="F39" s="45"/>
      <c r="G39" s="45">
        <v>8223232</v>
      </c>
      <c r="H39" s="45"/>
      <c r="I39" s="45">
        <v>847511</v>
      </c>
      <c r="J39" s="45"/>
      <c r="K39" s="45">
        <v>1088549</v>
      </c>
      <c r="L39" s="45"/>
      <c r="M39" s="45">
        <v>26678</v>
      </c>
      <c r="N39" s="45"/>
      <c r="O39" s="45">
        <v>176143</v>
      </c>
      <c r="P39" s="45"/>
      <c r="Q39" s="45">
        <v>6931862</v>
      </c>
      <c r="R39" s="45"/>
      <c r="S39" s="45">
        <f t="shared" si="0"/>
        <v>7134683</v>
      </c>
      <c r="T39" s="45"/>
      <c r="U39" s="44">
        <f t="shared" si="1"/>
        <v>0</v>
      </c>
      <c r="V39" s="44">
        <f t="shared" si="2"/>
        <v>0</v>
      </c>
    </row>
    <row r="40" spans="1:23" s="44" customFormat="1" ht="12.75" customHeight="1" x14ac:dyDescent="0.2">
      <c r="A40" s="44" t="s">
        <v>56</v>
      </c>
      <c r="B40" s="51"/>
      <c r="C40" s="44" t="s">
        <v>57</v>
      </c>
      <c r="D40" s="35"/>
      <c r="E40" s="45">
        <v>318964</v>
      </c>
      <c r="F40" s="45"/>
      <c r="G40" s="45">
        <v>2176250</v>
      </c>
      <c r="H40" s="45"/>
      <c r="I40" s="45">
        <v>1177650</v>
      </c>
      <c r="J40" s="45"/>
      <c r="K40" s="45">
        <v>1490119</v>
      </c>
      <c r="L40" s="45"/>
      <c r="M40" s="45">
        <v>45256</v>
      </c>
      <c r="N40" s="45"/>
      <c r="O40" s="45">
        <v>34506</v>
      </c>
      <c r="P40" s="45"/>
      <c r="Q40" s="45">
        <v>606369</v>
      </c>
      <c r="R40" s="45"/>
      <c r="S40" s="45">
        <f t="shared" si="0"/>
        <v>686131</v>
      </c>
      <c r="T40" s="45"/>
      <c r="U40" s="44">
        <f t="shared" si="1"/>
        <v>0</v>
      </c>
      <c r="V40" s="44">
        <f t="shared" si="2"/>
        <v>0</v>
      </c>
    </row>
    <row r="41" spans="1:23" s="44" customFormat="1" ht="12.75" customHeight="1" x14ac:dyDescent="0.2">
      <c r="A41" s="44" t="s">
        <v>58</v>
      </c>
      <c r="B41" s="51"/>
      <c r="C41" s="44" t="s">
        <v>59</v>
      </c>
      <c r="D41" s="35"/>
      <c r="E41" s="45">
        <f>583560+34705</f>
        <v>618265</v>
      </c>
      <c r="F41" s="45"/>
      <c r="G41" s="45">
        <v>3334329</v>
      </c>
      <c r="H41" s="45"/>
      <c r="I41" s="45">
        <v>1536618</v>
      </c>
      <c r="J41" s="45"/>
      <c r="K41" s="45">
        <v>1863655</v>
      </c>
      <c r="L41" s="45"/>
      <c r="M41" s="45">
        <f>40813+77504</f>
        <v>118317</v>
      </c>
      <c r="N41" s="45"/>
      <c r="O41" s="45">
        <v>153844</v>
      </c>
      <c r="P41" s="45"/>
      <c r="Q41" s="45">
        <v>1198513</v>
      </c>
      <c r="R41" s="45"/>
      <c r="S41" s="45">
        <f t="shared" si="0"/>
        <v>1470674</v>
      </c>
      <c r="T41" s="45"/>
      <c r="U41" s="44">
        <f t="shared" si="1"/>
        <v>0</v>
      </c>
      <c r="V41" s="44">
        <f t="shared" si="2"/>
        <v>0</v>
      </c>
    </row>
    <row r="42" spans="1:23" s="44" customFormat="1" ht="12.75" customHeight="1" x14ac:dyDescent="0.2">
      <c r="A42" s="44" t="s">
        <v>476</v>
      </c>
      <c r="B42" s="51"/>
      <c r="C42" s="44" t="s">
        <v>15</v>
      </c>
      <c r="D42" s="35"/>
      <c r="E42" s="45">
        <f>384023+2731</f>
        <v>386754</v>
      </c>
      <c r="F42" s="45"/>
      <c r="G42" s="45">
        <v>1383541</v>
      </c>
      <c r="H42" s="45"/>
      <c r="I42" s="45">
        <v>622730</v>
      </c>
      <c r="J42" s="45"/>
      <c r="K42" s="45">
        <v>656483</v>
      </c>
      <c r="L42" s="45"/>
      <c r="M42" s="45">
        <v>2731</v>
      </c>
      <c r="N42" s="45"/>
      <c r="O42" s="45">
        <v>76943</v>
      </c>
      <c r="P42" s="45"/>
      <c r="Q42" s="45">
        <v>647384</v>
      </c>
      <c r="R42" s="45"/>
      <c r="S42" s="45">
        <f>+Q42+O42+M42</f>
        <v>727058</v>
      </c>
      <c r="T42" s="45"/>
      <c r="U42" s="44">
        <f>+G42-K42-S42</f>
        <v>0</v>
      </c>
      <c r="V42" s="44">
        <f>+G42-K42-S42</f>
        <v>0</v>
      </c>
    </row>
    <row r="43" spans="1:23" s="44" customFormat="1" ht="12.75" customHeight="1" x14ac:dyDescent="0.2">
      <c r="A43" s="44" t="s">
        <v>504</v>
      </c>
      <c r="B43" s="47"/>
      <c r="C43" s="44" t="s">
        <v>43</v>
      </c>
      <c r="D43" s="35"/>
      <c r="E43" s="45">
        <v>2550255</v>
      </c>
      <c r="F43" s="45"/>
      <c r="G43" s="45">
        <v>4159183</v>
      </c>
      <c r="H43" s="45"/>
      <c r="I43" s="45">
        <v>356449</v>
      </c>
      <c r="J43" s="45"/>
      <c r="K43" s="45">
        <v>927833</v>
      </c>
      <c r="L43" s="45"/>
      <c r="M43" s="45">
        <f>26934+81476</f>
        <v>108410</v>
      </c>
      <c r="N43" s="45"/>
      <c r="O43" s="45">
        <v>190197</v>
      </c>
      <c r="P43" s="45"/>
      <c r="Q43" s="45">
        <v>2932743</v>
      </c>
      <c r="R43" s="45"/>
      <c r="S43" s="45">
        <f t="shared" ref="S43" si="4">+Q43+O43+M43</f>
        <v>3231350</v>
      </c>
      <c r="T43" s="45"/>
      <c r="U43" s="44">
        <f t="shared" ref="U43" si="5">+G43-K43-S43</f>
        <v>0</v>
      </c>
      <c r="V43" s="44">
        <f t="shared" ref="V43" si="6">+G43-K43-S43</f>
        <v>0</v>
      </c>
    </row>
    <row r="44" spans="1:23" s="44" customFormat="1" ht="12.75" customHeight="1" x14ac:dyDescent="0.2">
      <c r="A44" s="44" t="s">
        <v>60</v>
      </c>
      <c r="B44" s="51"/>
      <c r="C44" s="44" t="s">
        <v>61</v>
      </c>
      <c r="D44" s="35"/>
      <c r="E44" s="45">
        <v>421519</v>
      </c>
      <c r="F44" s="45"/>
      <c r="G44" s="45">
        <v>2637068</v>
      </c>
      <c r="H44" s="45"/>
      <c r="I44" s="45">
        <v>515476</v>
      </c>
      <c r="J44" s="45"/>
      <c r="K44" s="45">
        <v>759052</v>
      </c>
      <c r="L44" s="45"/>
      <c r="M44" s="45">
        <v>44414</v>
      </c>
      <c r="N44" s="45"/>
      <c r="O44" s="45">
        <v>58839</v>
      </c>
      <c r="P44" s="45"/>
      <c r="Q44" s="45">
        <v>1774763</v>
      </c>
      <c r="R44" s="45"/>
      <c r="S44" s="45">
        <f t="shared" si="0"/>
        <v>1878016</v>
      </c>
      <c r="T44" s="45"/>
      <c r="U44" s="44">
        <f t="shared" si="1"/>
        <v>0</v>
      </c>
      <c r="V44" s="44">
        <f t="shared" si="2"/>
        <v>0</v>
      </c>
    </row>
    <row r="45" spans="1:23" s="44" customFormat="1" ht="12.75" hidden="1" customHeight="1" x14ac:dyDescent="0.2">
      <c r="A45" s="44" t="s">
        <v>62</v>
      </c>
      <c r="B45" s="51"/>
      <c r="C45" s="44" t="s">
        <v>15</v>
      </c>
      <c r="D45" s="35"/>
      <c r="E45" s="45">
        <f>3271524+8779909</f>
        <v>12051433</v>
      </c>
      <c r="F45" s="45"/>
      <c r="G45" s="45">
        <v>18248367</v>
      </c>
      <c r="H45" s="45"/>
      <c r="I45" s="45">
        <v>7384022</v>
      </c>
      <c r="J45" s="45"/>
      <c r="K45" s="45">
        <v>11956840</v>
      </c>
      <c r="L45" s="45"/>
      <c r="M45" s="45">
        <f>281811+62514+711295</f>
        <v>1055620</v>
      </c>
      <c r="N45" s="45"/>
      <c r="O45" s="45">
        <v>0</v>
      </c>
      <c r="P45" s="45"/>
      <c r="Q45" s="45">
        <v>5235907</v>
      </c>
      <c r="R45" s="45"/>
      <c r="S45" s="45">
        <f t="shared" si="0"/>
        <v>6291527</v>
      </c>
      <c r="T45" s="45"/>
      <c r="U45" s="44">
        <f t="shared" si="1"/>
        <v>0</v>
      </c>
      <c r="V45" s="44">
        <f t="shared" si="2"/>
        <v>0</v>
      </c>
      <c r="W45" s="121" t="s">
        <v>503</v>
      </c>
    </row>
    <row r="46" spans="1:23" s="121" customFormat="1" ht="12.75" hidden="1" customHeight="1" x14ac:dyDescent="0.2">
      <c r="A46" s="121" t="s">
        <v>485</v>
      </c>
      <c r="B46" s="124"/>
      <c r="C46" s="121" t="s">
        <v>111</v>
      </c>
      <c r="D46" s="126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>
        <f>+Q46+O46+M46</f>
        <v>0</v>
      </c>
      <c r="T46" s="127"/>
      <c r="U46" s="121">
        <f>+G46-K46-S46</f>
        <v>0</v>
      </c>
      <c r="V46" s="121">
        <f>+G46-K46-S46</f>
        <v>0</v>
      </c>
      <c r="W46" s="121" t="s">
        <v>505</v>
      </c>
    </row>
    <row r="47" spans="1:23" s="44" customFormat="1" ht="12.75" customHeight="1" x14ac:dyDescent="0.2">
      <c r="A47" s="44" t="s">
        <v>63</v>
      </c>
      <c r="B47" s="51"/>
      <c r="C47" s="44" t="s">
        <v>64</v>
      </c>
      <c r="D47" s="35"/>
      <c r="E47" s="45">
        <f>1137827+33570</f>
        <v>1171397</v>
      </c>
      <c r="F47" s="45"/>
      <c r="G47" s="45">
        <v>2752710</v>
      </c>
      <c r="H47" s="45"/>
      <c r="I47" s="45">
        <v>890432</v>
      </c>
      <c r="J47" s="45"/>
      <c r="K47" s="45">
        <v>1220476</v>
      </c>
      <c r="L47" s="45"/>
      <c r="M47" s="45">
        <v>65958</v>
      </c>
      <c r="N47" s="45"/>
      <c r="O47" s="45">
        <v>15379</v>
      </c>
      <c r="P47" s="45"/>
      <c r="Q47" s="45">
        <v>1450897</v>
      </c>
      <c r="R47" s="45"/>
      <c r="S47" s="45">
        <f t="shared" si="0"/>
        <v>1532234</v>
      </c>
      <c r="T47" s="45"/>
      <c r="U47" s="44">
        <f t="shared" si="1"/>
        <v>0</v>
      </c>
      <c r="V47" s="44">
        <f t="shared" si="2"/>
        <v>0</v>
      </c>
    </row>
    <row r="48" spans="1:23" s="44" customFormat="1" ht="12.75" customHeight="1" x14ac:dyDescent="0.2">
      <c r="A48" s="44" t="s">
        <v>65</v>
      </c>
      <c r="B48" s="51"/>
      <c r="C48" s="44" t="s">
        <v>66</v>
      </c>
      <c r="D48" s="35"/>
      <c r="E48" s="45">
        <v>11544542</v>
      </c>
      <c r="F48" s="45"/>
      <c r="G48" s="45">
        <v>17345890</v>
      </c>
      <c r="H48" s="45"/>
      <c r="I48" s="45">
        <v>3554905</v>
      </c>
      <c r="J48" s="45"/>
      <c r="K48" s="45">
        <v>4234053</v>
      </c>
      <c r="L48" s="45"/>
      <c r="M48" s="45">
        <v>86327</v>
      </c>
      <c r="N48" s="45"/>
      <c r="O48" s="45">
        <v>66051</v>
      </c>
      <c r="P48" s="45"/>
      <c r="Q48" s="45">
        <v>12959459</v>
      </c>
      <c r="R48" s="45"/>
      <c r="S48" s="45">
        <f>+Q48+O48+M48</f>
        <v>13111837</v>
      </c>
      <c r="T48" s="45"/>
      <c r="U48" s="44">
        <f>+G48-K48-S48</f>
        <v>0</v>
      </c>
      <c r="V48" s="44">
        <f>+G48-K48-S48</f>
        <v>0</v>
      </c>
    </row>
    <row r="49" spans="1:22" s="44" customFormat="1" ht="12.75" customHeight="1" x14ac:dyDescent="0.2">
      <c r="A49" s="44" t="s">
        <v>67</v>
      </c>
      <c r="B49" s="51"/>
      <c r="C49" s="44" t="s">
        <v>375</v>
      </c>
      <c r="D49" s="35"/>
      <c r="E49" s="45">
        <v>2142443</v>
      </c>
      <c r="F49" s="45"/>
      <c r="G49" s="45">
        <v>4170109</v>
      </c>
      <c r="H49" s="45"/>
      <c r="I49" s="45">
        <v>806935</v>
      </c>
      <c r="J49" s="45"/>
      <c r="K49" s="45">
        <v>1098565</v>
      </c>
      <c r="L49" s="45"/>
      <c r="M49" s="45">
        <v>286113</v>
      </c>
      <c r="N49" s="45"/>
      <c r="O49" s="45">
        <v>756868</v>
      </c>
      <c r="P49" s="45"/>
      <c r="Q49" s="45">
        <v>2028563</v>
      </c>
      <c r="R49" s="45"/>
      <c r="S49" s="45">
        <f t="shared" ref="S49:S54" si="7">+Q49+O49+M49</f>
        <v>3071544</v>
      </c>
      <c r="T49" s="45"/>
      <c r="U49" s="44">
        <f t="shared" ref="U49:U58" si="8">+G49-K49-S49</f>
        <v>0</v>
      </c>
      <c r="V49" s="44">
        <f t="shared" ref="V49:V58" si="9">+G49-K49-S49</f>
        <v>0</v>
      </c>
    </row>
    <row r="50" spans="1:22" s="44" customFormat="1" ht="12.75" customHeight="1" x14ac:dyDescent="0.2">
      <c r="A50" s="44" t="s">
        <v>68</v>
      </c>
      <c r="B50" s="51"/>
      <c r="C50" s="44" t="s">
        <v>45</v>
      </c>
      <c r="D50" s="35"/>
      <c r="E50" s="45">
        <v>664073</v>
      </c>
      <c r="F50" s="45"/>
      <c r="G50" s="45">
        <v>3413325</v>
      </c>
      <c r="H50" s="45"/>
      <c r="I50" s="45">
        <v>2267321</v>
      </c>
      <c r="J50" s="45"/>
      <c r="K50" s="45">
        <v>2592266</v>
      </c>
      <c r="L50" s="45"/>
      <c r="M50" s="45">
        <v>28627</v>
      </c>
      <c r="N50" s="45"/>
      <c r="O50" s="45">
        <v>40986</v>
      </c>
      <c r="P50" s="45"/>
      <c r="Q50" s="45">
        <v>751446</v>
      </c>
      <c r="R50" s="45"/>
      <c r="S50" s="45">
        <f t="shared" si="7"/>
        <v>821059</v>
      </c>
      <c r="T50" s="45"/>
      <c r="U50" s="44">
        <f t="shared" si="8"/>
        <v>0</v>
      </c>
      <c r="V50" s="44">
        <f t="shared" si="9"/>
        <v>0</v>
      </c>
    </row>
    <row r="51" spans="1:22" s="44" customFormat="1" ht="12.75" customHeight="1" x14ac:dyDescent="0.2">
      <c r="A51" s="44" t="s">
        <v>69</v>
      </c>
      <c r="B51" s="51"/>
      <c r="C51" s="44" t="s">
        <v>70</v>
      </c>
      <c r="D51" s="35"/>
      <c r="E51" s="45">
        <f>3175054+74554</f>
        <v>3249608</v>
      </c>
      <c r="F51" s="45"/>
      <c r="G51" s="45">
        <v>6421769</v>
      </c>
      <c r="H51" s="45"/>
      <c r="I51" s="45">
        <v>2000000</v>
      </c>
      <c r="J51" s="45"/>
      <c r="K51" s="45">
        <v>4344460</v>
      </c>
      <c r="L51" s="45"/>
      <c r="M51" s="45">
        <f>252251+159667</f>
        <v>411918</v>
      </c>
      <c r="N51" s="45"/>
      <c r="O51" s="45">
        <v>46264</v>
      </c>
      <c r="P51" s="45"/>
      <c r="Q51" s="45">
        <v>1619127</v>
      </c>
      <c r="R51" s="45"/>
      <c r="S51" s="45">
        <f t="shared" si="7"/>
        <v>2077309</v>
      </c>
      <c r="T51" s="45"/>
      <c r="U51" s="44">
        <f t="shared" si="8"/>
        <v>0</v>
      </c>
      <c r="V51" s="44">
        <f t="shared" si="9"/>
        <v>0</v>
      </c>
    </row>
    <row r="52" spans="1:22" s="44" customFormat="1" ht="12.75" customHeight="1" x14ac:dyDescent="0.2">
      <c r="A52" s="46" t="s">
        <v>71</v>
      </c>
      <c r="B52" s="46"/>
      <c r="C52" s="46" t="s">
        <v>45</v>
      </c>
      <c r="D52" s="64"/>
      <c r="E52" s="45">
        <f>14000+87657000+205000</f>
        <v>87876000</v>
      </c>
      <c r="F52" s="45"/>
      <c r="G52" s="45">
        <v>178095000</v>
      </c>
      <c r="H52" s="45"/>
      <c r="I52" s="45">
        <v>51695000</v>
      </c>
      <c r="J52" s="45"/>
      <c r="K52" s="45">
        <v>78289000</v>
      </c>
      <c r="L52" s="45"/>
      <c r="M52" s="45">
        <f>4063000+5287000</f>
        <v>9350000</v>
      </c>
      <c r="N52" s="45"/>
      <c r="O52" s="45">
        <v>24975000</v>
      </c>
      <c r="P52" s="45"/>
      <c r="Q52" s="45">
        <v>65481000</v>
      </c>
      <c r="R52" s="45"/>
      <c r="S52" s="45">
        <f t="shared" si="7"/>
        <v>99806000</v>
      </c>
      <c r="T52" s="45"/>
      <c r="U52" s="44">
        <f t="shared" si="8"/>
        <v>0</v>
      </c>
      <c r="V52" s="44">
        <f>+G52-K52-S52</f>
        <v>0</v>
      </c>
    </row>
    <row r="53" spans="1:22" s="44" customFormat="1" ht="12.75" customHeight="1" x14ac:dyDescent="0.2">
      <c r="A53" s="44" t="s">
        <v>463</v>
      </c>
      <c r="C53" s="44" t="s">
        <v>464</v>
      </c>
      <c r="D53" s="35"/>
      <c r="E53" s="45">
        <v>1036243</v>
      </c>
      <c r="F53" s="45"/>
      <c r="G53" s="45">
        <v>3641084</v>
      </c>
      <c r="H53" s="45"/>
      <c r="I53" s="45">
        <v>1703972</v>
      </c>
      <c r="J53" s="45"/>
      <c r="K53" s="45">
        <v>1952633</v>
      </c>
      <c r="L53" s="45"/>
      <c r="M53" s="45">
        <f>46314+17028</f>
        <v>63342</v>
      </c>
      <c r="N53" s="45"/>
      <c r="O53" s="45">
        <v>668734</v>
      </c>
      <c r="P53" s="45"/>
      <c r="Q53" s="45">
        <v>956375</v>
      </c>
      <c r="R53" s="45"/>
      <c r="S53" s="45">
        <f t="shared" si="7"/>
        <v>1688451</v>
      </c>
      <c r="T53" s="45"/>
      <c r="U53" s="44">
        <f t="shared" si="8"/>
        <v>0</v>
      </c>
      <c r="V53" s="44">
        <f t="shared" si="9"/>
        <v>0</v>
      </c>
    </row>
    <row r="54" spans="1:22" s="44" customFormat="1" ht="12.75" customHeight="1" x14ac:dyDescent="0.2">
      <c r="A54" s="46" t="s">
        <v>72</v>
      </c>
      <c r="B54" s="46"/>
      <c r="C54" s="46" t="s">
        <v>66</v>
      </c>
      <c r="D54" s="64"/>
      <c r="E54" s="45">
        <v>2031141</v>
      </c>
      <c r="F54" s="45"/>
      <c r="G54" s="45">
        <v>3934166</v>
      </c>
      <c r="H54" s="45"/>
      <c r="I54" s="45">
        <v>1345863</v>
      </c>
      <c r="J54" s="45"/>
      <c r="K54" s="45">
        <v>1407902</v>
      </c>
      <c r="L54" s="45"/>
      <c r="M54" s="45">
        <v>3770</v>
      </c>
      <c r="N54" s="45"/>
      <c r="O54" s="45">
        <v>69572</v>
      </c>
      <c r="P54" s="45"/>
      <c r="Q54" s="45">
        <v>2452922</v>
      </c>
      <c r="R54" s="45"/>
      <c r="S54" s="45">
        <f t="shared" si="7"/>
        <v>2526264</v>
      </c>
      <c r="T54" s="45"/>
      <c r="U54" s="44">
        <f t="shared" si="8"/>
        <v>0</v>
      </c>
      <c r="V54" s="44">
        <f t="shared" si="9"/>
        <v>0</v>
      </c>
    </row>
    <row r="55" spans="1:22" s="44" customFormat="1" ht="12.75" customHeight="1" x14ac:dyDescent="0.2">
      <c r="A55" s="44" t="s">
        <v>73</v>
      </c>
      <c r="C55" s="44" t="s">
        <v>27</v>
      </c>
      <c r="D55" s="35"/>
      <c r="E55" s="45">
        <v>54888000</v>
      </c>
      <c r="F55" s="45"/>
      <c r="G55" s="45">
        <v>202702000</v>
      </c>
      <c r="H55" s="45"/>
      <c r="I55" s="45">
        <v>98755000</v>
      </c>
      <c r="J55" s="45"/>
      <c r="K55" s="45">
        <v>151108000</v>
      </c>
      <c r="L55" s="45"/>
      <c r="M55" s="45">
        <v>576000</v>
      </c>
      <c r="N55" s="45"/>
      <c r="O55" s="45">
        <v>12027000</v>
      </c>
      <c r="P55" s="45"/>
      <c r="Q55" s="45">
        <v>38991000</v>
      </c>
      <c r="R55" s="45"/>
      <c r="S55" s="45">
        <f t="shared" ref="S55:S58" si="10">+Q55+O55+M55</f>
        <v>51594000</v>
      </c>
      <c r="T55" s="45"/>
      <c r="U55" s="44">
        <f t="shared" si="8"/>
        <v>0</v>
      </c>
      <c r="V55" s="44">
        <f t="shared" si="9"/>
        <v>0</v>
      </c>
    </row>
    <row r="56" spans="1:22" s="44" customFormat="1" ht="12.75" customHeight="1" x14ac:dyDescent="0.2">
      <c r="A56" s="44" t="s">
        <v>74</v>
      </c>
      <c r="B56" s="51"/>
      <c r="C56" s="44" t="s">
        <v>27</v>
      </c>
      <c r="D56" s="35"/>
      <c r="E56" s="45">
        <v>5338555</v>
      </c>
      <c r="F56" s="45"/>
      <c r="G56" s="45">
        <v>27148403</v>
      </c>
      <c r="H56" s="45"/>
      <c r="I56" s="45">
        <v>17653011</v>
      </c>
      <c r="J56" s="45"/>
      <c r="K56" s="45">
        <v>19123742</v>
      </c>
      <c r="L56" s="45"/>
      <c r="M56" s="45">
        <v>282323</v>
      </c>
      <c r="N56" s="45"/>
      <c r="O56" s="45">
        <v>4978336</v>
      </c>
      <c r="P56" s="45"/>
      <c r="Q56" s="45">
        <v>2764002</v>
      </c>
      <c r="R56" s="45"/>
      <c r="S56" s="45">
        <f t="shared" si="10"/>
        <v>8024661</v>
      </c>
      <c r="T56" s="45"/>
      <c r="U56" s="44">
        <f t="shared" si="8"/>
        <v>0</v>
      </c>
      <c r="V56" s="44">
        <f t="shared" si="9"/>
        <v>0</v>
      </c>
    </row>
    <row r="57" spans="1:22" s="44" customFormat="1" ht="12.75" customHeight="1" x14ac:dyDescent="0.2">
      <c r="A57" s="44" t="s">
        <v>75</v>
      </c>
      <c r="B57" s="51"/>
      <c r="C57" s="44" t="s">
        <v>76</v>
      </c>
      <c r="D57" s="35"/>
      <c r="E57" s="45">
        <v>937161</v>
      </c>
      <c r="F57" s="45"/>
      <c r="G57" s="45">
        <v>1909183</v>
      </c>
      <c r="H57" s="45"/>
      <c r="I57" s="45">
        <v>251905</v>
      </c>
      <c r="J57" s="45"/>
      <c r="K57" s="45">
        <v>680423</v>
      </c>
      <c r="L57" s="45"/>
      <c r="M57" s="45">
        <f>26740+11000</f>
        <v>37740</v>
      </c>
      <c r="N57" s="45"/>
      <c r="O57" s="45">
        <v>514683</v>
      </c>
      <c r="P57" s="45"/>
      <c r="Q57" s="45">
        <v>676337</v>
      </c>
      <c r="R57" s="45"/>
      <c r="S57" s="45">
        <f t="shared" si="10"/>
        <v>1228760</v>
      </c>
      <c r="T57" s="45"/>
      <c r="U57" s="44">
        <f t="shared" si="8"/>
        <v>0</v>
      </c>
      <c r="V57" s="44">
        <f t="shared" si="9"/>
        <v>0</v>
      </c>
    </row>
    <row r="58" spans="1:22" s="44" customFormat="1" ht="12.75" hidden="1" customHeight="1" x14ac:dyDescent="0.2">
      <c r="A58" s="44" t="s">
        <v>77</v>
      </c>
      <c r="B58" s="51"/>
      <c r="C58" s="44" t="s">
        <v>43</v>
      </c>
      <c r="D58" s="35"/>
      <c r="E58" s="45">
        <v>98232000</v>
      </c>
      <c r="F58" s="45"/>
      <c r="G58" s="45">
        <v>241201000</v>
      </c>
      <c r="H58" s="45"/>
      <c r="I58" s="45">
        <v>94113000</v>
      </c>
      <c r="J58" s="45"/>
      <c r="K58" s="45">
        <v>126422000</v>
      </c>
      <c r="L58" s="45"/>
      <c r="M58" s="45">
        <v>12730000</v>
      </c>
      <c r="N58" s="45"/>
      <c r="O58" s="45">
        <v>6953000</v>
      </c>
      <c r="P58" s="45"/>
      <c r="Q58" s="45">
        <v>95096000</v>
      </c>
      <c r="R58" s="45"/>
      <c r="S58" s="45">
        <f t="shared" si="10"/>
        <v>114779000</v>
      </c>
      <c r="T58" s="45"/>
      <c r="U58" s="44">
        <f t="shared" si="8"/>
        <v>0</v>
      </c>
      <c r="V58" s="44">
        <f t="shared" si="9"/>
        <v>0</v>
      </c>
    </row>
    <row r="59" spans="1:22" s="44" customFormat="1" ht="12.75" customHeight="1" x14ac:dyDescent="0.2">
      <c r="A59" s="44" t="s">
        <v>94</v>
      </c>
      <c r="B59" s="51"/>
      <c r="C59" s="44" t="s">
        <v>94</v>
      </c>
      <c r="D59" s="35"/>
      <c r="E59" s="45">
        <v>927493</v>
      </c>
      <c r="F59" s="45"/>
      <c r="G59" s="45">
        <v>1871192</v>
      </c>
      <c r="H59" s="45"/>
      <c r="I59" s="45">
        <v>423232</v>
      </c>
      <c r="J59" s="45"/>
      <c r="K59" s="45">
        <v>542936</v>
      </c>
      <c r="L59" s="45"/>
      <c r="M59" s="45">
        <v>26671</v>
      </c>
      <c r="N59" s="45"/>
      <c r="O59" s="45">
        <v>33570</v>
      </c>
      <c r="P59" s="45"/>
      <c r="Q59" s="45">
        <v>1268015</v>
      </c>
      <c r="R59" s="45"/>
      <c r="S59" s="45">
        <f>+Q59+O59+M59</f>
        <v>1328256</v>
      </c>
      <c r="T59" s="45"/>
      <c r="U59" s="44">
        <f>+G59-K59-S59</f>
        <v>0</v>
      </c>
      <c r="V59" s="44">
        <f>+G59-K59-S59</f>
        <v>0</v>
      </c>
    </row>
    <row r="60" spans="1:22" s="44" customFormat="1" ht="12.75" customHeight="1" x14ac:dyDescent="0.2">
      <c r="A60" s="44" t="s">
        <v>78</v>
      </c>
      <c r="B60" s="51"/>
      <c r="C60" s="44" t="s">
        <v>19</v>
      </c>
      <c r="D60" s="35"/>
      <c r="E60" s="45">
        <f>814513+18099</f>
        <v>832612</v>
      </c>
      <c r="F60" s="45"/>
      <c r="G60" s="45">
        <v>2879255</v>
      </c>
      <c r="H60" s="45"/>
      <c r="I60" s="45">
        <v>1444470</v>
      </c>
      <c r="J60" s="45"/>
      <c r="K60" s="45">
        <v>1785382</v>
      </c>
      <c r="L60" s="45"/>
      <c r="M60" s="45">
        <v>52597</v>
      </c>
      <c r="N60" s="45"/>
      <c r="O60" s="45">
        <v>345329</v>
      </c>
      <c r="P60" s="45"/>
      <c r="Q60" s="45">
        <v>695947</v>
      </c>
      <c r="R60" s="45"/>
      <c r="S60" s="45">
        <f>+Q60+O60+M60</f>
        <v>1093873</v>
      </c>
      <c r="T60" s="45"/>
      <c r="U60" s="44">
        <f>+G60-K60-S60</f>
        <v>0</v>
      </c>
      <c r="V60" s="44">
        <f>+G60-K60-S60</f>
        <v>0</v>
      </c>
    </row>
    <row r="61" spans="1:22" s="46" customFormat="1" ht="12.75" customHeight="1" x14ac:dyDescent="0.2">
      <c r="D61" s="3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8" t="s">
        <v>484</v>
      </c>
      <c r="T61" s="45"/>
      <c r="U61" s="44"/>
      <c r="V61" s="44"/>
    </row>
    <row r="62" spans="1:22" s="44" customFormat="1" ht="12.75" customHeight="1" x14ac:dyDescent="0.2">
      <c r="A62" s="44" t="s">
        <v>79</v>
      </c>
      <c r="B62" s="51"/>
      <c r="C62" s="44" t="s">
        <v>80</v>
      </c>
      <c r="D62" s="35"/>
      <c r="E62" s="94">
        <v>500567</v>
      </c>
      <c r="F62" s="94"/>
      <c r="G62" s="94">
        <v>1159062</v>
      </c>
      <c r="H62" s="94"/>
      <c r="I62" s="94">
        <v>605811</v>
      </c>
      <c r="J62" s="94"/>
      <c r="K62" s="94">
        <v>644519</v>
      </c>
      <c r="L62" s="94"/>
      <c r="M62" s="94">
        <v>9194</v>
      </c>
      <c r="N62" s="94"/>
      <c r="O62" s="94">
        <v>33020</v>
      </c>
      <c r="P62" s="94"/>
      <c r="Q62" s="94">
        <v>472329</v>
      </c>
      <c r="R62" s="94"/>
      <c r="S62" s="94">
        <f>+Q62+O62+M62</f>
        <v>514543</v>
      </c>
      <c r="T62" s="45"/>
      <c r="U62" s="44">
        <f>+G62-K62-S62</f>
        <v>0</v>
      </c>
      <c r="V62" s="44">
        <f>+G62-K62-S62</f>
        <v>0</v>
      </c>
    </row>
    <row r="63" spans="1:22" s="44" customFormat="1" ht="12.75" customHeight="1" x14ac:dyDescent="0.2">
      <c r="A63" s="44" t="s">
        <v>81</v>
      </c>
      <c r="B63" s="51"/>
      <c r="C63" s="44" t="s">
        <v>81</v>
      </c>
      <c r="D63" s="35"/>
      <c r="E63" s="45">
        <v>325282</v>
      </c>
      <c r="F63" s="45"/>
      <c r="G63" s="45">
        <v>1419712</v>
      </c>
      <c r="H63" s="45"/>
      <c r="I63" s="45">
        <v>452886</v>
      </c>
      <c r="J63" s="45"/>
      <c r="K63" s="45">
        <v>1019290</v>
      </c>
      <c r="L63" s="45"/>
      <c r="M63" s="45">
        <v>6664</v>
      </c>
      <c r="N63" s="45"/>
      <c r="O63" s="45">
        <v>7346</v>
      </c>
      <c r="P63" s="45"/>
      <c r="Q63" s="45">
        <v>386412</v>
      </c>
      <c r="R63" s="45"/>
      <c r="S63" s="45">
        <f>+Q63+O63+M63</f>
        <v>400422</v>
      </c>
      <c r="T63" s="45"/>
      <c r="U63" s="44">
        <f>+G63-K63-S63</f>
        <v>0</v>
      </c>
      <c r="V63" s="44">
        <f>+G63-K63-S63</f>
        <v>0</v>
      </c>
    </row>
    <row r="64" spans="1:22" s="123" customFormat="1" ht="12.75" hidden="1" customHeight="1" x14ac:dyDescent="0.2">
      <c r="A64" s="122" t="s">
        <v>465</v>
      </c>
      <c r="B64" s="122"/>
      <c r="C64" s="122" t="s">
        <v>57</v>
      </c>
      <c r="D64" s="126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>
        <f>+Q64+O64+M64</f>
        <v>0</v>
      </c>
      <c r="T64" s="127"/>
      <c r="U64" s="121">
        <f>+G64-K64-S64</f>
        <v>0</v>
      </c>
      <c r="V64" s="121">
        <f>+G64-K64-S64</f>
        <v>0</v>
      </c>
    </row>
    <row r="65" spans="1:22" s="44" customFormat="1" ht="12.75" customHeight="1" x14ac:dyDescent="0.2">
      <c r="A65" s="44" t="s">
        <v>82</v>
      </c>
      <c r="B65" s="51"/>
      <c r="C65" s="44" t="s">
        <v>13</v>
      </c>
      <c r="D65" s="35"/>
      <c r="E65" s="45">
        <v>7398141</v>
      </c>
      <c r="F65" s="45"/>
      <c r="G65" s="45">
        <v>20673231</v>
      </c>
      <c r="H65" s="45"/>
      <c r="I65" s="45">
        <v>10657423</v>
      </c>
      <c r="J65" s="45"/>
      <c r="K65" s="45">
        <v>11524797</v>
      </c>
      <c r="L65" s="45"/>
      <c r="M65" s="45">
        <f>194207+94208</f>
        <v>288415</v>
      </c>
      <c r="N65" s="45"/>
      <c r="O65" s="45">
        <v>1074608</v>
      </c>
      <c r="P65" s="45"/>
      <c r="Q65" s="45">
        <v>7785411</v>
      </c>
      <c r="R65" s="45"/>
      <c r="S65" s="45">
        <f t="shared" ref="S65:S67" si="11">+Q65+O65+M65</f>
        <v>9148434</v>
      </c>
      <c r="T65" s="45"/>
      <c r="U65" s="44">
        <f t="shared" si="1"/>
        <v>0</v>
      </c>
      <c r="V65" s="44">
        <f t="shared" si="2"/>
        <v>0</v>
      </c>
    </row>
    <row r="66" spans="1:22" s="44" customFormat="1" ht="12.75" customHeight="1" x14ac:dyDescent="0.2">
      <c r="A66" s="44" t="s">
        <v>83</v>
      </c>
      <c r="B66" s="51"/>
      <c r="C66" s="44" t="s">
        <v>66</v>
      </c>
      <c r="D66" s="35"/>
      <c r="E66" s="45">
        <f>41397966+375</f>
        <v>41398341</v>
      </c>
      <c r="F66" s="45"/>
      <c r="G66" s="45">
        <v>90983491</v>
      </c>
      <c r="H66" s="45"/>
      <c r="I66" s="45">
        <v>17375842</v>
      </c>
      <c r="J66" s="45"/>
      <c r="K66" s="45">
        <v>35970046</v>
      </c>
      <c r="L66" s="45"/>
      <c r="M66" s="45">
        <f>9695165+4543378</f>
        <v>14238543</v>
      </c>
      <c r="N66" s="45"/>
      <c r="O66" s="45">
        <v>11900572</v>
      </c>
      <c r="P66" s="45"/>
      <c r="Q66" s="45">
        <v>28874330</v>
      </c>
      <c r="R66" s="45"/>
      <c r="S66" s="45">
        <f t="shared" si="11"/>
        <v>55013445</v>
      </c>
      <c r="T66" s="45"/>
      <c r="U66" s="44">
        <f t="shared" si="1"/>
        <v>0</v>
      </c>
      <c r="V66" s="44">
        <f t="shared" si="2"/>
        <v>0</v>
      </c>
    </row>
    <row r="67" spans="1:22" s="44" customFormat="1" ht="12" customHeight="1" x14ac:dyDescent="0.2">
      <c r="A67" s="44" t="s">
        <v>84</v>
      </c>
      <c r="B67" s="51"/>
      <c r="C67" s="44" t="s">
        <v>45</v>
      </c>
      <c r="D67" s="35"/>
      <c r="E67" s="45">
        <v>1420480</v>
      </c>
      <c r="F67" s="45"/>
      <c r="G67" s="45">
        <v>3179914</v>
      </c>
      <c r="H67" s="45"/>
      <c r="I67" s="45">
        <v>1458813</v>
      </c>
      <c r="J67" s="45"/>
      <c r="K67" s="45">
        <v>1764007</v>
      </c>
      <c r="L67" s="45"/>
      <c r="M67" s="45">
        <v>0</v>
      </c>
      <c r="N67" s="45"/>
      <c r="O67" s="45">
        <v>0</v>
      </c>
      <c r="P67" s="45"/>
      <c r="Q67" s="45">
        <v>1415907</v>
      </c>
      <c r="R67" s="45"/>
      <c r="S67" s="45">
        <f t="shared" si="11"/>
        <v>1415907</v>
      </c>
      <c r="T67" s="45"/>
      <c r="U67" s="44">
        <f t="shared" si="1"/>
        <v>0</v>
      </c>
      <c r="V67" s="44">
        <f t="shared" si="2"/>
        <v>0</v>
      </c>
    </row>
    <row r="68" spans="1:22" s="46" customFormat="1" ht="12.75" customHeight="1" x14ac:dyDescent="0.2">
      <c r="A68" s="44" t="s">
        <v>85</v>
      </c>
      <c r="B68" s="44"/>
      <c r="C68" s="44" t="s">
        <v>85</v>
      </c>
      <c r="D68" s="35"/>
      <c r="E68" s="45">
        <f>1275943+85877+129076</f>
        <v>1490896</v>
      </c>
      <c r="F68" s="45"/>
      <c r="G68" s="45">
        <v>3269421</v>
      </c>
      <c r="H68" s="45"/>
      <c r="I68" s="45">
        <v>330074</v>
      </c>
      <c r="J68" s="45"/>
      <c r="K68" s="45">
        <v>1609431</v>
      </c>
      <c r="L68" s="45"/>
      <c r="M68" s="45">
        <v>87</v>
      </c>
      <c r="N68" s="45"/>
      <c r="O68" s="45">
        <v>403861</v>
      </c>
      <c r="P68" s="45"/>
      <c r="Q68" s="45">
        <v>1256042</v>
      </c>
      <c r="R68" s="45"/>
      <c r="S68" s="45">
        <f t="shared" si="0"/>
        <v>1659990</v>
      </c>
      <c r="T68" s="45"/>
      <c r="U68" s="44">
        <f t="shared" si="1"/>
        <v>0</v>
      </c>
      <c r="V68" s="44">
        <f t="shared" si="2"/>
        <v>0</v>
      </c>
    </row>
    <row r="69" spans="1:22" s="46" customFormat="1" ht="12.75" customHeight="1" x14ac:dyDescent="0.2">
      <c r="A69" s="44" t="s">
        <v>86</v>
      </c>
      <c r="B69" s="51"/>
      <c r="C69" s="44" t="s">
        <v>86</v>
      </c>
      <c r="D69" s="35"/>
      <c r="E69" s="45">
        <v>4425052</v>
      </c>
      <c r="F69" s="45"/>
      <c r="G69" s="45">
        <v>9986926</v>
      </c>
      <c r="H69" s="45"/>
      <c r="I69" s="45">
        <v>3097950</v>
      </c>
      <c r="J69" s="45"/>
      <c r="K69" s="45">
        <v>3971670</v>
      </c>
      <c r="L69" s="45"/>
      <c r="M69" s="45">
        <f>74900+166948+300000+433570</f>
        <v>975418</v>
      </c>
      <c r="N69" s="45"/>
      <c r="O69" s="45">
        <v>171094</v>
      </c>
      <c r="P69" s="45"/>
      <c r="Q69" s="45">
        <v>4868744</v>
      </c>
      <c r="R69" s="45"/>
      <c r="S69" s="45">
        <f t="shared" si="0"/>
        <v>6015256</v>
      </c>
      <c r="T69" s="45"/>
      <c r="U69" s="44">
        <f t="shared" si="1"/>
        <v>0</v>
      </c>
      <c r="V69" s="44">
        <f t="shared" si="2"/>
        <v>0</v>
      </c>
    </row>
    <row r="70" spans="1:22" s="46" customFormat="1" ht="12.75" customHeight="1" x14ac:dyDescent="0.2">
      <c r="A70" s="46" t="s">
        <v>87</v>
      </c>
      <c r="C70" s="46" t="s">
        <v>88</v>
      </c>
      <c r="D70" s="35"/>
      <c r="E70" s="45">
        <v>465245</v>
      </c>
      <c r="F70" s="45"/>
      <c r="G70" s="45">
        <v>1711470</v>
      </c>
      <c r="H70" s="45"/>
      <c r="I70" s="45">
        <v>768851</v>
      </c>
      <c r="J70" s="45"/>
      <c r="K70" s="45">
        <v>913456</v>
      </c>
      <c r="L70" s="45"/>
      <c r="M70" s="45">
        <v>48442</v>
      </c>
      <c r="N70" s="45"/>
      <c r="O70" s="45">
        <v>0</v>
      </c>
      <c r="P70" s="45"/>
      <c r="Q70" s="45">
        <v>749572</v>
      </c>
      <c r="R70" s="45"/>
      <c r="S70" s="45">
        <f t="shared" si="0"/>
        <v>798014</v>
      </c>
      <c r="T70" s="45"/>
      <c r="U70" s="44">
        <f t="shared" si="1"/>
        <v>0</v>
      </c>
      <c r="V70" s="44">
        <f t="shared" si="2"/>
        <v>0</v>
      </c>
    </row>
    <row r="71" spans="1:22" s="44" customFormat="1" ht="12.75" customHeight="1" x14ac:dyDescent="0.2">
      <c r="A71" s="44" t="s">
        <v>394</v>
      </c>
      <c r="B71" s="96"/>
      <c r="C71" s="44" t="s">
        <v>89</v>
      </c>
      <c r="D71" s="35"/>
      <c r="E71" s="45">
        <v>1719068</v>
      </c>
      <c r="F71" s="45"/>
      <c r="G71" s="45">
        <v>4491642</v>
      </c>
      <c r="H71" s="45"/>
      <c r="I71" s="45">
        <v>2130703</v>
      </c>
      <c r="J71" s="45"/>
      <c r="K71" s="45">
        <v>2386096</v>
      </c>
      <c r="L71" s="45"/>
      <c r="M71" s="45">
        <v>76178</v>
      </c>
      <c r="N71" s="45"/>
      <c r="O71" s="45">
        <v>103666</v>
      </c>
      <c r="P71" s="45"/>
      <c r="Q71" s="45">
        <v>1925702</v>
      </c>
      <c r="R71" s="45"/>
      <c r="S71" s="45">
        <f t="shared" si="0"/>
        <v>2105546</v>
      </c>
      <c r="T71" s="45"/>
      <c r="U71" s="44">
        <f t="shared" si="1"/>
        <v>0</v>
      </c>
      <c r="V71" s="44">
        <f t="shared" si="2"/>
        <v>0</v>
      </c>
    </row>
    <row r="72" spans="1:22" s="44" customFormat="1" ht="12.75" hidden="1" customHeight="1" x14ac:dyDescent="0.2">
      <c r="A72" s="44" t="s">
        <v>90</v>
      </c>
      <c r="B72" s="96"/>
      <c r="C72" s="44" t="s">
        <v>43</v>
      </c>
      <c r="D72" s="35"/>
      <c r="E72" s="45">
        <v>45266317</v>
      </c>
      <c r="F72" s="45"/>
      <c r="G72" s="45">
        <v>59464149</v>
      </c>
      <c r="H72" s="45"/>
      <c r="I72" s="45">
        <v>6687615</v>
      </c>
      <c r="J72" s="45"/>
      <c r="K72" s="45">
        <v>14033777</v>
      </c>
      <c r="L72" s="45"/>
      <c r="M72" s="45">
        <v>782766</v>
      </c>
      <c r="N72" s="45"/>
      <c r="O72" s="45">
        <v>2823620</v>
      </c>
      <c r="P72" s="45"/>
      <c r="Q72" s="45">
        <v>41823986</v>
      </c>
      <c r="R72" s="45"/>
      <c r="S72" s="45">
        <f t="shared" si="0"/>
        <v>45430372</v>
      </c>
      <c r="T72" s="45"/>
      <c r="U72" s="44">
        <f t="shared" si="1"/>
        <v>0</v>
      </c>
      <c r="V72" s="44">
        <f t="shared" si="2"/>
        <v>0</v>
      </c>
    </row>
    <row r="73" spans="1:22" s="44" customFormat="1" ht="12.75" customHeight="1" x14ac:dyDescent="0.2">
      <c r="A73" s="47" t="s">
        <v>488</v>
      </c>
      <c r="B73" s="47"/>
      <c r="C73" s="47" t="s">
        <v>27</v>
      </c>
      <c r="D73" s="35"/>
      <c r="E73" s="45">
        <v>0</v>
      </c>
      <c r="F73" s="45"/>
      <c r="G73" s="45">
        <v>8032849</v>
      </c>
      <c r="H73" s="45"/>
      <c r="I73" s="45">
        <v>6290843</v>
      </c>
      <c r="J73" s="45"/>
      <c r="K73" s="45">
        <v>9822513</v>
      </c>
      <c r="L73" s="45"/>
      <c r="M73" s="45">
        <v>16689</v>
      </c>
      <c r="N73" s="45"/>
      <c r="O73" s="45">
        <v>106041</v>
      </c>
      <c r="P73" s="45"/>
      <c r="Q73" s="45">
        <v>-1912394</v>
      </c>
      <c r="R73" s="45"/>
      <c r="S73" s="45">
        <f t="shared" si="0"/>
        <v>-1789664</v>
      </c>
      <c r="T73" s="45"/>
      <c r="U73" s="44">
        <f t="shared" si="1"/>
        <v>0</v>
      </c>
      <c r="V73" s="44">
        <f t="shared" si="2"/>
        <v>0</v>
      </c>
    </row>
    <row r="74" spans="1:22" s="44" customFormat="1" ht="12.75" customHeight="1" x14ac:dyDescent="0.2">
      <c r="A74" s="44" t="s">
        <v>93</v>
      </c>
      <c r="B74" s="47"/>
      <c r="C74" s="44" t="s">
        <v>94</v>
      </c>
      <c r="D74" s="35"/>
      <c r="E74" s="45">
        <v>1617</v>
      </c>
      <c r="F74" s="45"/>
      <c r="G74" s="45">
        <v>987110</v>
      </c>
      <c r="H74" s="45"/>
      <c r="I74" s="45">
        <v>513452</v>
      </c>
      <c r="J74" s="45"/>
      <c r="K74" s="45">
        <v>609091</v>
      </c>
      <c r="L74" s="45"/>
      <c r="M74" s="45">
        <v>26157</v>
      </c>
      <c r="N74" s="45"/>
      <c r="O74" s="45">
        <v>13598</v>
      </c>
      <c r="P74" s="45"/>
      <c r="Q74" s="45">
        <v>338264</v>
      </c>
      <c r="R74" s="45"/>
      <c r="S74" s="45">
        <f>+Q74+O74+M74</f>
        <v>378019</v>
      </c>
      <c r="T74" s="45"/>
      <c r="U74" s="44">
        <f>+G74-K74-S74</f>
        <v>0</v>
      </c>
      <c r="V74" s="44">
        <f>+G74-K74-S74</f>
        <v>0</v>
      </c>
    </row>
    <row r="75" spans="1:22" s="46" customFormat="1" ht="12.75" customHeight="1" x14ac:dyDescent="0.2">
      <c r="A75" s="46" t="s">
        <v>95</v>
      </c>
      <c r="B75" s="66"/>
      <c r="C75" s="46" t="s">
        <v>94</v>
      </c>
      <c r="D75" s="64"/>
      <c r="E75" s="45">
        <f>117241+100300</f>
        <v>217541</v>
      </c>
      <c r="F75" s="45"/>
      <c r="G75" s="45">
        <v>764684</v>
      </c>
      <c r="H75" s="45"/>
      <c r="I75" s="45">
        <v>263096</v>
      </c>
      <c r="J75" s="45"/>
      <c r="K75" s="45">
        <v>1185698</v>
      </c>
      <c r="L75" s="45"/>
      <c r="M75" s="45">
        <v>21462</v>
      </c>
      <c r="N75" s="45"/>
      <c r="O75" s="45">
        <v>0</v>
      </c>
      <c r="P75" s="45"/>
      <c r="Q75" s="45">
        <v>-442476</v>
      </c>
      <c r="R75" s="45"/>
      <c r="S75" s="45">
        <f t="shared" ref="S75:S81" si="12">+Q75+O75+M75</f>
        <v>-421014</v>
      </c>
      <c r="T75" s="45"/>
      <c r="U75" s="44">
        <f t="shared" ref="U75:U81" si="13">+G75-K75-S75</f>
        <v>0</v>
      </c>
      <c r="V75" s="44">
        <f t="shared" ref="V75:V81" si="14">+G75-K75-S75</f>
        <v>0</v>
      </c>
    </row>
    <row r="76" spans="1:22" s="44" customFormat="1" ht="12.75" customHeight="1" x14ac:dyDescent="0.2">
      <c r="A76" s="44" t="s">
        <v>91</v>
      </c>
      <c r="B76" s="51"/>
      <c r="C76" s="44" t="s">
        <v>92</v>
      </c>
      <c r="D76" s="35"/>
      <c r="E76" s="45">
        <f>98637+10243</f>
        <v>108880</v>
      </c>
      <c r="F76" s="45"/>
      <c r="G76" s="45">
        <v>5573472</v>
      </c>
      <c r="H76" s="45"/>
      <c r="I76" s="45">
        <v>3786621</v>
      </c>
      <c r="J76" s="45"/>
      <c r="K76" s="45">
        <v>4682802</v>
      </c>
      <c r="L76" s="45"/>
      <c r="M76" s="45">
        <v>112858</v>
      </c>
      <c r="N76" s="45"/>
      <c r="O76" s="45">
        <v>85339</v>
      </c>
      <c r="P76" s="45"/>
      <c r="Q76" s="45">
        <v>692473</v>
      </c>
      <c r="R76" s="45"/>
      <c r="S76" s="45">
        <f t="shared" si="12"/>
        <v>890670</v>
      </c>
      <c r="T76" s="45"/>
      <c r="U76" s="44">
        <f t="shared" si="13"/>
        <v>0</v>
      </c>
      <c r="V76" s="44">
        <f t="shared" si="14"/>
        <v>0</v>
      </c>
    </row>
    <row r="77" spans="1:22" s="44" customFormat="1" ht="12.75" customHeight="1" x14ac:dyDescent="0.2">
      <c r="A77" s="44" t="s">
        <v>96</v>
      </c>
      <c r="B77" s="51"/>
      <c r="C77" s="44" t="s">
        <v>97</v>
      </c>
      <c r="D77" s="35"/>
      <c r="E77" s="45">
        <v>1716338</v>
      </c>
      <c r="F77" s="45"/>
      <c r="G77" s="45">
        <v>2707380</v>
      </c>
      <c r="H77" s="45"/>
      <c r="I77" s="45">
        <v>790445</v>
      </c>
      <c r="J77" s="45"/>
      <c r="K77" s="45">
        <v>1006574</v>
      </c>
      <c r="L77" s="45"/>
      <c r="M77" s="45">
        <f>3000+23140</f>
        <v>26140</v>
      </c>
      <c r="N77" s="45"/>
      <c r="O77" s="45">
        <v>8979</v>
      </c>
      <c r="P77" s="45"/>
      <c r="Q77" s="45">
        <v>1665687</v>
      </c>
      <c r="R77" s="45"/>
      <c r="S77" s="45">
        <f t="shared" si="12"/>
        <v>1700806</v>
      </c>
      <c r="T77" s="45"/>
      <c r="U77" s="44">
        <f t="shared" si="13"/>
        <v>0</v>
      </c>
      <c r="V77" s="44">
        <f t="shared" si="14"/>
        <v>0</v>
      </c>
    </row>
    <row r="78" spans="1:22" s="44" customFormat="1" ht="12.75" customHeight="1" x14ac:dyDescent="0.2">
      <c r="A78" s="44" t="s">
        <v>98</v>
      </c>
      <c r="B78" s="51"/>
      <c r="C78" s="44" t="s">
        <v>17</v>
      </c>
      <c r="D78" s="35"/>
      <c r="E78" s="45">
        <v>2360900</v>
      </c>
      <c r="F78" s="45"/>
      <c r="G78" s="45">
        <v>11082205</v>
      </c>
      <c r="H78" s="45"/>
      <c r="I78" s="45">
        <v>3819497</v>
      </c>
      <c r="J78" s="45"/>
      <c r="K78" s="45">
        <v>7186154</v>
      </c>
      <c r="L78" s="45"/>
      <c r="M78" s="45">
        <v>0</v>
      </c>
      <c r="N78" s="45"/>
      <c r="O78" s="45">
        <v>569402</v>
      </c>
      <c r="P78" s="45"/>
      <c r="Q78" s="45">
        <v>3326649</v>
      </c>
      <c r="R78" s="45"/>
      <c r="S78" s="45">
        <f t="shared" si="12"/>
        <v>3896051</v>
      </c>
      <c r="T78" s="45"/>
      <c r="U78" s="44">
        <f t="shared" si="13"/>
        <v>0</v>
      </c>
      <c r="V78" s="44">
        <f t="shared" si="14"/>
        <v>0</v>
      </c>
    </row>
    <row r="79" spans="1:22" s="44" customFormat="1" ht="12.75" customHeight="1" x14ac:dyDescent="0.2">
      <c r="A79" s="44" t="s">
        <v>99</v>
      </c>
      <c r="B79" s="51"/>
      <c r="C79" s="44" t="s">
        <v>66</v>
      </c>
      <c r="D79" s="35"/>
      <c r="E79" s="45">
        <v>4611053</v>
      </c>
      <c r="F79" s="45"/>
      <c r="G79" s="45">
        <v>6967003</v>
      </c>
      <c r="H79" s="45"/>
      <c r="I79" s="45">
        <v>1192474</v>
      </c>
      <c r="J79" s="45"/>
      <c r="K79" s="45">
        <v>1897965</v>
      </c>
      <c r="L79" s="45"/>
      <c r="M79" s="45">
        <v>10493</v>
      </c>
      <c r="N79" s="45"/>
      <c r="O79" s="45">
        <v>663113</v>
      </c>
      <c r="P79" s="45"/>
      <c r="Q79" s="45">
        <v>4395432</v>
      </c>
      <c r="R79" s="45"/>
      <c r="S79" s="45">
        <f t="shared" si="12"/>
        <v>5069038</v>
      </c>
      <c r="T79" s="45"/>
      <c r="U79" s="44">
        <f t="shared" si="13"/>
        <v>0</v>
      </c>
      <c r="V79" s="44">
        <f t="shared" si="14"/>
        <v>0</v>
      </c>
    </row>
    <row r="80" spans="1:22" s="44" customFormat="1" ht="12.75" customHeight="1" x14ac:dyDescent="0.2">
      <c r="A80" s="44" t="s">
        <v>100</v>
      </c>
      <c r="B80" s="51"/>
      <c r="C80" s="44" t="s">
        <v>27</v>
      </c>
      <c r="D80" s="35"/>
      <c r="E80" s="45">
        <f>2845818+7856+50132</f>
        <v>2903806</v>
      </c>
      <c r="F80" s="45"/>
      <c r="G80" s="45">
        <v>24878799</v>
      </c>
      <c r="H80" s="45"/>
      <c r="I80" s="45">
        <v>12076533</v>
      </c>
      <c r="J80" s="45"/>
      <c r="K80" s="45">
        <v>18295696</v>
      </c>
      <c r="L80" s="45"/>
      <c r="M80" s="45">
        <f>1179271+183472</f>
        <v>1362743</v>
      </c>
      <c r="N80" s="45"/>
      <c r="O80" s="45">
        <v>36008</v>
      </c>
      <c r="P80" s="45"/>
      <c r="Q80" s="45">
        <v>5184352</v>
      </c>
      <c r="R80" s="45"/>
      <c r="S80" s="45">
        <f t="shared" si="12"/>
        <v>6583103</v>
      </c>
      <c r="T80" s="45"/>
      <c r="U80" s="44">
        <f t="shared" si="13"/>
        <v>0</v>
      </c>
      <c r="V80" s="44">
        <f t="shared" si="14"/>
        <v>0</v>
      </c>
    </row>
    <row r="81" spans="1:22" s="44" customFormat="1" ht="12.75" customHeight="1" x14ac:dyDescent="0.2">
      <c r="A81" s="44" t="s">
        <v>101</v>
      </c>
      <c r="B81" s="51"/>
      <c r="C81" s="44" t="s">
        <v>30</v>
      </c>
      <c r="D81" s="35"/>
      <c r="E81" s="45">
        <v>2992616</v>
      </c>
      <c r="F81" s="45"/>
      <c r="G81" s="45">
        <v>8045838</v>
      </c>
      <c r="H81" s="45"/>
      <c r="I81" s="45">
        <v>3917978</v>
      </c>
      <c r="J81" s="45"/>
      <c r="K81" s="45">
        <v>4416806</v>
      </c>
      <c r="L81" s="45"/>
      <c r="M81" s="45">
        <v>46497</v>
      </c>
      <c r="N81" s="45"/>
      <c r="O81" s="45">
        <v>171849</v>
      </c>
      <c r="P81" s="45"/>
      <c r="Q81" s="45">
        <v>3410686</v>
      </c>
      <c r="R81" s="45"/>
      <c r="S81" s="45">
        <f t="shared" si="12"/>
        <v>3629032</v>
      </c>
      <c r="T81" s="45"/>
      <c r="U81" s="44">
        <f t="shared" si="13"/>
        <v>0</v>
      </c>
      <c r="V81" s="44">
        <f t="shared" si="14"/>
        <v>0</v>
      </c>
    </row>
    <row r="82" spans="1:22" s="44" customFormat="1" ht="12.75" customHeight="1" x14ac:dyDescent="0.2">
      <c r="A82" s="44" t="s">
        <v>102</v>
      </c>
      <c r="B82" s="51"/>
      <c r="C82" s="44" t="s">
        <v>103</v>
      </c>
      <c r="D82" s="35"/>
      <c r="E82" s="45">
        <v>9282709</v>
      </c>
      <c r="F82" s="45"/>
      <c r="G82" s="45">
        <v>15745987</v>
      </c>
      <c r="H82" s="45"/>
      <c r="I82" s="45">
        <v>3830254</v>
      </c>
      <c r="J82" s="45"/>
      <c r="K82" s="45">
        <v>5333110</v>
      </c>
      <c r="L82" s="45"/>
      <c r="M82" s="45">
        <v>0</v>
      </c>
      <c r="N82" s="45"/>
      <c r="O82" s="45">
        <v>251377</v>
      </c>
      <c r="P82" s="45"/>
      <c r="Q82" s="45">
        <v>10161500</v>
      </c>
      <c r="R82" s="45"/>
      <c r="S82" s="45">
        <f t="shared" ref="S82:S149" si="15">+Q82+O82+M82</f>
        <v>10412877</v>
      </c>
      <c r="T82" s="45"/>
      <c r="U82" s="44">
        <f t="shared" ref="U82:U149" si="16">+G82-K82-S82</f>
        <v>0</v>
      </c>
      <c r="V82" s="44">
        <f t="shared" ref="V82:V149" si="17">+G82-K82-S82</f>
        <v>0</v>
      </c>
    </row>
    <row r="83" spans="1:22" s="44" customFormat="1" ht="12.75" customHeight="1" x14ac:dyDescent="0.2">
      <c r="A83" s="44" t="s">
        <v>104</v>
      </c>
      <c r="B83" s="51"/>
      <c r="C83" s="44" t="s">
        <v>13</v>
      </c>
      <c r="D83" s="35"/>
      <c r="E83" s="45">
        <f>10336034+16265</f>
        <v>10352299</v>
      </c>
      <c r="F83" s="45"/>
      <c r="G83" s="45">
        <v>14082143</v>
      </c>
      <c r="H83" s="45"/>
      <c r="I83" s="45">
        <v>887783</v>
      </c>
      <c r="J83" s="45"/>
      <c r="K83" s="45">
        <v>2176511</v>
      </c>
      <c r="L83" s="45"/>
      <c r="M83" s="45">
        <f>546413+5000</f>
        <v>551413</v>
      </c>
      <c r="N83" s="45"/>
      <c r="O83" s="45">
        <v>266417</v>
      </c>
      <c r="P83" s="45"/>
      <c r="Q83" s="45">
        <v>11087802</v>
      </c>
      <c r="R83" s="45"/>
      <c r="S83" s="45">
        <f t="shared" si="15"/>
        <v>11905632</v>
      </c>
      <c r="T83" s="45"/>
      <c r="U83" s="44">
        <f t="shared" si="16"/>
        <v>0</v>
      </c>
      <c r="V83" s="44">
        <f t="shared" si="17"/>
        <v>0</v>
      </c>
    </row>
    <row r="84" spans="1:22" s="44" customFormat="1" ht="12.75" customHeight="1" x14ac:dyDescent="0.2">
      <c r="A84" s="44" t="s">
        <v>105</v>
      </c>
      <c r="B84" s="51"/>
      <c r="C84" s="44" t="s">
        <v>27</v>
      </c>
      <c r="D84" s="35"/>
      <c r="E84" s="45">
        <f>1153871+320000</f>
        <v>1473871</v>
      </c>
      <c r="F84" s="45"/>
      <c r="G84" s="45">
        <v>7039499</v>
      </c>
      <c r="H84" s="45"/>
      <c r="I84" s="45">
        <v>4461774</v>
      </c>
      <c r="J84" s="45"/>
      <c r="K84" s="45">
        <v>4845690</v>
      </c>
      <c r="L84" s="45"/>
      <c r="M84" s="45">
        <v>400070</v>
      </c>
      <c r="N84" s="45"/>
      <c r="O84" s="45">
        <v>24301</v>
      </c>
      <c r="P84" s="45"/>
      <c r="Q84" s="45">
        <v>1769438</v>
      </c>
      <c r="R84" s="45"/>
      <c r="S84" s="45">
        <f t="shared" si="15"/>
        <v>2193809</v>
      </c>
      <c r="T84" s="45"/>
      <c r="U84" s="44">
        <f t="shared" si="16"/>
        <v>0</v>
      </c>
      <c r="V84" s="44">
        <f t="shared" si="17"/>
        <v>0</v>
      </c>
    </row>
    <row r="85" spans="1:22" s="44" customFormat="1" ht="12.75" customHeight="1" x14ac:dyDescent="0.2">
      <c r="A85" s="44" t="s">
        <v>106</v>
      </c>
      <c r="B85" s="51"/>
      <c r="C85" s="44" t="s">
        <v>107</v>
      </c>
      <c r="D85" s="35"/>
      <c r="E85" s="45">
        <f>9977895+23301+61514</f>
        <v>10062710</v>
      </c>
      <c r="F85" s="45"/>
      <c r="G85" s="45">
        <v>13128660</v>
      </c>
      <c r="H85" s="45"/>
      <c r="I85" s="45">
        <v>629014</v>
      </c>
      <c r="J85" s="45"/>
      <c r="K85" s="45">
        <v>3885494</v>
      </c>
      <c r="L85" s="45"/>
      <c r="M85" s="45">
        <f>46848+752667+1084266</f>
        <v>1883781</v>
      </c>
      <c r="N85" s="45"/>
      <c r="O85" s="45">
        <v>1237557</v>
      </c>
      <c r="P85" s="45"/>
      <c r="Q85" s="45">
        <v>6121828</v>
      </c>
      <c r="R85" s="45"/>
      <c r="S85" s="45">
        <f t="shared" si="15"/>
        <v>9243166</v>
      </c>
      <c r="T85" s="45"/>
      <c r="U85" s="44">
        <f t="shared" si="16"/>
        <v>0</v>
      </c>
      <c r="V85" s="44">
        <f t="shared" si="17"/>
        <v>0</v>
      </c>
    </row>
    <row r="86" spans="1:22" s="44" customFormat="1" ht="12.75" customHeight="1" x14ac:dyDescent="0.2">
      <c r="A86" s="44" t="s">
        <v>108</v>
      </c>
      <c r="B86" s="65"/>
      <c r="C86" s="44" t="s">
        <v>45</v>
      </c>
      <c r="D86" s="35"/>
      <c r="E86" s="45">
        <v>2940674</v>
      </c>
      <c r="F86" s="45"/>
      <c r="G86" s="45">
        <v>10189503</v>
      </c>
      <c r="H86" s="45"/>
      <c r="I86" s="45">
        <v>6059300</v>
      </c>
      <c r="J86" s="45"/>
      <c r="K86" s="45">
        <v>6538662</v>
      </c>
      <c r="L86" s="45"/>
      <c r="M86" s="45">
        <v>0</v>
      </c>
      <c r="N86" s="45"/>
      <c r="O86" s="45">
        <v>281868</v>
      </c>
      <c r="P86" s="45"/>
      <c r="Q86" s="45">
        <v>3368973</v>
      </c>
      <c r="R86" s="45"/>
      <c r="S86" s="45">
        <f>+Q86+O86+M86</f>
        <v>3650841</v>
      </c>
      <c r="T86" s="45"/>
      <c r="U86" s="44">
        <f>+G86-K86-S86</f>
        <v>0</v>
      </c>
      <c r="V86" s="44">
        <f>+G86-K86-S86</f>
        <v>0</v>
      </c>
    </row>
    <row r="87" spans="1:22" s="44" customFormat="1" ht="12.75" customHeight="1" x14ac:dyDescent="0.2">
      <c r="A87" s="44" t="s">
        <v>109</v>
      </c>
      <c r="C87" s="44" t="s">
        <v>110</v>
      </c>
      <c r="D87" s="35"/>
      <c r="E87" s="45">
        <v>587231</v>
      </c>
      <c r="F87" s="45"/>
      <c r="G87" s="45">
        <v>2796391</v>
      </c>
      <c r="H87" s="45"/>
      <c r="I87" s="45">
        <v>759008</v>
      </c>
      <c r="J87" s="45"/>
      <c r="K87" s="45">
        <v>2126686</v>
      </c>
      <c r="L87" s="45"/>
      <c r="M87" s="45">
        <v>0</v>
      </c>
      <c r="N87" s="45"/>
      <c r="O87" s="45">
        <v>484934</v>
      </c>
      <c r="P87" s="45"/>
      <c r="Q87" s="45">
        <v>184771</v>
      </c>
      <c r="R87" s="45"/>
      <c r="S87" s="45">
        <f t="shared" si="15"/>
        <v>669705</v>
      </c>
      <c r="T87" s="45"/>
      <c r="U87" s="44">
        <f t="shared" si="16"/>
        <v>0</v>
      </c>
      <c r="V87" s="44">
        <f t="shared" si="17"/>
        <v>0</v>
      </c>
    </row>
    <row r="88" spans="1:22" s="44" customFormat="1" ht="12.75" customHeight="1" x14ac:dyDescent="0.2">
      <c r="A88" s="46" t="s">
        <v>43</v>
      </c>
      <c r="B88" s="46"/>
      <c r="C88" s="46" t="s">
        <v>111</v>
      </c>
      <c r="D88" s="64"/>
      <c r="E88" s="45">
        <v>4741810</v>
      </c>
      <c r="F88" s="45"/>
      <c r="G88" s="45">
        <v>6683236</v>
      </c>
      <c r="H88" s="45"/>
      <c r="I88" s="45">
        <v>1265191</v>
      </c>
      <c r="J88" s="45"/>
      <c r="K88" s="45">
        <v>2675392</v>
      </c>
      <c r="L88" s="45"/>
      <c r="M88" s="45">
        <v>17079</v>
      </c>
      <c r="N88" s="45"/>
      <c r="O88" s="45">
        <v>89926</v>
      </c>
      <c r="P88" s="45"/>
      <c r="Q88" s="45">
        <v>3900839</v>
      </c>
      <c r="R88" s="45"/>
      <c r="S88" s="45">
        <f t="shared" si="15"/>
        <v>4007844</v>
      </c>
      <c r="T88" s="45"/>
      <c r="U88" s="44">
        <f t="shared" si="16"/>
        <v>0</v>
      </c>
      <c r="V88" s="44">
        <f t="shared" si="17"/>
        <v>0</v>
      </c>
    </row>
    <row r="89" spans="1:22" s="44" customFormat="1" ht="12.75" customHeight="1" x14ac:dyDescent="0.2">
      <c r="A89" s="44" t="s">
        <v>112</v>
      </c>
      <c r="B89" s="51"/>
      <c r="C89" s="44" t="s">
        <v>76</v>
      </c>
      <c r="D89" s="35"/>
      <c r="E89" s="45">
        <v>5120454</v>
      </c>
      <c r="F89" s="45"/>
      <c r="G89" s="45">
        <v>9398190</v>
      </c>
      <c r="H89" s="45"/>
      <c r="I89" s="45">
        <v>2064103</v>
      </c>
      <c r="J89" s="45"/>
      <c r="K89" s="45">
        <v>3353299</v>
      </c>
      <c r="L89" s="45"/>
      <c r="M89" s="45">
        <v>4086660</v>
      </c>
      <c r="N89" s="45"/>
      <c r="O89" s="45">
        <v>1405927</v>
      </c>
      <c r="P89" s="45"/>
      <c r="Q89" s="45">
        <v>552304</v>
      </c>
      <c r="R89" s="45"/>
      <c r="S89" s="45">
        <f t="shared" si="15"/>
        <v>6044891</v>
      </c>
      <c r="T89" s="45"/>
      <c r="U89" s="44">
        <f t="shared" si="16"/>
        <v>0</v>
      </c>
      <c r="V89" s="44">
        <f t="shared" si="17"/>
        <v>0</v>
      </c>
    </row>
    <row r="90" spans="1:22" s="44" customFormat="1" ht="12.75" customHeight="1" x14ac:dyDescent="0.2">
      <c r="A90" s="44" t="s">
        <v>113</v>
      </c>
      <c r="C90" s="44" t="s">
        <v>43</v>
      </c>
      <c r="D90" s="35"/>
      <c r="E90" s="45">
        <v>20436889</v>
      </c>
      <c r="F90" s="45"/>
      <c r="G90" s="45">
        <v>27137401</v>
      </c>
      <c r="H90" s="45"/>
      <c r="I90" s="45">
        <v>2909773</v>
      </c>
      <c r="J90" s="45"/>
      <c r="K90" s="45">
        <v>5214071</v>
      </c>
      <c r="L90" s="45"/>
      <c r="M90" s="45">
        <f>324995+1559292</f>
        <v>1884287</v>
      </c>
      <c r="N90" s="45"/>
      <c r="O90" s="45">
        <v>3515618</v>
      </c>
      <c r="P90" s="45"/>
      <c r="Q90" s="45">
        <v>16523425</v>
      </c>
      <c r="R90" s="45"/>
      <c r="S90" s="45">
        <f t="shared" si="15"/>
        <v>21923330</v>
      </c>
      <c r="T90" s="45"/>
      <c r="U90" s="44">
        <f t="shared" si="16"/>
        <v>0</v>
      </c>
      <c r="V90" s="44">
        <f t="shared" si="17"/>
        <v>0</v>
      </c>
    </row>
    <row r="91" spans="1:22" s="44" customFormat="1" ht="12.75" customHeight="1" x14ac:dyDescent="0.2">
      <c r="A91" s="46" t="s">
        <v>490</v>
      </c>
      <c r="B91" s="46"/>
      <c r="C91" s="46" t="s">
        <v>57</v>
      </c>
      <c r="D91" s="64"/>
      <c r="E91" s="45">
        <v>4550824</v>
      </c>
      <c r="F91" s="45"/>
      <c r="G91" s="45">
        <v>7493180</v>
      </c>
      <c r="H91" s="45"/>
      <c r="I91" s="45">
        <v>1181199</v>
      </c>
      <c r="J91" s="45"/>
      <c r="K91" s="45">
        <v>1571259</v>
      </c>
      <c r="L91" s="45"/>
      <c r="M91" s="45">
        <f>27002+82049</f>
        <v>109051</v>
      </c>
      <c r="N91" s="45"/>
      <c r="O91" s="45">
        <v>12604</v>
      </c>
      <c r="P91" s="45"/>
      <c r="Q91" s="45">
        <v>5800266</v>
      </c>
      <c r="R91" s="45"/>
      <c r="S91" s="45">
        <f>+Q91+O91+M91</f>
        <v>5921921</v>
      </c>
      <c r="T91" s="45"/>
      <c r="U91" s="44">
        <f>+G91-K91-S91</f>
        <v>0</v>
      </c>
      <c r="V91" s="44">
        <f>+G91-K91-S91</f>
        <v>0</v>
      </c>
    </row>
    <row r="92" spans="1:22" s="44" customFormat="1" ht="12.75" customHeight="1" x14ac:dyDescent="0.2">
      <c r="A92" s="44" t="s">
        <v>114</v>
      </c>
      <c r="B92" s="51"/>
      <c r="C92" s="44" t="s">
        <v>27</v>
      </c>
      <c r="D92" s="35"/>
      <c r="E92" s="45">
        <v>0</v>
      </c>
      <c r="F92" s="45"/>
      <c r="G92" s="45">
        <v>17482932</v>
      </c>
      <c r="H92" s="45"/>
      <c r="I92" s="45">
        <v>16048572</v>
      </c>
      <c r="J92" s="45"/>
      <c r="K92" s="45">
        <v>21578103</v>
      </c>
      <c r="L92" s="45"/>
      <c r="M92" s="45">
        <v>157926</v>
      </c>
      <c r="N92" s="45"/>
      <c r="O92" s="45">
        <v>0</v>
      </c>
      <c r="P92" s="45"/>
      <c r="Q92" s="45">
        <v>-4253097</v>
      </c>
      <c r="R92" s="45"/>
      <c r="S92" s="45">
        <f>+Q92+O92+M92</f>
        <v>-4095171</v>
      </c>
      <c r="T92" s="45"/>
      <c r="U92" s="44">
        <f>+G92-K92-S92</f>
        <v>0</v>
      </c>
      <c r="V92" s="44">
        <f>+G92-K92-S92</f>
        <v>0</v>
      </c>
    </row>
    <row r="93" spans="1:22" s="44" customFormat="1" ht="12.75" customHeight="1" x14ac:dyDescent="0.2">
      <c r="A93" s="44" t="s">
        <v>115</v>
      </c>
      <c r="C93" s="44" t="s">
        <v>19</v>
      </c>
      <c r="D93" s="35"/>
      <c r="E93" s="45">
        <v>1655921</v>
      </c>
      <c r="F93" s="45"/>
      <c r="G93" s="45">
        <v>3229563</v>
      </c>
      <c r="H93" s="45"/>
      <c r="I93" s="45">
        <v>1189057</v>
      </c>
      <c r="J93" s="45"/>
      <c r="K93" s="45">
        <v>1516406</v>
      </c>
      <c r="L93" s="45"/>
      <c r="M93" s="45">
        <v>57126</v>
      </c>
      <c r="N93" s="45"/>
      <c r="O93" s="45">
        <v>48307</v>
      </c>
      <c r="P93" s="45"/>
      <c r="Q93" s="45">
        <v>1607724</v>
      </c>
      <c r="R93" s="45"/>
      <c r="S93" s="45">
        <f t="shared" si="15"/>
        <v>1713157</v>
      </c>
      <c r="T93" s="45"/>
      <c r="U93" s="44">
        <f t="shared" si="16"/>
        <v>0</v>
      </c>
      <c r="V93" s="44">
        <f t="shared" si="17"/>
        <v>0</v>
      </c>
    </row>
    <row r="94" spans="1:22" s="44" customFormat="1" ht="12.75" customHeight="1" x14ac:dyDescent="0.2">
      <c r="A94" s="46" t="s">
        <v>116</v>
      </c>
      <c r="B94" s="46"/>
      <c r="C94" s="46" t="s">
        <v>80</v>
      </c>
      <c r="D94" s="64"/>
      <c r="E94" s="45">
        <f>401907+25866</f>
        <v>427773</v>
      </c>
      <c r="F94" s="45"/>
      <c r="G94" s="45">
        <v>2018282</v>
      </c>
      <c r="H94" s="45"/>
      <c r="I94" s="45">
        <v>1212081</v>
      </c>
      <c r="J94" s="45"/>
      <c r="K94" s="45">
        <v>1392065</v>
      </c>
      <c r="L94" s="45"/>
      <c r="M94" s="45">
        <f>36366+7744</f>
        <v>44110</v>
      </c>
      <c r="N94" s="45"/>
      <c r="O94" s="45">
        <v>61452</v>
      </c>
      <c r="P94" s="45"/>
      <c r="Q94" s="45">
        <v>520655</v>
      </c>
      <c r="R94" s="45"/>
      <c r="S94" s="45">
        <f t="shared" si="15"/>
        <v>626217</v>
      </c>
      <c r="T94" s="45"/>
      <c r="U94" s="44">
        <f t="shared" si="16"/>
        <v>0</v>
      </c>
      <c r="V94" s="44">
        <f t="shared" si="17"/>
        <v>0</v>
      </c>
    </row>
    <row r="95" spans="1:22" s="44" customFormat="1" ht="12.75" customHeight="1" x14ac:dyDescent="0.2">
      <c r="A95" s="44" t="s">
        <v>117</v>
      </c>
      <c r="C95" s="44" t="s">
        <v>43</v>
      </c>
      <c r="D95" s="35"/>
      <c r="E95" s="45">
        <v>3491433</v>
      </c>
      <c r="F95" s="45"/>
      <c r="G95" s="45">
        <v>7240000</v>
      </c>
      <c r="H95" s="45"/>
      <c r="I95" s="45">
        <v>2480797</v>
      </c>
      <c r="J95" s="45"/>
      <c r="K95" s="45">
        <v>3764593</v>
      </c>
      <c r="L95" s="45"/>
      <c r="M95" s="45">
        <f>42468+193500+1419</f>
        <v>237387</v>
      </c>
      <c r="N95" s="45"/>
      <c r="O95" s="45">
        <f>37611+1202856+3199+6254</f>
        <v>1249920</v>
      </c>
      <c r="P95" s="45"/>
      <c r="Q95" s="45">
        <v>1988100</v>
      </c>
      <c r="R95" s="45"/>
      <c r="S95" s="45">
        <f t="shared" si="15"/>
        <v>3475407</v>
      </c>
      <c r="T95" s="45"/>
      <c r="U95" s="44">
        <f t="shared" si="16"/>
        <v>0</v>
      </c>
      <c r="V95" s="44">
        <f t="shared" si="17"/>
        <v>0</v>
      </c>
    </row>
    <row r="96" spans="1:22" s="44" customFormat="1" ht="12.75" customHeight="1" x14ac:dyDescent="0.2">
      <c r="A96" s="44" t="s">
        <v>118</v>
      </c>
      <c r="B96" s="51"/>
      <c r="C96" s="44" t="s">
        <v>13</v>
      </c>
      <c r="D96" s="35"/>
      <c r="E96" s="45">
        <v>30521794</v>
      </c>
      <c r="F96" s="45"/>
      <c r="G96" s="45">
        <v>37211569</v>
      </c>
      <c r="H96" s="45"/>
      <c r="I96" s="45">
        <v>3006042</v>
      </c>
      <c r="J96" s="45"/>
      <c r="K96" s="45">
        <v>3762786</v>
      </c>
      <c r="L96" s="45"/>
      <c r="M96" s="45">
        <v>114091</v>
      </c>
      <c r="N96" s="45"/>
      <c r="O96" s="45">
        <v>8173612</v>
      </c>
      <c r="P96" s="45"/>
      <c r="Q96" s="45">
        <v>25161080</v>
      </c>
      <c r="R96" s="45"/>
      <c r="S96" s="45">
        <f t="shared" si="15"/>
        <v>33448783</v>
      </c>
      <c r="T96" s="45"/>
      <c r="U96" s="44">
        <f t="shared" si="16"/>
        <v>0</v>
      </c>
      <c r="V96" s="44">
        <f t="shared" si="17"/>
        <v>0</v>
      </c>
    </row>
    <row r="97" spans="1:22" s="44" customFormat="1" ht="12.75" customHeight="1" x14ac:dyDescent="0.2">
      <c r="A97" s="44" t="s">
        <v>120</v>
      </c>
      <c r="B97" s="51"/>
      <c r="C97" s="44" t="s">
        <v>121</v>
      </c>
      <c r="D97" s="35"/>
      <c r="E97" s="45">
        <v>2110355</v>
      </c>
      <c r="F97" s="45"/>
      <c r="G97" s="45">
        <v>5158886</v>
      </c>
      <c r="H97" s="45"/>
      <c r="I97" s="45">
        <v>825519</v>
      </c>
      <c r="J97" s="45"/>
      <c r="K97" s="45">
        <v>2419271</v>
      </c>
      <c r="L97" s="45"/>
      <c r="M97" s="45">
        <f>115903+126533</f>
        <v>242436</v>
      </c>
      <c r="N97" s="45"/>
      <c r="O97" s="45">
        <v>773911</v>
      </c>
      <c r="P97" s="45"/>
      <c r="Q97" s="45">
        <v>1723268</v>
      </c>
      <c r="R97" s="45"/>
      <c r="S97" s="45">
        <f t="shared" si="15"/>
        <v>2739615</v>
      </c>
      <c r="T97" s="45"/>
      <c r="U97" s="44">
        <f t="shared" si="16"/>
        <v>0</v>
      </c>
      <c r="V97" s="44">
        <f t="shared" si="17"/>
        <v>0</v>
      </c>
    </row>
    <row r="98" spans="1:22" s="44" customFormat="1" ht="12.75" customHeight="1" x14ac:dyDescent="0.2">
      <c r="A98" s="44" t="s">
        <v>122</v>
      </c>
      <c r="B98" s="51"/>
      <c r="C98" s="44" t="s">
        <v>43</v>
      </c>
      <c r="D98" s="35"/>
      <c r="E98" s="45">
        <v>24105125</v>
      </c>
      <c r="F98" s="45"/>
      <c r="G98" s="45">
        <v>31224051</v>
      </c>
      <c r="H98" s="45"/>
      <c r="I98" s="45">
        <v>4747041</v>
      </c>
      <c r="J98" s="45"/>
      <c r="K98" s="45">
        <v>6056439</v>
      </c>
      <c r="L98" s="45"/>
      <c r="M98" s="45">
        <v>397901</v>
      </c>
      <c r="N98" s="45"/>
      <c r="O98" s="45">
        <v>2997481</v>
      </c>
      <c r="P98" s="45"/>
      <c r="Q98" s="45">
        <v>21772230</v>
      </c>
      <c r="R98" s="45"/>
      <c r="S98" s="45">
        <f t="shared" si="15"/>
        <v>25167612</v>
      </c>
      <c r="T98" s="45"/>
      <c r="U98" s="44">
        <f t="shared" si="16"/>
        <v>0</v>
      </c>
      <c r="V98" s="44">
        <f t="shared" si="17"/>
        <v>0</v>
      </c>
    </row>
    <row r="99" spans="1:22" s="44" customFormat="1" ht="12.75" customHeight="1" x14ac:dyDescent="0.2">
      <c r="A99" s="35" t="s">
        <v>507</v>
      </c>
      <c r="B99" s="51"/>
      <c r="C99" s="35" t="s">
        <v>43</v>
      </c>
      <c r="D99" s="35"/>
      <c r="E99" s="45">
        <v>2937095</v>
      </c>
      <c r="F99" s="45"/>
      <c r="G99" s="45">
        <v>4323033</v>
      </c>
      <c r="H99" s="45"/>
      <c r="I99" s="45">
        <v>470264</v>
      </c>
      <c r="J99" s="45"/>
      <c r="K99" s="45">
        <v>1123869</v>
      </c>
      <c r="L99" s="45"/>
      <c r="M99" s="45">
        <f>162950+56721</f>
        <v>219671</v>
      </c>
      <c r="N99" s="45"/>
      <c r="O99" s="45">
        <v>1581594</v>
      </c>
      <c r="P99" s="45"/>
      <c r="Q99" s="45">
        <v>1397899</v>
      </c>
      <c r="R99" s="45"/>
      <c r="S99" s="45">
        <f t="shared" si="15"/>
        <v>3199164</v>
      </c>
      <c r="T99" s="45"/>
      <c r="U99" s="44">
        <f t="shared" si="16"/>
        <v>0</v>
      </c>
      <c r="V99" s="44">
        <f t="shared" si="17"/>
        <v>0</v>
      </c>
    </row>
    <row r="100" spans="1:22" s="44" customFormat="1" ht="12.75" customHeight="1" x14ac:dyDescent="0.2">
      <c r="A100" s="44" t="s">
        <v>45</v>
      </c>
      <c r="B100" s="51"/>
      <c r="C100" s="44" t="s">
        <v>103</v>
      </c>
      <c r="D100" s="35"/>
      <c r="E100" s="45">
        <v>11207325</v>
      </c>
      <c r="F100" s="45"/>
      <c r="G100" s="45">
        <v>19631206</v>
      </c>
      <c r="H100" s="45"/>
      <c r="I100" s="45">
        <v>5406060</v>
      </c>
      <c r="J100" s="45"/>
      <c r="K100" s="45">
        <v>7724194</v>
      </c>
      <c r="L100" s="45"/>
      <c r="M100" s="45">
        <v>212005</v>
      </c>
      <c r="N100" s="45"/>
      <c r="O100" s="45">
        <v>23388</v>
      </c>
      <c r="P100" s="45"/>
      <c r="Q100" s="45">
        <v>11671619</v>
      </c>
      <c r="R100" s="45"/>
      <c r="S100" s="45">
        <f t="shared" si="15"/>
        <v>11907012</v>
      </c>
      <c r="T100" s="45"/>
      <c r="U100" s="44">
        <f t="shared" si="16"/>
        <v>0</v>
      </c>
      <c r="V100" s="44">
        <f t="shared" si="17"/>
        <v>0</v>
      </c>
    </row>
    <row r="101" spans="1:22" s="44" customFormat="1" ht="12.75" customHeight="1" x14ac:dyDescent="0.2">
      <c r="A101" s="44" t="s">
        <v>123</v>
      </c>
      <c r="B101" s="51"/>
      <c r="C101" s="44" t="s">
        <v>45</v>
      </c>
      <c r="D101" s="35"/>
      <c r="E101" s="45">
        <v>352120</v>
      </c>
      <c r="F101" s="45"/>
      <c r="G101" s="45">
        <v>2652628</v>
      </c>
      <c r="H101" s="45"/>
      <c r="I101" s="45">
        <v>1640469</v>
      </c>
      <c r="J101" s="45"/>
      <c r="K101" s="45">
        <v>1800742</v>
      </c>
      <c r="L101" s="45"/>
      <c r="M101" s="45">
        <v>25744</v>
      </c>
      <c r="N101" s="45"/>
      <c r="O101" s="45">
        <v>35698</v>
      </c>
      <c r="P101" s="45"/>
      <c r="Q101" s="45">
        <v>790444</v>
      </c>
      <c r="R101" s="45"/>
      <c r="S101" s="45">
        <f t="shared" si="15"/>
        <v>851886</v>
      </c>
      <c r="T101" s="45"/>
      <c r="U101" s="44">
        <f t="shared" si="16"/>
        <v>0</v>
      </c>
      <c r="V101" s="44">
        <f t="shared" si="17"/>
        <v>0</v>
      </c>
    </row>
    <row r="102" spans="1:22" s="44" customFormat="1" ht="12.75" customHeight="1" x14ac:dyDescent="0.2">
      <c r="A102" s="44" t="s">
        <v>124</v>
      </c>
      <c r="B102" s="51"/>
      <c r="C102" s="44" t="s">
        <v>125</v>
      </c>
      <c r="D102" s="35"/>
      <c r="E102" s="45">
        <f>619009+2262074</f>
        <v>2881083</v>
      </c>
      <c r="F102" s="45"/>
      <c r="G102" s="45">
        <v>4602104</v>
      </c>
      <c r="H102" s="45"/>
      <c r="I102" s="45">
        <v>869055</v>
      </c>
      <c r="J102" s="45"/>
      <c r="K102" s="45">
        <v>1087360</v>
      </c>
      <c r="L102" s="45"/>
      <c r="M102" s="45">
        <v>108830</v>
      </c>
      <c r="N102" s="45"/>
      <c r="O102" s="45">
        <v>42354</v>
      </c>
      <c r="P102" s="45"/>
      <c r="Q102" s="45">
        <v>3363560</v>
      </c>
      <c r="R102" s="45"/>
      <c r="S102" s="45">
        <f t="shared" si="15"/>
        <v>3514744</v>
      </c>
      <c r="T102" s="45"/>
      <c r="U102" s="44">
        <f t="shared" si="16"/>
        <v>0</v>
      </c>
      <c r="V102" s="44">
        <f t="shared" si="17"/>
        <v>0</v>
      </c>
    </row>
    <row r="103" spans="1:22" s="44" customFormat="1" ht="12.75" customHeight="1" x14ac:dyDescent="0.2">
      <c r="A103" s="44" t="s">
        <v>126</v>
      </c>
      <c r="C103" s="44" t="s">
        <v>27</v>
      </c>
      <c r="D103" s="35"/>
      <c r="E103" s="45">
        <v>7127648</v>
      </c>
      <c r="F103" s="45"/>
      <c r="G103" s="45">
        <v>10582664</v>
      </c>
      <c r="H103" s="45"/>
      <c r="I103" s="45">
        <v>1508196</v>
      </c>
      <c r="J103" s="45"/>
      <c r="K103" s="45">
        <v>2191154</v>
      </c>
      <c r="L103" s="45"/>
      <c r="M103" s="45">
        <v>86770</v>
      </c>
      <c r="N103" s="45"/>
      <c r="O103" s="45">
        <v>64448</v>
      </c>
      <c r="P103" s="45"/>
      <c r="Q103" s="45">
        <v>8240292</v>
      </c>
      <c r="R103" s="45"/>
      <c r="S103" s="45">
        <f t="shared" si="15"/>
        <v>8391510</v>
      </c>
      <c r="T103" s="45"/>
      <c r="U103" s="44">
        <f t="shared" si="16"/>
        <v>0</v>
      </c>
      <c r="V103" s="44">
        <f t="shared" si="17"/>
        <v>0</v>
      </c>
    </row>
    <row r="104" spans="1:22" s="44" customFormat="1" ht="12.75" customHeight="1" x14ac:dyDescent="0.2">
      <c r="A104" s="44" t="s">
        <v>127</v>
      </c>
      <c r="B104" s="51"/>
      <c r="C104" s="44" t="s">
        <v>43</v>
      </c>
      <c r="D104" s="35"/>
      <c r="E104" s="45">
        <v>3654869</v>
      </c>
      <c r="F104" s="45"/>
      <c r="G104" s="45">
        <v>8358768</v>
      </c>
      <c r="H104" s="45"/>
      <c r="I104" s="45">
        <v>2551468</v>
      </c>
      <c r="J104" s="45"/>
      <c r="K104" s="45">
        <v>4549427</v>
      </c>
      <c r="L104" s="45"/>
      <c r="M104" s="45">
        <f>28179+204888</f>
        <v>233067</v>
      </c>
      <c r="N104" s="45"/>
      <c r="O104" s="45">
        <v>520519</v>
      </c>
      <c r="P104" s="45"/>
      <c r="Q104" s="45">
        <v>3055755</v>
      </c>
      <c r="R104" s="45"/>
      <c r="S104" s="45">
        <f t="shared" si="15"/>
        <v>3809341</v>
      </c>
      <c r="T104" s="45"/>
      <c r="U104" s="44">
        <f t="shared" si="16"/>
        <v>0</v>
      </c>
      <c r="V104" s="44">
        <f t="shared" si="17"/>
        <v>0</v>
      </c>
    </row>
    <row r="105" spans="1:22" s="44" customFormat="1" ht="12.75" customHeight="1" x14ac:dyDescent="0.2">
      <c r="A105" s="44" t="s">
        <v>128</v>
      </c>
      <c r="C105" s="44" t="s">
        <v>119</v>
      </c>
      <c r="D105" s="35"/>
      <c r="E105" s="45">
        <v>640997</v>
      </c>
      <c r="F105" s="45"/>
      <c r="G105" s="45">
        <v>2176709</v>
      </c>
      <c r="H105" s="45"/>
      <c r="I105" s="45">
        <v>916421</v>
      </c>
      <c r="J105" s="45"/>
      <c r="K105" s="45">
        <v>1118897</v>
      </c>
      <c r="L105" s="45"/>
      <c r="M105" s="45">
        <v>25869</v>
      </c>
      <c r="N105" s="45"/>
      <c r="O105" s="45">
        <v>191359</v>
      </c>
      <c r="P105" s="45"/>
      <c r="Q105" s="45">
        <v>840584</v>
      </c>
      <c r="R105" s="45"/>
      <c r="S105" s="45">
        <f t="shared" si="15"/>
        <v>1057812</v>
      </c>
      <c r="T105" s="45"/>
      <c r="U105" s="44">
        <f t="shared" si="16"/>
        <v>0</v>
      </c>
      <c r="V105" s="44">
        <f t="shared" si="17"/>
        <v>0</v>
      </c>
    </row>
    <row r="106" spans="1:22" s="44" customFormat="1" ht="12.75" customHeight="1" x14ac:dyDescent="0.2">
      <c r="A106" s="44" t="s">
        <v>129</v>
      </c>
      <c r="B106" s="51"/>
      <c r="C106" s="44" t="s">
        <v>80</v>
      </c>
      <c r="D106" s="35"/>
      <c r="E106" s="45">
        <f>31361+200</f>
        <v>31561</v>
      </c>
      <c r="F106" s="45"/>
      <c r="G106" s="45">
        <v>1444702</v>
      </c>
      <c r="H106" s="45"/>
      <c r="I106" s="45">
        <v>321633</v>
      </c>
      <c r="J106" s="45"/>
      <c r="K106" s="45">
        <v>708321</v>
      </c>
      <c r="L106" s="45"/>
      <c r="M106" s="45">
        <v>13755</v>
      </c>
      <c r="N106" s="45"/>
      <c r="O106" s="45">
        <v>360354</v>
      </c>
      <c r="P106" s="45"/>
      <c r="Q106" s="45">
        <v>362272</v>
      </c>
      <c r="R106" s="45"/>
      <c r="S106" s="45">
        <f t="shared" si="15"/>
        <v>736381</v>
      </c>
      <c r="T106" s="45"/>
      <c r="U106" s="44">
        <f t="shared" si="16"/>
        <v>0</v>
      </c>
      <c r="V106" s="44">
        <f t="shared" si="17"/>
        <v>0</v>
      </c>
    </row>
    <row r="107" spans="1:22" s="44" customFormat="1" ht="12.75" customHeight="1" x14ac:dyDescent="0.2">
      <c r="A107" s="46" t="s">
        <v>130</v>
      </c>
      <c r="B107" s="46"/>
      <c r="C107" s="46" t="s">
        <v>66</v>
      </c>
      <c r="D107" s="64"/>
      <c r="E107" s="45">
        <v>4580472</v>
      </c>
      <c r="F107" s="45"/>
      <c r="G107" s="45">
        <v>9266883</v>
      </c>
      <c r="H107" s="45"/>
      <c r="I107" s="45">
        <v>2440768</v>
      </c>
      <c r="J107" s="45"/>
      <c r="K107" s="45">
        <v>2833357</v>
      </c>
      <c r="L107" s="45"/>
      <c r="M107" s="45">
        <v>37016</v>
      </c>
      <c r="N107" s="45"/>
      <c r="O107" s="45">
        <v>456459</v>
      </c>
      <c r="P107" s="45"/>
      <c r="Q107" s="45">
        <v>5940051</v>
      </c>
      <c r="R107" s="45"/>
      <c r="S107" s="45">
        <f t="shared" si="15"/>
        <v>6433526</v>
      </c>
      <c r="T107" s="45"/>
      <c r="U107" s="44">
        <f t="shared" si="16"/>
        <v>0</v>
      </c>
      <c r="V107" s="44">
        <f t="shared" si="17"/>
        <v>0</v>
      </c>
    </row>
    <row r="108" spans="1:22" s="44" customFormat="1" ht="12.75" customHeight="1" x14ac:dyDescent="0.2">
      <c r="A108" s="44" t="s">
        <v>131</v>
      </c>
      <c r="B108" s="51"/>
      <c r="C108" s="44" t="s">
        <v>13</v>
      </c>
      <c r="D108" s="35"/>
      <c r="E108" s="45">
        <v>9760934</v>
      </c>
      <c r="F108" s="45"/>
      <c r="G108" s="45">
        <v>20813818</v>
      </c>
      <c r="H108" s="45"/>
      <c r="I108" s="45">
        <v>5206848</v>
      </c>
      <c r="J108" s="45"/>
      <c r="K108" s="45">
        <v>5834824</v>
      </c>
      <c r="L108" s="45"/>
      <c r="M108" s="45">
        <v>136007</v>
      </c>
      <c r="N108" s="45"/>
      <c r="O108" s="45">
        <v>525699</v>
      </c>
      <c r="P108" s="45"/>
      <c r="Q108" s="45">
        <v>14317288</v>
      </c>
      <c r="R108" s="45"/>
      <c r="S108" s="45">
        <f t="shared" si="15"/>
        <v>14978994</v>
      </c>
      <c r="T108" s="45"/>
      <c r="U108" s="44">
        <f t="shared" si="16"/>
        <v>0</v>
      </c>
      <c r="V108" s="44">
        <f t="shared" si="17"/>
        <v>0</v>
      </c>
    </row>
    <row r="109" spans="1:22" s="44" customFormat="1" ht="12.75" customHeight="1" x14ac:dyDescent="0.2">
      <c r="A109" s="44" t="s">
        <v>38</v>
      </c>
      <c r="B109" s="51"/>
      <c r="C109" s="44" t="s">
        <v>132</v>
      </c>
      <c r="D109" s="35"/>
      <c r="E109" s="45">
        <v>718085</v>
      </c>
      <c r="F109" s="45"/>
      <c r="G109" s="45">
        <v>1856307</v>
      </c>
      <c r="H109" s="45"/>
      <c r="I109" s="45">
        <v>598489</v>
      </c>
      <c r="J109" s="45"/>
      <c r="K109" s="45">
        <v>768684</v>
      </c>
      <c r="L109" s="45"/>
      <c r="M109" s="45">
        <v>0</v>
      </c>
      <c r="N109" s="45"/>
      <c r="O109" s="45">
        <v>7679</v>
      </c>
      <c r="P109" s="45"/>
      <c r="Q109" s="45">
        <v>1079944</v>
      </c>
      <c r="R109" s="45"/>
      <c r="S109" s="45">
        <f t="shared" si="15"/>
        <v>1087623</v>
      </c>
      <c r="T109" s="45"/>
      <c r="U109" s="44">
        <f t="shared" si="16"/>
        <v>0</v>
      </c>
      <c r="V109" s="44">
        <f t="shared" si="17"/>
        <v>0</v>
      </c>
    </row>
    <row r="110" spans="1:22" s="44" customFormat="1" ht="12.75" customHeight="1" x14ac:dyDescent="0.2">
      <c r="A110" s="44" t="s">
        <v>133</v>
      </c>
      <c r="B110" s="51"/>
      <c r="C110" s="44" t="s">
        <v>27</v>
      </c>
      <c r="D110" s="35"/>
      <c r="E110" s="45">
        <f>7711779+21715</f>
        <v>7733494</v>
      </c>
      <c r="F110" s="45"/>
      <c r="G110" s="45">
        <v>24228191</v>
      </c>
      <c r="H110" s="45"/>
      <c r="I110" s="45">
        <v>2796788</v>
      </c>
      <c r="J110" s="45"/>
      <c r="K110" s="45">
        <v>4077337</v>
      </c>
      <c r="L110" s="45"/>
      <c r="M110" s="45">
        <v>9683982</v>
      </c>
      <c r="N110" s="45"/>
      <c r="O110" s="45">
        <v>1409336</v>
      </c>
      <c r="P110" s="45"/>
      <c r="Q110" s="45">
        <v>9057536</v>
      </c>
      <c r="R110" s="45"/>
      <c r="S110" s="45">
        <f t="shared" si="15"/>
        <v>20150854</v>
      </c>
      <c r="T110" s="45"/>
      <c r="U110" s="44">
        <f t="shared" si="16"/>
        <v>0</v>
      </c>
      <c r="V110" s="44">
        <f t="shared" si="17"/>
        <v>0</v>
      </c>
    </row>
    <row r="111" spans="1:22" s="44" customFormat="1" ht="12.75" customHeight="1" x14ac:dyDescent="0.2">
      <c r="A111" s="44" t="s">
        <v>482</v>
      </c>
      <c r="B111" s="51"/>
      <c r="C111" s="44" t="s">
        <v>45</v>
      </c>
      <c r="D111" s="35"/>
      <c r="E111" s="45">
        <v>10778040</v>
      </c>
      <c r="F111" s="45"/>
      <c r="G111" s="45">
        <v>17940357</v>
      </c>
      <c r="H111" s="45"/>
      <c r="I111" s="45">
        <v>6287332</v>
      </c>
      <c r="J111" s="45"/>
      <c r="K111" s="45">
        <v>7102067</v>
      </c>
      <c r="L111" s="45"/>
      <c r="M111" s="45">
        <v>292071</v>
      </c>
      <c r="N111" s="45"/>
      <c r="O111" s="45">
        <v>0</v>
      </c>
      <c r="P111" s="45"/>
      <c r="Q111" s="45">
        <v>10546219</v>
      </c>
      <c r="R111" s="45"/>
      <c r="S111" s="45">
        <f t="shared" si="15"/>
        <v>10838290</v>
      </c>
      <c r="T111" s="45"/>
      <c r="U111" s="44">
        <f t="shared" si="16"/>
        <v>0</v>
      </c>
      <c r="V111" s="44">
        <f t="shared" si="17"/>
        <v>0</v>
      </c>
    </row>
    <row r="112" spans="1:22" s="44" customFormat="1" ht="12.75" customHeight="1" x14ac:dyDescent="0.2">
      <c r="A112" s="35" t="s">
        <v>134</v>
      </c>
      <c r="B112" s="55"/>
      <c r="C112" s="35" t="s">
        <v>135</v>
      </c>
      <c r="D112" s="35"/>
      <c r="E112" s="45">
        <v>251063</v>
      </c>
      <c r="F112" s="45"/>
      <c r="G112" s="45">
        <v>1177248</v>
      </c>
      <c r="H112" s="45"/>
      <c r="I112" s="45">
        <v>436683</v>
      </c>
      <c r="J112" s="45"/>
      <c r="K112" s="45">
        <v>684400</v>
      </c>
      <c r="L112" s="45"/>
      <c r="M112" s="45">
        <f>20719+11121+337595</f>
        <v>369435</v>
      </c>
      <c r="N112" s="45"/>
      <c r="O112" s="45">
        <v>25253</v>
      </c>
      <c r="P112" s="45"/>
      <c r="Q112" s="45">
        <v>98160</v>
      </c>
      <c r="R112" s="45"/>
      <c r="S112" s="45">
        <f t="shared" si="15"/>
        <v>492848</v>
      </c>
      <c r="T112" s="45"/>
      <c r="U112" s="44">
        <f t="shared" si="16"/>
        <v>0</v>
      </c>
      <c r="V112" s="44">
        <f t="shared" si="17"/>
        <v>0</v>
      </c>
    </row>
    <row r="113" spans="1:22" s="44" customFormat="1" ht="12.75" customHeight="1" x14ac:dyDescent="0.2">
      <c r="A113" s="44" t="s">
        <v>136</v>
      </c>
      <c r="C113" s="44" t="s">
        <v>136</v>
      </c>
      <c r="D113" s="35"/>
      <c r="E113" s="45">
        <v>2369526</v>
      </c>
      <c r="F113" s="45"/>
      <c r="G113" s="45">
        <v>3088336</v>
      </c>
      <c r="H113" s="45"/>
      <c r="I113" s="45">
        <v>108742</v>
      </c>
      <c r="J113" s="45"/>
      <c r="K113" s="45">
        <v>612693</v>
      </c>
      <c r="L113" s="45"/>
      <c r="M113" s="45">
        <v>34579</v>
      </c>
      <c r="N113" s="45"/>
      <c r="O113" s="45">
        <v>595657</v>
      </c>
      <c r="P113" s="45"/>
      <c r="Q113" s="45">
        <v>1845407</v>
      </c>
      <c r="R113" s="45"/>
      <c r="S113" s="45">
        <f t="shared" si="15"/>
        <v>2475643</v>
      </c>
      <c r="T113" s="45"/>
      <c r="U113" s="44">
        <f t="shared" si="16"/>
        <v>0</v>
      </c>
      <c r="V113" s="44">
        <f t="shared" si="17"/>
        <v>0</v>
      </c>
    </row>
    <row r="114" spans="1:22" s="44" customFormat="1" ht="12.75" customHeight="1" x14ac:dyDescent="0.2">
      <c r="A114" s="44" t="s">
        <v>137</v>
      </c>
      <c r="C114" s="44" t="s">
        <v>22</v>
      </c>
      <c r="D114" s="35"/>
      <c r="E114" s="45">
        <v>5319528</v>
      </c>
      <c r="F114" s="45"/>
      <c r="G114" s="45">
        <v>10254156</v>
      </c>
      <c r="H114" s="45"/>
      <c r="I114" s="45">
        <v>1105251</v>
      </c>
      <c r="J114" s="45"/>
      <c r="K114" s="45">
        <v>3026068</v>
      </c>
      <c r="L114" s="45"/>
      <c r="M114" s="45">
        <v>1159430</v>
      </c>
      <c r="N114" s="45"/>
      <c r="O114" s="45">
        <v>2863740</v>
      </c>
      <c r="P114" s="45"/>
      <c r="Q114" s="45">
        <v>3204918</v>
      </c>
      <c r="R114" s="45"/>
      <c r="S114" s="45">
        <f t="shared" si="15"/>
        <v>7228088</v>
      </c>
      <c r="T114" s="45"/>
      <c r="U114" s="44">
        <f t="shared" si="16"/>
        <v>0</v>
      </c>
      <c r="V114" s="44">
        <f t="shared" si="17"/>
        <v>0</v>
      </c>
    </row>
    <row r="115" spans="1:22" s="121" customFormat="1" ht="12.75" hidden="1" customHeight="1" x14ac:dyDescent="0.2">
      <c r="A115" s="121" t="s">
        <v>138</v>
      </c>
      <c r="B115" s="124"/>
      <c r="C115" s="121" t="s">
        <v>139</v>
      </c>
      <c r="D115" s="126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127"/>
      <c r="S115" s="127">
        <f t="shared" si="15"/>
        <v>0</v>
      </c>
      <c r="T115" s="127"/>
      <c r="U115" s="121">
        <f t="shared" si="16"/>
        <v>0</v>
      </c>
      <c r="V115" s="121">
        <f t="shared" si="17"/>
        <v>0</v>
      </c>
    </row>
    <row r="116" spans="1:22" s="44" customFormat="1" ht="12.75" customHeight="1" x14ac:dyDescent="0.2">
      <c r="D116" s="3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8" t="s">
        <v>484</v>
      </c>
      <c r="T116" s="45"/>
    </row>
    <row r="117" spans="1:22" s="44" customFormat="1" ht="12.75" customHeight="1" x14ac:dyDescent="0.2">
      <c r="A117" s="44" t="s">
        <v>140</v>
      </c>
      <c r="B117" s="51"/>
      <c r="C117" s="44" t="s">
        <v>66</v>
      </c>
      <c r="D117" s="35"/>
      <c r="E117" s="94">
        <v>40538022</v>
      </c>
      <c r="F117" s="94"/>
      <c r="G117" s="94">
        <v>54808472</v>
      </c>
      <c r="H117" s="94"/>
      <c r="I117" s="94">
        <v>11020547</v>
      </c>
      <c r="J117" s="94"/>
      <c r="K117" s="94">
        <v>13044413</v>
      </c>
      <c r="L117" s="94"/>
      <c r="M117" s="94">
        <f>23113+55642+355295+57229+153522</f>
        <v>644801</v>
      </c>
      <c r="N117" s="94"/>
      <c r="O117" s="94">
        <v>0</v>
      </c>
      <c r="P117" s="94"/>
      <c r="Q117" s="94">
        <v>41119258</v>
      </c>
      <c r="R117" s="94"/>
      <c r="S117" s="94">
        <f t="shared" si="15"/>
        <v>41764059</v>
      </c>
      <c r="T117" s="45"/>
      <c r="U117" s="44">
        <f t="shared" si="16"/>
        <v>0</v>
      </c>
      <c r="V117" s="44">
        <f t="shared" si="17"/>
        <v>0</v>
      </c>
    </row>
    <row r="118" spans="1:22" s="44" customFormat="1" ht="12.75" customHeight="1" x14ac:dyDescent="0.2">
      <c r="A118" s="44" t="s">
        <v>478</v>
      </c>
      <c r="B118" s="51"/>
      <c r="C118" s="44" t="s">
        <v>92</v>
      </c>
      <c r="D118" s="35"/>
      <c r="E118" s="45">
        <v>563314</v>
      </c>
      <c r="F118" s="45"/>
      <c r="G118" s="45">
        <v>2457253</v>
      </c>
      <c r="H118" s="45"/>
      <c r="I118" s="45">
        <v>1305527</v>
      </c>
      <c r="J118" s="45"/>
      <c r="K118" s="45">
        <v>1655555</v>
      </c>
      <c r="L118" s="45"/>
      <c r="M118" s="45">
        <f>198000+89366</f>
        <v>287366</v>
      </c>
      <c r="N118" s="45"/>
      <c r="O118" s="45">
        <v>2790</v>
      </c>
      <c r="P118" s="45"/>
      <c r="Q118" s="45">
        <v>511542</v>
      </c>
      <c r="R118" s="45"/>
      <c r="S118" s="45">
        <f t="shared" si="15"/>
        <v>801698</v>
      </c>
      <c r="T118" s="45"/>
      <c r="U118" s="44">
        <f t="shared" si="16"/>
        <v>0</v>
      </c>
      <c r="V118" s="44">
        <f t="shared" si="17"/>
        <v>0</v>
      </c>
    </row>
    <row r="119" spans="1:22" s="46" customFormat="1" ht="12.75" customHeight="1" x14ac:dyDescent="0.2">
      <c r="A119" s="44" t="s">
        <v>141</v>
      </c>
      <c r="B119" s="44"/>
      <c r="C119" s="44" t="s">
        <v>27</v>
      </c>
      <c r="D119" s="35"/>
      <c r="E119" s="45">
        <f>5428139+245236+778594</f>
        <v>6451969</v>
      </c>
      <c r="F119" s="45"/>
      <c r="G119" s="45">
        <v>28101471</v>
      </c>
      <c r="H119" s="45"/>
      <c r="I119" s="45">
        <v>17388789</v>
      </c>
      <c r="J119" s="45"/>
      <c r="K119" s="45">
        <v>19198501</v>
      </c>
      <c r="L119" s="45"/>
      <c r="M119" s="45">
        <v>631634</v>
      </c>
      <c r="N119" s="45"/>
      <c r="O119" s="45">
        <v>1103061</v>
      </c>
      <c r="P119" s="45"/>
      <c r="Q119" s="45">
        <v>7168275</v>
      </c>
      <c r="R119" s="45"/>
      <c r="S119" s="45">
        <f t="shared" si="15"/>
        <v>8902970</v>
      </c>
      <c r="T119" s="45"/>
      <c r="U119" s="44">
        <f t="shared" si="16"/>
        <v>0</v>
      </c>
      <c r="V119" s="44">
        <f t="shared" si="17"/>
        <v>0</v>
      </c>
    </row>
    <row r="120" spans="1:22" s="44" customFormat="1" ht="12.75" customHeight="1" x14ac:dyDescent="0.2">
      <c r="A120" s="44" t="s">
        <v>142</v>
      </c>
      <c r="B120" s="51"/>
      <c r="C120" s="44" t="s">
        <v>102</v>
      </c>
      <c r="D120" s="35"/>
      <c r="E120" s="45">
        <f>349429+1393150</f>
        <v>1742579</v>
      </c>
      <c r="F120" s="45"/>
      <c r="G120" s="45">
        <v>9532988</v>
      </c>
      <c r="H120" s="45"/>
      <c r="I120" s="45">
        <v>3615629</v>
      </c>
      <c r="J120" s="45"/>
      <c r="K120" s="45">
        <v>5549226</v>
      </c>
      <c r="L120" s="45"/>
      <c r="M120" s="45">
        <v>211052</v>
      </c>
      <c r="N120" s="45"/>
      <c r="O120" s="45">
        <v>430940</v>
      </c>
      <c r="P120" s="45"/>
      <c r="Q120" s="45">
        <v>3341770</v>
      </c>
      <c r="R120" s="45"/>
      <c r="S120" s="45">
        <f>+Q120+O120+M120</f>
        <v>3983762</v>
      </c>
      <c r="T120" s="45"/>
      <c r="U120" s="44">
        <f t="shared" si="16"/>
        <v>0</v>
      </c>
      <c r="V120" s="44">
        <f t="shared" si="17"/>
        <v>0</v>
      </c>
    </row>
    <row r="121" spans="1:22" s="44" customFormat="1" ht="12.75" customHeight="1" x14ac:dyDescent="0.2">
      <c r="A121" s="44" t="s">
        <v>143</v>
      </c>
      <c r="B121" s="51"/>
      <c r="C121" s="44" t="s">
        <v>111</v>
      </c>
      <c r="D121" s="35"/>
      <c r="E121" s="45">
        <v>4603542</v>
      </c>
      <c r="F121" s="45"/>
      <c r="G121" s="45">
        <v>8731949</v>
      </c>
      <c r="H121" s="45"/>
      <c r="I121" s="45">
        <v>2678241</v>
      </c>
      <c r="J121" s="45"/>
      <c r="K121" s="45">
        <v>3359373</v>
      </c>
      <c r="L121" s="45"/>
      <c r="M121" s="45">
        <v>921909</v>
      </c>
      <c r="N121" s="45"/>
      <c r="O121" s="45">
        <v>183215</v>
      </c>
      <c r="P121" s="45"/>
      <c r="Q121" s="45">
        <v>4267452</v>
      </c>
      <c r="R121" s="45"/>
      <c r="S121" s="45">
        <f>+Q121+O121+M121</f>
        <v>5372576</v>
      </c>
      <c r="T121" s="45"/>
      <c r="U121" s="44">
        <f t="shared" si="16"/>
        <v>0</v>
      </c>
      <c r="V121" s="44">
        <f t="shared" si="17"/>
        <v>0</v>
      </c>
    </row>
    <row r="122" spans="1:22" s="44" customFormat="1" ht="12.75" customHeight="1" x14ac:dyDescent="0.2">
      <c r="A122" s="44" t="s">
        <v>144</v>
      </c>
      <c r="B122" s="51"/>
      <c r="C122" s="44" t="s">
        <v>88</v>
      </c>
      <c r="D122" s="35"/>
      <c r="E122" s="45">
        <v>4907849</v>
      </c>
      <c r="F122" s="45"/>
      <c r="G122" s="45">
        <v>10979923</v>
      </c>
      <c r="H122" s="45"/>
      <c r="I122" s="45">
        <v>3581672</v>
      </c>
      <c r="J122" s="45"/>
      <c r="K122" s="45">
        <v>4971806</v>
      </c>
      <c r="L122" s="45"/>
      <c r="M122" s="45">
        <v>55757</v>
      </c>
      <c r="N122" s="45"/>
      <c r="O122" s="45">
        <v>64602</v>
      </c>
      <c r="P122" s="45"/>
      <c r="Q122" s="45">
        <v>5887758</v>
      </c>
      <c r="R122" s="45"/>
      <c r="S122" s="45">
        <f t="shared" si="15"/>
        <v>6008117</v>
      </c>
      <c r="T122" s="45"/>
      <c r="U122" s="44">
        <f t="shared" si="16"/>
        <v>0</v>
      </c>
      <c r="V122" s="44">
        <f t="shared" si="17"/>
        <v>0</v>
      </c>
    </row>
    <row r="123" spans="1:22" s="44" customFormat="1" ht="12.75" customHeight="1" x14ac:dyDescent="0.2">
      <c r="A123" s="44" t="s">
        <v>36</v>
      </c>
      <c r="B123" s="51"/>
      <c r="C123" s="44" t="s">
        <v>145</v>
      </c>
      <c r="D123" s="35"/>
      <c r="E123" s="45">
        <v>1178354</v>
      </c>
      <c r="F123" s="45"/>
      <c r="G123" s="45">
        <v>2139175</v>
      </c>
      <c r="H123" s="45"/>
      <c r="I123" s="45">
        <v>521943</v>
      </c>
      <c r="J123" s="45"/>
      <c r="K123" s="45">
        <v>752484</v>
      </c>
      <c r="L123" s="45"/>
      <c r="M123" s="45">
        <v>0</v>
      </c>
      <c r="N123" s="45"/>
      <c r="O123" s="45">
        <v>65833</v>
      </c>
      <c r="P123" s="45"/>
      <c r="Q123" s="45">
        <v>1320858</v>
      </c>
      <c r="R123" s="45"/>
      <c r="S123" s="45">
        <f t="shared" si="15"/>
        <v>1386691</v>
      </c>
      <c r="T123" s="45"/>
      <c r="U123" s="44">
        <f t="shared" si="16"/>
        <v>0</v>
      </c>
      <c r="V123" s="44">
        <f t="shared" si="17"/>
        <v>0</v>
      </c>
    </row>
    <row r="124" spans="1:22" s="44" customFormat="1" ht="12.75" customHeight="1" x14ac:dyDescent="0.2">
      <c r="A124" s="44" t="s">
        <v>146</v>
      </c>
      <c r="B124" s="51"/>
      <c r="C124" s="44" t="s">
        <v>147</v>
      </c>
      <c r="D124" s="35"/>
      <c r="E124" s="45">
        <v>1499602</v>
      </c>
      <c r="F124" s="45"/>
      <c r="G124" s="45">
        <v>3501343</v>
      </c>
      <c r="H124" s="45"/>
      <c r="I124" s="45">
        <v>1398953</v>
      </c>
      <c r="J124" s="45"/>
      <c r="K124" s="45">
        <v>1655193</v>
      </c>
      <c r="L124" s="45"/>
      <c r="M124" s="45">
        <f>941+25348</f>
        <v>26289</v>
      </c>
      <c r="N124" s="45"/>
      <c r="O124" s="45">
        <f>27774+872549+27493</f>
        <v>927816</v>
      </c>
      <c r="P124" s="45"/>
      <c r="Q124" s="45">
        <v>892045</v>
      </c>
      <c r="R124" s="45"/>
      <c r="S124" s="45">
        <f t="shared" si="15"/>
        <v>1846150</v>
      </c>
      <c r="T124" s="45"/>
      <c r="U124" s="44">
        <f t="shared" si="16"/>
        <v>0</v>
      </c>
      <c r="V124" s="44">
        <f t="shared" si="17"/>
        <v>0</v>
      </c>
    </row>
    <row r="125" spans="1:22" s="44" customFormat="1" ht="12.75" customHeight="1" x14ac:dyDescent="0.2">
      <c r="A125" s="44" t="s">
        <v>17</v>
      </c>
      <c r="B125" s="51"/>
      <c r="C125" s="44" t="s">
        <v>17</v>
      </c>
      <c r="D125" s="35"/>
      <c r="E125" s="45">
        <f>2009928+100188</f>
        <v>2110116</v>
      </c>
      <c r="F125" s="45"/>
      <c r="G125" s="45">
        <v>12524856</v>
      </c>
      <c r="H125" s="45"/>
      <c r="I125" s="45">
        <v>6252791</v>
      </c>
      <c r="J125" s="45"/>
      <c r="K125" s="45">
        <v>8095173</v>
      </c>
      <c r="L125" s="45"/>
      <c r="M125" s="45">
        <f>265883+81645+216602</f>
        <v>564130</v>
      </c>
      <c r="N125" s="45"/>
      <c r="O125" s="45">
        <v>198749</v>
      </c>
      <c r="P125" s="45"/>
      <c r="Q125" s="45">
        <v>3666804</v>
      </c>
      <c r="R125" s="45"/>
      <c r="S125" s="45">
        <f t="shared" si="15"/>
        <v>4429683</v>
      </c>
      <c r="T125" s="45"/>
      <c r="U125" s="44">
        <f t="shared" si="16"/>
        <v>0</v>
      </c>
      <c r="V125" s="44">
        <f t="shared" si="17"/>
        <v>0</v>
      </c>
    </row>
    <row r="126" spans="1:22" s="46" customFormat="1" ht="12.75" customHeight="1" x14ac:dyDescent="0.2">
      <c r="A126" s="46" t="s">
        <v>148</v>
      </c>
      <c r="C126" s="46" t="s">
        <v>15</v>
      </c>
      <c r="D126" s="64"/>
      <c r="E126" s="45">
        <v>1380414</v>
      </c>
      <c r="F126" s="45"/>
      <c r="G126" s="45">
        <v>2849992</v>
      </c>
      <c r="H126" s="45"/>
      <c r="I126" s="45">
        <v>854305</v>
      </c>
      <c r="J126" s="45"/>
      <c r="K126" s="45">
        <v>1066709</v>
      </c>
      <c r="L126" s="45"/>
      <c r="M126" s="45">
        <v>3678</v>
      </c>
      <c r="N126" s="45"/>
      <c r="O126" s="45">
        <v>28886</v>
      </c>
      <c r="P126" s="45"/>
      <c r="Q126" s="45">
        <v>1750719</v>
      </c>
      <c r="R126" s="45"/>
      <c r="S126" s="45">
        <f t="shared" si="15"/>
        <v>1783283</v>
      </c>
      <c r="T126" s="45"/>
      <c r="U126" s="44">
        <f t="shared" si="16"/>
        <v>0</v>
      </c>
      <c r="V126" s="44">
        <f t="shared" si="17"/>
        <v>0</v>
      </c>
    </row>
    <row r="127" spans="1:22" s="44" customFormat="1" ht="12.75" customHeight="1" x14ac:dyDescent="0.2">
      <c r="A127" s="44" t="s">
        <v>149</v>
      </c>
      <c r="B127" s="51"/>
      <c r="C127" s="44" t="s">
        <v>45</v>
      </c>
      <c r="D127" s="35"/>
      <c r="E127" s="45">
        <v>1786303</v>
      </c>
      <c r="F127" s="45"/>
      <c r="G127" s="45">
        <v>4118790</v>
      </c>
      <c r="H127" s="45"/>
      <c r="I127" s="45">
        <v>1018976</v>
      </c>
      <c r="J127" s="45"/>
      <c r="K127" s="45">
        <v>1237808</v>
      </c>
      <c r="L127" s="45"/>
      <c r="M127" s="45">
        <v>0</v>
      </c>
      <c r="N127" s="45"/>
      <c r="O127" s="45">
        <v>16986</v>
      </c>
      <c r="P127" s="45"/>
      <c r="Q127" s="45">
        <v>2863996</v>
      </c>
      <c r="R127" s="45"/>
      <c r="S127" s="45">
        <f t="shared" si="15"/>
        <v>2880982</v>
      </c>
      <c r="T127" s="45"/>
      <c r="U127" s="44">
        <f t="shared" si="16"/>
        <v>0</v>
      </c>
      <c r="V127" s="44">
        <f t="shared" si="17"/>
        <v>0</v>
      </c>
    </row>
    <row r="128" spans="1:22" s="46" customFormat="1" ht="12.75" customHeight="1" x14ac:dyDescent="0.2">
      <c r="A128" s="44" t="s">
        <v>150</v>
      </c>
      <c r="B128" s="51"/>
      <c r="C128" s="44" t="s">
        <v>27</v>
      </c>
      <c r="D128" s="35"/>
      <c r="E128" s="45">
        <f>3251900+650953</f>
        <v>3902853</v>
      </c>
      <c r="F128" s="45"/>
      <c r="G128" s="45">
        <v>11964355</v>
      </c>
      <c r="H128" s="45"/>
      <c r="I128" s="45">
        <v>6266276</v>
      </c>
      <c r="J128" s="45"/>
      <c r="K128" s="45">
        <v>7053330</v>
      </c>
      <c r="L128" s="45"/>
      <c r="M128" s="45">
        <v>143528</v>
      </c>
      <c r="N128" s="45"/>
      <c r="O128" s="45">
        <v>236152</v>
      </c>
      <c r="P128" s="45"/>
      <c r="Q128" s="45">
        <v>4531345</v>
      </c>
      <c r="R128" s="45"/>
      <c r="S128" s="45">
        <f t="shared" si="15"/>
        <v>4911025</v>
      </c>
      <c r="T128" s="45"/>
      <c r="U128" s="44">
        <f t="shared" si="16"/>
        <v>0</v>
      </c>
      <c r="V128" s="44">
        <f t="shared" si="17"/>
        <v>0</v>
      </c>
    </row>
    <row r="129" spans="1:23" s="44" customFormat="1" ht="12.75" customHeight="1" x14ac:dyDescent="0.2">
      <c r="A129" s="44" t="s">
        <v>151</v>
      </c>
      <c r="C129" s="44" t="s">
        <v>13</v>
      </c>
      <c r="D129" s="35"/>
      <c r="E129" s="45">
        <v>3312272</v>
      </c>
      <c r="F129" s="45"/>
      <c r="G129" s="45">
        <v>7693809</v>
      </c>
      <c r="H129" s="45"/>
      <c r="I129" s="45">
        <v>1829389</v>
      </c>
      <c r="J129" s="45"/>
      <c r="K129" s="45">
        <v>3721528</v>
      </c>
      <c r="L129" s="45"/>
      <c r="M129" s="45">
        <f>12721+11000</f>
        <v>23721</v>
      </c>
      <c r="N129" s="45"/>
      <c r="O129" s="45">
        <v>1972867</v>
      </c>
      <c r="P129" s="45"/>
      <c r="Q129" s="45">
        <v>1975693</v>
      </c>
      <c r="R129" s="45"/>
      <c r="S129" s="45">
        <f t="shared" si="15"/>
        <v>3972281</v>
      </c>
      <c r="T129" s="45"/>
      <c r="U129" s="44">
        <f t="shared" si="16"/>
        <v>0</v>
      </c>
      <c r="V129" s="44">
        <f t="shared" si="17"/>
        <v>0</v>
      </c>
    </row>
    <row r="130" spans="1:23" s="121" customFormat="1" ht="12.75" hidden="1" customHeight="1" x14ac:dyDescent="0.2">
      <c r="A130" s="121" t="s">
        <v>481</v>
      </c>
      <c r="C130" s="121" t="s">
        <v>45</v>
      </c>
      <c r="D130" s="126"/>
      <c r="E130" s="127">
        <v>1755688</v>
      </c>
      <c r="F130" s="127"/>
      <c r="G130" s="127">
        <v>4958859</v>
      </c>
      <c r="H130" s="127"/>
      <c r="I130" s="127">
        <v>2671697</v>
      </c>
      <c r="J130" s="127"/>
      <c r="K130" s="127">
        <v>2903110</v>
      </c>
      <c r="L130" s="127"/>
      <c r="M130" s="127">
        <v>26968</v>
      </c>
      <c r="N130" s="127"/>
      <c r="O130" s="127">
        <v>0</v>
      </c>
      <c r="P130" s="127"/>
      <c r="Q130" s="127">
        <v>2023357</v>
      </c>
      <c r="R130" s="127"/>
      <c r="S130" s="127">
        <f t="shared" si="15"/>
        <v>2050325</v>
      </c>
      <c r="T130" s="127"/>
      <c r="U130" s="121">
        <f t="shared" si="16"/>
        <v>5424</v>
      </c>
      <c r="V130" s="121">
        <f>+G130-K130-S130</f>
        <v>5424</v>
      </c>
      <c r="W130" s="121" t="s">
        <v>502</v>
      </c>
    </row>
    <row r="131" spans="1:23" s="46" customFormat="1" ht="12.75" customHeight="1" x14ac:dyDescent="0.2">
      <c r="A131" s="44" t="s">
        <v>152</v>
      </c>
      <c r="B131" s="51"/>
      <c r="C131" s="44" t="s">
        <v>153</v>
      </c>
      <c r="D131" s="35"/>
      <c r="E131" s="45">
        <v>734046</v>
      </c>
      <c r="F131" s="45"/>
      <c r="G131" s="45">
        <v>7578794</v>
      </c>
      <c r="H131" s="45"/>
      <c r="I131" s="45">
        <v>3549485</v>
      </c>
      <c r="J131" s="45"/>
      <c r="K131" s="45">
        <v>4152296</v>
      </c>
      <c r="L131" s="45"/>
      <c r="M131" s="45">
        <f>49520+102904+6919</f>
        <v>159343</v>
      </c>
      <c r="N131" s="45"/>
      <c r="O131" s="45">
        <v>41657</v>
      </c>
      <c r="P131" s="45"/>
      <c r="Q131" s="45">
        <v>3225498</v>
      </c>
      <c r="R131" s="45"/>
      <c r="S131" s="45">
        <f t="shared" si="15"/>
        <v>3426498</v>
      </c>
      <c r="T131" s="45"/>
      <c r="U131" s="44">
        <f t="shared" si="16"/>
        <v>0</v>
      </c>
      <c r="V131" s="44">
        <f t="shared" si="17"/>
        <v>0</v>
      </c>
    </row>
    <row r="132" spans="1:23" s="44" customFormat="1" ht="12.75" customHeight="1" x14ac:dyDescent="0.2">
      <c r="A132" s="44" t="s">
        <v>154</v>
      </c>
      <c r="B132" s="51"/>
      <c r="C132" s="44" t="s">
        <v>27</v>
      </c>
      <c r="D132" s="35"/>
      <c r="E132" s="45">
        <v>0</v>
      </c>
      <c r="F132" s="45"/>
      <c r="G132" s="45">
        <v>7625930</v>
      </c>
      <c r="H132" s="45"/>
      <c r="I132" s="45">
        <v>6542259</v>
      </c>
      <c r="J132" s="45"/>
      <c r="K132" s="45">
        <v>8217969</v>
      </c>
      <c r="L132" s="45"/>
      <c r="M132" s="45">
        <v>130309</v>
      </c>
      <c r="N132" s="45"/>
      <c r="O132" s="45">
        <v>0</v>
      </c>
      <c r="P132" s="45"/>
      <c r="Q132" s="45">
        <v>-722348</v>
      </c>
      <c r="R132" s="45"/>
      <c r="S132" s="45">
        <f t="shared" si="15"/>
        <v>-592039</v>
      </c>
      <c r="T132" s="45"/>
      <c r="U132" s="44">
        <f t="shared" si="16"/>
        <v>0</v>
      </c>
      <c r="V132" s="44">
        <f t="shared" si="17"/>
        <v>0</v>
      </c>
    </row>
    <row r="133" spans="1:23" s="44" customFormat="1" ht="12.75" customHeight="1" x14ac:dyDescent="0.2">
      <c r="A133" s="44" t="s">
        <v>155</v>
      </c>
      <c r="C133" s="44" t="s">
        <v>40</v>
      </c>
      <c r="D133" s="35"/>
      <c r="E133" s="45">
        <f>2116009+36039+16525</f>
        <v>2168573</v>
      </c>
      <c r="F133" s="45"/>
      <c r="G133" s="45">
        <v>4043028</v>
      </c>
      <c r="H133" s="45"/>
      <c r="I133" s="45">
        <v>820430</v>
      </c>
      <c r="J133" s="45"/>
      <c r="K133" s="45">
        <v>1642569</v>
      </c>
      <c r="L133" s="45"/>
      <c r="M133" s="45">
        <v>109015</v>
      </c>
      <c r="N133" s="45"/>
      <c r="O133" s="45">
        <v>217097</v>
      </c>
      <c r="P133" s="45"/>
      <c r="Q133" s="45">
        <v>2074347</v>
      </c>
      <c r="R133" s="45"/>
      <c r="S133" s="45">
        <f t="shared" si="15"/>
        <v>2400459</v>
      </c>
      <c r="T133" s="45"/>
      <c r="U133" s="44">
        <f t="shared" si="16"/>
        <v>0</v>
      </c>
      <c r="V133" s="44">
        <f t="shared" si="17"/>
        <v>0</v>
      </c>
    </row>
    <row r="134" spans="1:23" s="44" customFormat="1" ht="12.75" customHeight="1" x14ac:dyDescent="0.2">
      <c r="A134" s="44" t="s">
        <v>156</v>
      </c>
      <c r="B134" s="51"/>
      <c r="C134" s="44" t="s">
        <v>156</v>
      </c>
      <c r="D134" s="35"/>
      <c r="E134" s="45">
        <v>14368</v>
      </c>
      <c r="F134" s="45"/>
      <c r="G134" s="45">
        <v>6517250</v>
      </c>
      <c r="H134" s="45"/>
      <c r="I134" s="45">
        <v>4358639</v>
      </c>
      <c r="J134" s="45"/>
      <c r="K134" s="45">
        <v>7639890</v>
      </c>
      <c r="L134" s="45"/>
      <c r="M134" s="45">
        <v>333735</v>
      </c>
      <c r="N134" s="45"/>
      <c r="O134" s="45">
        <v>317605</v>
      </c>
      <c r="P134" s="45"/>
      <c r="Q134" s="45">
        <v>-1773980</v>
      </c>
      <c r="R134" s="45"/>
      <c r="S134" s="45">
        <f t="shared" si="15"/>
        <v>-1122640</v>
      </c>
      <c r="T134" s="45"/>
      <c r="U134" s="44">
        <f t="shared" si="16"/>
        <v>0</v>
      </c>
      <c r="V134" s="44">
        <f t="shared" si="17"/>
        <v>0</v>
      </c>
    </row>
    <row r="135" spans="1:23" s="44" customFormat="1" ht="12.75" customHeight="1" x14ac:dyDescent="0.2">
      <c r="A135" s="44" t="s">
        <v>157</v>
      </c>
      <c r="B135" s="51"/>
      <c r="C135" s="44" t="s">
        <v>33</v>
      </c>
      <c r="D135" s="35"/>
      <c r="E135" s="45">
        <v>193942</v>
      </c>
      <c r="F135" s="45"/>
      <c r="G135" s="45">
        <v>1173756</v>
      </c>
      <c r="H135" s="45"/>
      <c r="I135" s="45">
        <v>652474</v>
      </c>
      <c r="J135" s="45"/>
      <c r="K135" s="45">
        <v>811863</v>
      </c>
      <c r="L135" s="45"/>
      <c r="M135" s="45">
        <v>38627</v>
      </c>
      <c r="N135" s="45"/>
      <c r="O135" s="45">
        <v>13558</v>
      </c>
      <c r="P135" s="45"/>
      <c r="Q135" s="45">
        <v>309708</v>
      </c>
      <c r="R135" s="45"/>
      <c r="S135" s="45">
        <f t="shared" si="15"/>
        <v>361893</v>
      </c>
      <c r="T135" s="45"/>
      <c r="U135" s="44">
        <f t="shared" si="16"/>
        <v>0</v>
      </c>
      <c r="V135" s="44">
        <f t="shared" si="17"/>
        <v>0</v>
      </c>
    </row>
    <row r="136" spans="1:23" s="44" customFormat="1" ht="12.75" customHeight="1" x14ac:dyDescent="0.2">
      <c r="A136" s="44" t="s">
        <v>158</v>
      </c>
      <c r="B136" s="51"/>
      <c r="C136" s="44" t="s">
        <v>159</v>
      </c>
      <c r="D136" s="35"/>
      <c r="E136" s="45">
        <f>8406483+30181</f>
        <v>8436664</v>
      </c>
      <c r="F136" s="45"/>
      <c r="G136" s="45">
        <v>12811417</v>
      </c>
      <c r="H136" s="45"/>
      <c r="I136" s="45">
        <v>2515437</v>
      </c>
      <c r="J136" s="45"/>
      <c r="K136" s="45">
        <v>3145939</v>
      </c>
      <c r="L136" s="45"/>
      <c r="M136" s="45">
        <f>96470+8334</f>
        <v>104804</v>
      </c>
      <c r="N136" s="45"/>
      <c r="O136" s="45">
        <v>217818</v>
      </c>
      <c r="P136" s="45"/>
      <c r="Q136" s="45">
        <v>9342856</v>
      </c>
      <c r="R136" s="45"/>
      <c r="S136" s="45">
        <f t="shared" si="15"/>
        <v>9665478</v>
      </c>
      <c r="T136" s="45"/>
      <c r="U136" s="44">
        <f t="shared" si="16"/>
        <v>0</v>
      </c>
      <c r="V136" s="44">
        <f t="shared" si="17"/>
        <v>0</v>
      </c>
    </row>
    <row r="137" spans="1:23" s="46" customFormat="1" ht="12.75" customHeight="1" x14ac:dyDescent="0.2">
      <c r="A137" s="46" t="s">
        <v>160</v>
      </c>
      <c r="B137" s="66"/>
      <c r="C137" s="46" t="s">
        <v>111</v>
      </c>
      <c r="D137" s="64"/>
      <c r="E137" s="45">
        <v>24552760</v>
      </c>
      <c r="F137" s="45"/>
      <c r="G137" s="45">
        <v>37147471</v>
      </c>
      <c r="H137" s="45"/>
      <c r="I137" s="45">
        <v>3989115</v>
      </c>
      <c r="J137" s="45"/>
      <c r="K137" s="45">
        <v>12280880</v>
      </c>
      <c r="L137" s="45"/>
      <c r="M137" s="45">
        <v>278948</v>
      </c>
      <c r="N137" s="45"/>
      <c r="O137" s="45">
        <v>10426125</v>
      </c>
      <c r="P137" s="45"/>
      <c r="Q137" s="45">
        <v>14161518</v>
      </c>
      <c r="R137" s="45"/>
      <c r="S137" s="45">
        <f t="shared" si="15"/>
        <v>24866591</v>
      </c>
      <c r="T137" s="45"/>
      <c r="U137" s="44">
        <f t="shared" si="16"/>
        <v>0</v>
      </c>
      <c r="V137" s="44">
        <f t="shared" si="17"/>
        <v>0</v>
      </c>
    </row>
    <row r="138" spans="1:23" s="44" customFormat="1" ht="12.75" customHeight="1" x14ac:dyDescent="0.2">
      <c r="A138" s="44" t="s">
        <v>161</v>
      </c>
      <c r="C138" s="44" t="s">
        <v>15</v>
      </c>
      <c r="D138" s="35"/>
      <c r="E138" s="45">
        <f>32962+22251+74148</f>
        <v>129361</v>
      </c>
      <c r="F138" s="45"/>
      <c r="G138" s="45">
        <v>4563745</v>
      </c>
      <c r="H138" s="45"/>
      <c r="I138" s="45">
        <v>2610532</v>
      </c>
      <c r="J138" s="45"/>
      <c r="K138" s="45">
        <v>5746812</v>
      </c>
      <c r="L138" s="45"/>
      <c r="M138" s="45">
        <v>167275</v>
      </c>
      <c r="N138" s="45"/>
      <c r="O138" s="45">
        <v>30984</v>
      </c>
      <c r="P138" s="45"/>
      <c r="Q138" s="45">
        <v>-1381326</v>
      </c>
      <c r="R138" s="45"/>
      <c r="S138" s="45">
        <f t="shared" si="15"/>
        <v>-1183067</v>
      </c>
      <c r="T138" s="45"/>
      <c r="U138" s="44">
        <f t="shared" si="16"/>
        <v>0</v>
      </c>
      <c r="V138" s="44">
        <f t="shared" si="17"/>
        <v>0</v>
      </c>
    </row>
    <row r="139" spans="1:23" s="44" customFormat="1" ht="12.75" customHeight="1" x14ac:dyDescent="0.2">
      <c r="A139" s="44" t="s">
        <v>162</v>
      </c>
      <c r="B139" s="51"/>
      <c r="C139" s="44" t="s">
        <v>163</v>
      </c>
      <c r="D139" s="35"/>
      <c r="E139" s="45">
        <f>1787480+10853753</f>
        <v>12641233</v>
      </c>
      <c r="F139" s="45"/>
      <c r="G139" s="45">
        <v>17209261</v>
      </c>
      <c r="H139" s="45"/>
      <c r="I139" s="45">
        <v>1891074</v>
      </c>
      <c r="J139" s="45"/>
      <c r="K139" s="45">
        <v>2918609</v>
      </c>
      <c r="L139" s="45"/>
      <c r="M139" s="45">
        <v>72887</v>
      </c>
      <c r="N139" s="45"/>
      <c r="O139" s="45">
        <v>41472</v>
      </c>
      <c r="P139" s="45"/>
      <c r="Q139" s="45">
        <v>14176293</v>
      </c>
      <c r="R139" s="45"/>
      <c r="S139" s="45">
        <f t="shared" si="15"/>
        <v>14290652</v>
      </c>
      <c r="T139" s="45"/>
      <c r="U139" s="44">
        <f t="shared" si="16"/>
        <v>0</v>
      </c>
      <c r="V139" s="44">
        <f t="shared" si="17"/>
        <v>0</v>
      </c>
    </row>
    <row r="140" spans="1:23" s="44" customFormat="1" ht="12.75" customHeight="1" x14ac:dyDescent="0.2">
      <c r="A140" s="44" t="s">
        <v>164</v>
      </c>
      <c r="B140" s="51"/>
      <c r="C140" s="44" t="s">
        <v>27</v>
      </c>
      <c r="D140" s="35"/>
      <c r="E140" s="45">
        <f>85810+7859936</f>
        <v>7945746</v>
      </c>
      <c r="F140" s="45"/>
      <c r="G140" s="45">
        <v>16555088</v>
      </c>
      <c r="H140" s="45"/>
      <c r="I140" s="45">
        <v>5526997</v>
      </c>
      <c r="J140" s="45"/>
      <c r="K140" s="45">
        <v>6419902</v>
      </c>
      <c r="L140" s="45"/>
      <c r="M140" s="45">
        <f>123010+455593</f>
        <v>578603</v>
      </c>
      <c r="N140" s="45"/>
      <c r="O140" s="45">
        <v>969442</v>
      </c>
      <c r="P140" s="45"/>
      <c r="Q140" s="45">
        <v>8587141</v>
      </c>
      <c r="R140" s="45"/>
      <c r="S140" s="45">
        <f t="shared" si="15"/>
        <v>10135186</v>
      </c>
      <c r="T140" s="45"/>
      <c r="U140" s="44">
        <f t="shared" si="16"/>
        <v>0</v>
      </c>
      <c r="V140" s="44">
        <f t="shared" si="17"/>
        <v>0</v>
      </c>
    </row>
    <row r="141" spans="1:23" s="44" customFormat="1" ht="12.75" customHeight="1" x14ac:dyDescent="0.2">
      <c r="A141" s="44" t="s">
        <v>53</v>
      </c>
      <c r="B141" s="51"/>
      <c r="C141" s="44" t="s">
        <v>53</v>
      </c>
      <c r="D141" s="35"/>
      <c r="E141" s="45">
        <v>8352883</v>
      </c>
      <c r="F141" s="45"/>
      <c r="G141" s="45">
        <v>13480574</v>
      </c>
      <c r="H141" s="45"/>
      <c r="I141" s="45">
        <v>1984270</v>
      </c>
      <c r="J141" s="45"/>
      <c r="K141" s="45">
        <v>2442016</v>
      </c>
      <c r="L141" s="45"/>
      <c r="M141" s="45">
        <v>75623</v>
      </c>
      <c r="N141" s="45"/>
      <c r="O141" s="45">
        <v>903440</v>
      </c>
      <c r="P141" s="45"/>
      <c r="Q141" s="45">
        <v>10059495</v>
      </c>
      <c r="R141" s="45"/>
      <c r="S141" s="45">
        <f t="shared" si="15"/>
        <v>11038558</v>
      </c>
      <c r="T141" s="45"/>
      <c r="U141" s="44">
        <f t="shared" si="16"/>
        <v>0</v>
      </c>
      <c r="V141" s="44">
        <f t="shared" si="17"/>
        <v>0</v>
      </c>
    </row>
    <row r="142" spans="1:23" s="44" customFormat="1" ht="12.75" customHeight="1" x14ac:dyDescent="0.2">
      <c r="A142" s="44" t="s">
        <v>165</v>
      </c>
      <c r="B142" s="51"/>
      <c r="C142" s="44" t="s">
        <v>92</v>
      </c>
      <c r="D142" s="35"/>
      <c r="E142" s="45">
        <v>15969023</v>
      </c>
      <c r="F142" s="45"/>
      <c r="G142" s="45">
        <v>30890471</v>
      </c>
      <c r="H142" s="45"/>
      <c r="I142" s="45">
        <v>3738000</v>
      </c>
      <c r="J142" s="45"/>
      <c r="K142" s="45">
        <v>5956263</v>
      </c>
      <c r="L142" s="45"/>
      <c r="M142" s="45">
        <f>632706+817000</f>
        <v>1449706</v>
      </c>
      <c r="N142" s="45"/>
      <c r="O142" s="45">
        <v>5080438</v>
      </c>
      <c r="P142" s="45"/>
      <c r="Q142" s="45">
        <v>18404064</v>
      </c>
      <c r="R142" s="45"/>
      <c r="S142" s="45">
        <f t="shared" si="15"/>
        <v>24934208</v>
      </c>
      <c r="T142" s="45"/>
      <c r="U142" s="44">
        <f t="shared" si="16"/>
        <v>0</v>
      </c>
      <c r="V142" s="44">
        <f t="shared" si="17"/>
        <v>0</v>
      </c>
    </row>
    <row r="143" spans="1:23" s="44" customFormat="1" ht="12.75" customHeight="1" x14ac:dyDescent="0.2">
      <c r="A143" s="44" t="s">
        <v>166</v>
      </c>
      <c r="B143" s="51"/>
      <c r="C143" s="44" t="s">
        <v>92</v>
      </c>
      <c r="D143" s="35"/>
      <c r="E143" s="45">
        <v>507926</v>
      </c>
      <c r="F143" s="45"/>
      <c r="G143" s="45">
        <v>1287554</v>
      </c>
      <c r="H143" s="45"/>
      <c r="I143" s="45">
        <v>361928</v>
      </c>
      <c r="J143" s="45"/>
      <c r="K143" s="45">
        <v>993132</v>
      </c>
      <c r="L143" s="45"/>
      <c r="M143" s="45">
        <f>9772+19589</f>
        <v>29361</v>
      </c>
      <c r="N143" s="45"/>
      <c r="O143" s="45">
        <v>44391</v>
      </c>
      <c r="P143" s="45"/>
      <c r="Q143" s="45">
        <v>220670</v>
      </c>
      <c r="R143" s="45"/>
      <c r="S143" s="45">
        <f t="shared" si="15"/>
        <v>294422</v>
      </c>
      <c r="T143" s="45"/>
      <c r="U143" s="44">
        <f t="shared" si="16"/>
        <v>0</v>
      </c>
      <c r="V143" s="44">
        <f>+G143-K143-S143</f>
        <v>0</v>
      </c>
    </row>
    <row r="144" spans="1:23" s="44" customFormat="1" ht="12.75" customHeight="1" x14ac:dyDescent="0.2">
      <c r="A144" s="44" t="s">
        <v>167</v>
      </c>
      <c r="B144" s="51"/>
      <c r="C144" s="44" t="s">
        <v>66</v>
      </c>
      <c r="D144" s="35"/>
      <c r="E144" s="45">
        <f>4950164+72778</f>
        <v>5022942</v>
      </c>
      <c r="F144" s="45"/>
      <c r="G144" s="45">
        <v>13775038</v>
      </c>
      <c r="H144" s="45"/>
      <c r="I144" s="45">
        <v>2212869</v>
      </c>
      <c r="J144" s="45"/>
      <c r="K144" s="45">
        <v>7034724</v>
      </c>
      <c r="L144" s="45"/>
      <c r="M144" s="45">
        <f>4233433+148837</f>
        <v>4382270</v>
      </c>
      <c r="N144" s="45"/>
      <c r="O144" s="45">
        <v>0</v>
      </c>
      <c r="P144" s="45"/>
      <c r="Q144" s="45">
        <v>2358044</v>
      </c>
      <c r="R144" s="45"/>
      <c r="S144" s="45">
        <f t="shared" si="15"/>
        <v>6740314</v>
      </c>
      <c r="T144" s="45"/>
      <c r="U144" s="44">
        <f t="shared" si="16"/>
        <v>0</v>
      </c>
      <c r="V144" s="44">
        <f t="shared" si="17"/>
        <v>0</v>
      </c>
    </row>
    <row r="145" spans="1:22" s="44" customFormat="1" ht="12.75" customHeight="1" x14ac:dyDescent="0.2">
      <c r="A145" s="44" t="s">
        <v>168</v>
      </c>
      <c r="B145" s="51"/>
      <c r="C145" s="44" t="s">
        <v>27</v>
      </c>
      <c r="D145" s="35"/>
      <c r="E145" s="45">
        <v>3181099</v>
      </c>
      <c r="F145" s="45"/>
      <c r="G145" s="45">
        <v>8970833</v>
      </c>
      <c r="H145" s="45"/>
      <c r="I145" s="45">
        <v>2984458</v>
      </c>
      <c r="J145" s="45"/>
      <c r="K145" s="45">
        <v>3897179</v>
      </c>
      <c r="L145" s="45"/>
      <c r="M145" s="45">
        <v>123363</v>
      </c>
      <c r="N145" s="45"/>
      <c r="O145" s="45">
        <v>266188</v>
      </c>
      <c r="P145" s="45"/>
      <c r="Q145" s="45">
        <v>4684103</v>
      </c>
      <c r="R145" s="45"/>
      <c r="S145" s="45">
        <f t="shared" si="15"/>
        <v>5073654</v>
      </c>
      <c r="T145" s="45"/>
      <c r="U145" s="44">
        <f t="shared" si="16"/>
        <v>0</v>
      </c>
      <c r="V145" s="44">
        <f t="shared" si="17"/>
        <v>0</v>
      </c>
    </row>
    <row r="146" spans="1:22" s="44" customFormat="1" ht="12.75" customHeight="1" x14ac:dyDescent="0.2">
      <c r="A146" s="44" t="s">
        <v>169</v>
      </c>
      <c r="B146" s="51"/>
      <c r="C146" s="44" t="s">
        <v>103</v>
      </c>
      <c r="D146" s="35"/>
      <c r="E146" s="45">
        <f>9632049+125541</f>
        <v>9757590</v>
      </c>
      <c r="F146" s="45"/>
      <c r="G146" s="45">
        <v>20493501</v>
      </c>
      <c r="H146" s="45"/>
      <c r="I146" s="45">
        <v>6438107</v>
      </c>
      <c r="J146" s="45"/>
      <c r="K146" s="45">
        <v>8657816</v>
      </c>
      <c r="L146" s="45"/>
      <c r="M146" s="45">
        <f>1859216+2104627+572139</f>
        <v>4535982</v>
      </c>
      <c r="N146" s="45"/>
      <c r="O146" s="45">
        <v>344239</v>
      </c>
      <c r="P146" s="45"/>
      <c r="Q146" s="45">
        <v>6955464</v>
      </c>
      <c r="R146" s="45"/>
      <c r="S146" s="45">
        <f t="shared" si="15"/>
        <v>11835685</v>
      </c>
      <c r="T146" s="45"/>
      <c r="U146" s="44">
        <f t="shared" si="16"/>
        <v>0</v>
      </c>
      <c r="V146" s="44">
        <f t="shared" si="17"/>
        <v>0</v>
      </c>
    </row>
    <row r="147" spans="1:22" s="44" customFormat="1" ht="12.75" customHeight="1" x14ac:dyDescent="0.2">
      <c r="A147" s="44" t="s">
        <v>170</v>
      </c>
      <c r="C147" s="44" t="s">
        <v>171</v>
      </c>
      <c r="D147" s="35"/>
      <c r="E147" s="45">
        <v>3660266</v>
      </c>
      <c r="F147" s="45"/>
      <c r="G147" s="45">
        <v>4815665</v>
      </c>
      <c r="H147" s="45"/>
      <c r="I147" s="45">
        <v>898210</v>
      </c>
      <c r="J147" s="45"/>
      <c r="K147" s="45">
        <v>1420755</v>
      </c>
      <c r="L147" s="45"/>
      <c r="M147" s="45">
        <v>223262</v>
      </c>
      <c r="N147" s="45"/>
      <c r="O147" s="45">
        <v>70923</v>
      </c>
      <c r="P147" s="45"/>
      <c r="Q147" s="45">
        <v>3100725</v>
      </c>
      <c r="R147" s="45"/>
      <c r="S147" s="45">
        <f t="shared" si="15"/>
        <v>3394910</v>
      </c>
      <c r="T147" s="45"/>
      <c r="U147" s="44">
        <f t="shared" si="16"/>
        <v>0</v>
      </c>
      <c r="V147" s="44">
        <f t="shared" si="17"/>
        <v>0</v>
      </c>
    </row>
    <row r="148" spans="1:22" s="44" customFormat="1" ht="12.75" customHeight="1" x14ac:dyDescent="0.2">
      <c r="A148" s="44" t="s">
        <v>172</v>
      </c>
      <c r="B148" s="51"/>
      <c r="C148" s="44" t="s">
        <v>103</v>
      </c>
      <c r="D148" s="35"/>
      <c r="E148" s="45">
        <v>6241997</v>
      </c>
      <c r="F148" s="45"/>
      <c r="G148" s="45">
        <v>8955451</v>
      </c>
      <c r="H148" s="45"/>
      <c r="I148" s="45">
        <v>1669492</v>
      </c>
      <c r="J148" s="45"/>
      <c r="K148" s="45">
        <v>1924607</v>
      </c>
      <c r="L148" s="45"/>
      <c r="M148" s="45">
        <v>35000</v>
      </c>
      <c r="N148" s="45"/>
      <c r="O148" s="45">
        <v>348919</v>
      </c>
      <c r="P148" s="45"/>
      <c r="Q148" s="45">
        <v>6646925</v>
      </c>
      <c r="R148" s="45"/>
      <c r="S148" s="45">
        <f t="shared" si="15"/>
        <v>7030844</v>
      </c>
      <c r="T148" s="45"/>
      <c r="U148" s="44">
        <f t="shared" si="16"/>
        <v>0</v>
      </c>
      <c r="V148" s="44">
        <f t="shared" si="17"/>
        <v>0</v>
      </c>
    </row>
    <row r="149" spans="1:22" s="44" customFormat="1" ht="12.75" customHeight="1" x14ac:dyDescent="0.2">
      <c r="A149" s="44" t="s">
        <v>66</v>
      </c>
      <c r="B149" s="51"/>
      <c r="C149" s="44" t="s">
        <v>45</v>
      </c>
      <c r="D149" s="35"/>
      <c r="E149" s="45">
        <f>6402924+7712545</f>
        <v>14115469</v>
      </c>
      <c r="F149" s="45"/>
      <c r="G149" s="45">
        <v>17795094</v>
      </c>
      <c r="H149" s="45"/>
      <c r="I149" s="45">
        <v>2361883</v>
      </c>
      <c r="J149" s="45"/>
      <c r="K149" s="45">
        <v>2807367</v>
      </c>
      <c r="L149" s="45"/>
      <c r="M149" s="45">
        <f>23350+232456</f>
        <v>255806</v>
      </c>
      <c r="N149" s="45"/>
      <c r="O149" s="45">
        <v>148421</v>
      </c>
      <c r="P149" s="45"/>
      <c r="Q149" s="45">
        <v>14583500</v>
      </c>
      <c r="R149" s="45"/>
      <c r="S149" s="45">
        <f t="shared" si="15"/>
        <v>14987727</v>
      </c>
      <c r="T149" s="45"/>
      <c r="U149" s="44">
        <f t="shared" si="16"/>
        <v>0</v>
      </c>
      <c r="V149" s="44">
        <f t="shared" si="17"/>
        <v>0</v>
      </c>
    </row>
    <row r="150" spans="1:22" s="44" customFormat="1" ht="12.75" customHeight="1" x14ac:dyDescent="0.2">
      <c r="A150" s="44" t="s">
        <v>173</v>
      </c>
      <c r="B150" s="51"/>
      <c r="C150" s="44" t="s">
        <v>66</v>
      </c>
      <c r="D150" s="35"/>
      <c r="E150" s="45">
        <v>4980263</v>
      </c>
      <c r="F150" s="45"/>
      <c r="G150" s="45">
        <v>8328238</v>
      </c>
      <c r="H150" s="45"/>
      <c r="I150" s="45">
        <v>1476045</v>
      </c>
      <c r="J150" s="45"/>
      <c r="K150" s="45">
        <v>2262747</v>
      </c>
      <c r="L150" s="45"/>
      <c r="M150" s="45">
        <f>5314+83005</f>
        <v>88319</v>
      </c>
      <c r="N150" s="45"/>
      <c r="O150" s="45">
        <f>307031+387427</f>
        <v>694458</v>
      </c>
      <c r="P150" s="45"/>
      <c r="Q150" s="45">
        <v>5282714</v>
      </c>
      <c r="R150" s="45"/>
      <c r="S150" s="45">
        <f t="shared" ref="S150:S217" si="18">+Q150+O150+M150</f>
        <v>6065491</v>
      </c>
      <c r="T150" s="45"/>
      <c r="U150" s="44">
        <f t="shared" ref="U150:U217" si="19">+G150-K150-S150</f>
        <v>0</v>
      </c>
      <c r="V150" s="44">
        <f t="shared" ref="V150:V216" si="20">+G150-K150-S150</f>
        <v>0</v>
      </c>
    </row>
    <row r="151" spans="1:22" s="44" customFormat="1" ht="12.75" customHeight="1" x14ac:dyDescent="0.2">
      <c r="A151" s="44" t="s">
        <v>174</v>
      </c>
      <c r="C151" s="44" t="s">
        <v>45</v>
      </c>
      <c r="D151" s="35"/>
      <c r="E151" s="45">
        <v>322098</v>
      </c>
      <c r="F151" s="45"/>
      <c r="G151" s="45">
        <v>1452347</v>
      </c>
      <c r="H151" s="45"/>
      <c r="I151" s="45">
        <v>965547</v>
      </c>
      <c r="J151" s="45"/>
      <c r="K151" s="45">
        <v>1194614</v>
      </c>
      <c r="L151" s="45"/>
      <c r="M151" s="45">
        <v>0</v>
      </c>
      <c r="N151" s="45"/>
      <c r="O151" s="45">
        <v>843</v>
      </c>
      <c r="P151" s="45"/>
      <c r="Q151" s="45">
        <v>256890</v>
      </c>
      <c r="R151" s="45"/>
      <c r="S151" s="45">
        <f t="shared" si="18"/>
        <v>257733</v>
      </c>
      <c r="T151" s="45"/>
      <c r="U151" s="44">
        <f t="shared" si="19"/>
        <v>0</v>
      </c>
      <c r="V151" s="44">
        <f t="shared" si="20"/>
        <v>0</v>
      </c>
    </row>
    <row r="152" spans="1:22" s="44" customFormat="1" ht="12.75" customHeight="1" x14ac:dyDescent="0.2">
      <c r="A152" s="44" t="s">
        <v>175</v>
      </c>
      <c r="B152" s="51"/>
      <c r="C152" s="44" t="s">
        <v>176</v>
      </c>
      <c r="D152" s="35"/>
      <c r="E152" s="45">
        <f>286992+2785141</f>
        <v>3072133</v>
      </c>
      <c r="F152" s="45"/>
      <c r="G152" s="45">
        <v>6974394</v>
      </c>
      <c r="H152" s="45"/>
      <c r="I152" s="45">
        <v>1773778</v>
      </c>
      <c r="J152" s="45"/>
      <c r="K152" s="45">
        <v>2270171</v>
      </c>
      <c r="L152" s="45"/>
      <c r="M152" s="45">
        <f>130262+8080+16480</f>
        <v>154822</v>
      </c>
      <c r="N152" s="45"/>
      <c r="O152" s="45">
        <v>374348</v>
      </c>
      <c r="P152" s="45"/>
      <c r="Q152" s="45">
        <v>4175053</v>
      </c>
      <c r="R152" s="45"/>
      <c r="S152" s="45">
        <f t="shared" si="18"/>
        <v>4704223</v>
      </c>
      <c r="T152" s="45"/>
      <c r="U152" s="44">
        <f t="shared" si="19"/>
        <v>0</v>
      </c>
      <c r="V152" s="44">
        <f t="shared" si="20"/>
        <v>0</v>
      </c>
    </row>
    <row r="153" spans="1:22" s="44" customFormat="1" ht="12.75" customHeight="1" x14ac:dyDescent="0.2">
      <c r="A153" s="44" t="s">
        <v>177</v>
      </c>
      <c r="B153" s="51"/>
      <c r="C153" s="44" t="s">
        <v>13</v>
      </c>
      <c r="D153" s="35"/>
      <c r="E153" s="45">
        <v>1815303</v>
      </c>
      <c r="F153" s="45"/>
      <c r="G153" s="45">
        <v>2595934</v>
      </c>
      <c r="H153" s="45"/>
      <c r="I153" s="45">
        <v>451743</v>
      </c>
      <c r="J153" s="45"/>
      <c r="K153" s="45">
        <v>507943</v>
      </c>
      <c r="L153" s="45"/>
      <c r="M153" s="45">
        <f>52821+107355</f>
        <v>160176</v>
      </c>
      <c r="N153" s="45"/>
      <c r="O153" s="45">
        <v>6293</v>
      </c>
      <c r="P153" s="45"/>
      <c r="Q153" s="45">
        <v>1921522</v>
      </c>
      <c r="R153" s="45"/>
      <c r="S153" s="45">
        <f t="shared" si="18"/>
        <v>2087991</v>
      </c>
      <c r="T153" s="45"/>
      <c r="U153" s="44">
        <f t="shared" si="19"/>
        <v>0</v>
      </c>
      <c r="V153" s="44">
        <f t="shared" si="20"/>
        <v>0</v>
      </c>
    </row>
    <row r="154" spans="1:22" s="44" customFormat="1" ht="12.75" customHeight="1" x14ac:dyDescent="0.2">
      <c r="A154" s="44" t="s">
        <v>178</v>
      </c>
      <c r="B154" s="51"/>
      <c r="C154" s="44" t="s">
        <v>179</v>
      </c>
      <c r="D154" s="35"/>
      <c r="E154" s="45">
        <v>1268637</v>
      </c>
      <c r="F154" s="45"/>
      <c r="G154" s="45">
        <v>2688924</v>
      </c>
      <c r="H154" s="45"/>
      <c r="I154" s="45">
        <v>490130</v>
      </c>
      <c r="J154" s="45"/>
      <c r="K154" s="45">
        <v>737017</v>
      </c>
      <c r="L154" s="45"/>
      <c r="M154" s="45">
        <f>1606+85960</f>
        <v>87566</v>
      </c>
      <c r="N154" s="45"/>
      <c r="O154" s="45">
        <v>42032</v>
      </c>
      <c r="P154" s="45"/>
      <c r="Q154" s="45">
        <v>1822309</v>
      </c>
      <c r="R154" s="45"/>
      <c r="S154" s="45">
        <f t="shared" si="18"/>
        <v>1951907</v>
      </c>
      <c r="T154" s="45"/>
      <c r="U154" s="44">
        <f t="shared" si="19"/>
        <v>0</v>
      </c>
      <c r="V154" s="44">
        <f t="shared" si="20"/>
        <v>0</v>
      </c>
    </row>
    <row r="155" spans="1:22" s="44" customFormat="1" ht="12.75" customHeight="1" x14ac:dyDescent="0.2">
      <c r="A155" s="44" t="s">
        <v>180</v>
      </c>
      <c r="B155" s="51"/>
      <c r="C155" s="44" t="s">
        <v>20</v>
      </c>
      <c r="D155" s="35"/>
      <c r="E155" s="45">
        <f>1459143+19949</f>
        <v>1479092</v>
      </c>
      <c r="F155" s="45"/>
      <c r="G155" s="45">
        <v>2035442</v>
      </c>
      <c r="H155" s="45"/>
      <c r="I155" s="45">
        <v>420688</v>
      </c>
      <c r="J155" s="45"/>
      <c r="K155" s="45">
        <v>531404</v>
      </c>
      <c r="L155" s="45"/>
      <c r="M155" s="45">
        <f>47566+13189</f>
        <v>60755</v>
      </c>
      <c r="N155" s="45"/>
      <c r="O155" s="45">
        <v>18057</v>
      </c>
      <c r="P155" s="45"/>
      <c r="Q155" s="45">
        <v>1425226</v>
      </c>
      <c r="R155" s="45"/>
      <c r="S155" s="45">
        <f t="shared" si="18"/>
        <v>1504038</v>
      </c>
      <c r="T155" s="45"/>
      <c r="U155" s="44">
        <f t="shared" si="19"/>
        <v>0</v>
      </c>
      <c r="V155" s="44">
        <f t="shared" si="20"/>
        <v>0</v>
      </c>
    </row>
    <row r="156" spans="1:22" s="44" customFormat="1" ht="12.75" customHeight="1" x14ac:dyDescent="0.2">
      <c r="A156" s="44" t="s">
        <v>508</v>
      </c>
      <c r="B156" s="47"/>
      <c r="C156" s="44" t="s">
        <v>43</v>
      </c>
      <c r="D156" s="35"/>
      <c r="E156" s="45">
        <f>7905141+82385</f>
        <v>7987526</v>
      </c>
      <c r="F156" s="45"/>
      <c r="G156" s="45">
        <v>11931259</v>
      </c>
      <c r="H156" s="45"/>
      <c r="I156" s="45">
        <v>164045</v>
      </c>
      <c r="J156" s="45"/>
      <c r="K156" s="45">
        <v>2131592</v>
      </c>
      <c r="L156" s="45"/>
      <c r="M156" s="45">
        <f>400810+31124</f>
        <v>431934</v>
      </c>
      <c r="N156" s="45"/>
      <c r="O156" s="45">
        <v>174156</v>
      </c>
      <c r="P156" s="45"/>
      <c r="Q156" s="45">
        <v>9193577</v>
      </c>
      <c r="R156" s="45"/>
      <c r="S156" s="45">
        <f t="shared" si="18"/>
        <v>9799667</v>
      </c>
      <c r="T156" s="45"/>
      <c r="U156" s="44">
        <f t="shared" si="19"/>
        <v>0</v>
      </c>
      <c r="V156" s="44">
        <f t="shared" si="20"/>
        <v>0</v>
      </c>
    </row>
    <row r="157" spans="1:22" s="44" customFormat="1" ht="12.75" customHeight="1" x14ac:dyDescent="0.2">
      <c r="A157" s="44" t="s">
        <v>182</v>
      </c>
      <c r="B157" s="51"/>
      <c r="C157" s="44" t="s">
        <v>183</v>
      </c>
      <c r="D157" s="35"/>
      <c r="E157" s="45">
        <v>157400</v>
      </c>
      <c r="F157" s="45"/>
      <c r="G157" s="45">
        <v>1144979</v>
      </c>
      <c r="H157" s="45"/>
      <c r="I157" s="45">
        <v>615643</v>
      </c>
      <c r="J157" s="45"/>
      <c r="K157" s="45">
        <v>781933</v>
      </c>
      <c r="L157" s="45"/>
      <c r="M157" s="45">
        <v>31163</v>
      </c>
      <c r="N157" s="45"/>
      <c r="O157" s="45">
        <v>326329</v>
      </c>
      <c r="P157" s="45"/>
      <c r="Q157" s="45">
        <v>5554</v>
      </c>
      <c r="R157" s="45"/>
      <c r="S157" s="45">
        <f t="shared" si="18"/>
        <v>363046</v>
      </c>
      <c r="T157" s="45"/>
      <c r="U157" s="44">
        <f t="shared" si="19"/>
        <v>0</v>
      </c>
      <c r="V157" s="44">
        <f t="shared" si="20"/>
        <v>0</v>
      </c>
    </row>
    <row r="158" spans="1:22" s="44" customFormat="1" ht="12.75" customHeight="1" x14ac:dyDescent="0.2">
      <c r="A158" s="44" t="s">
        <v>487</v>
      </c>
      <c r="B158" s="51"/>
      <c r="C158" s="44" t="s">
        <v>13</v>
      </c>
      <c r="D158" s="35"/>
      <c r="E158" s="45">
        <v>769153</v>
      </c>
      <c r="F158" s="45"/>
      <c r="G158" s="45">
        <v>1715499</v>
      </c>
      <c r="H158" s="45"/>
      <c r="I158" s="45">
        <v>490968</v>
      </c>
      <c r="J158" s="45"/>
      <c r="K158" s="45">
        <v>540440</v>
      </c>
      <c r="L158" s="45"/>
      <c r="M158" s="45">
        <v>0</v>
      </c>
      <c r="N158" s="45"/>
      <c r="O158" s="45">
        <v>38426</v>
      </c>
      <c r="P158" s="45"/>
      <c r="Q158" s="45">
        <v>1136633</v>
      </c>
      <c r="R158" s="45"/>
      <c r="S158" s="45">
        <f>+Q158+O158+M158</f>
        <v>1175059</v>
      </c>
      <c r="T158" s="45"/>
      <c r="U158" s="44">
        <f>+G158-K158-S158</f>
        <v>0</v>
      </c>
      <c r="V158" s="44">
        <f>+G158-K158-S158</f>
        <v>0</v>
      </c>
    </row>
    <row r="159" spans="1:22" s="44" customFormat="1" ht="12.75" customHeight="1" x14ac:dyDescent="0.2">
      <c r="A159" s="44" t="s">
        <v>184</v>
      </c>
      <c r="B159" s="51"/>
      <c r="C159" s="44" t="s">
        <v>89</v>
      </c>
      <c r="D159" s="35"/>
      <c r="E159" s="45">
        <v>1604416</v>
      </c>
      <c r="F159" s="45"/>
      <c r="G159" s="45">
        <v>5557786</v>
      </c>
      <c r="H159" s="45"/>
      <c r="I159" s="45">
        <v>3319543</v>
      </c>
      <c r="J159" s="45"/>
      <c r="K159" s="45">
        <v>3720222</v>
      </c>
      <c r="L159" s="45"/>
      <c r="M159" s="45">
        <v>28076</v>
      </c>
      <c r="N159" s="45"/>
      <c r="O159" s="45">
        <v>49034</v>
      </c>
      <c r="P159" s="45"/>
      <c r="Q159" s="45">
        <v>1760454</v>
      </c>
      <c r="R159" s="45"/>
      <c r="S159" s="45">
        <f t="shared" si="18"/>
        <v>1837564</v>
      </c>
      <c r="T159" s="45"/>
      <c r="U159" s="44">
        <f t="shared" si="19"/>
        <v>0</v>
      </c>
      <c r="V159" s="44">
        <f t="shared" si="20"/>
        <v>0</v>
      </c>
    </row>
    <row r="160" spans="1:22" s="44" customFormat="1" ht="12.75" customHeight="1" x14ac:dyDescent="0.2">
      <c r="A160" s="44" t="s">
        <v>181</v>
      </c>
      <c r="B160" s="51"/>
      <c r="C160" s="44" t="s">
        <v>125</v>
      </c>
      <c r="D160" s="35"/>
      <c r="E160" s="45">
        <v>2514556</v>
      </c>
      <c r="F160" s="45"/>
      <c r="G160" s="45">
        <v>10162649</v>
      </c>
      <c r="H160" s="45"/>
      <c r="I160" s="45">
        <v>4599446</v>
      </c>
      <c r="J160" s="45"/>
      <c r="K160" s="45">
        <v>6126027</v>
      </c>
      <c r="L160" s="45"/>
      <c r="M160" s="45">
        <v>115987</v>
      </c>
      <c r="N160" s="45"/>
      <c r="O160" s="45">
        <v>534701</v>
      </c>
      <c r="P160" s="45"/>
      <c r="Q160" s="45">
        <v>3385934</v>
      </c>
      <c r="R160" s="45"/>
      <c r="S160" s="45">
        <f t="shared" si="18"/>
        <v>4036622</v>
      </c>
      <c r="T160" s="45"/>
      <c r="U160" s="44">
        <f t="shared" si="19"/>
        <v>0</v>
      </c>
      <c r="V160" s="44">
        <f t="shared" si="20"/>
        <v>0</v>
      </c>
    </row>
    <row r="161" spans="1:22" s="44" customFormat="1" ht="12.75" customHeight="1" x14ac:dyDescent="0.2">
      <c r="A161" s="44" t="s">
        <v>185</v>
      </c>
      <c r="C161" s="44" t="s">
        <v>80</v>
      </c>
      <c r="D161" s="35"/>
      <c r="E161" s="45">
        <v>4908679</v>
      </c>
      <c r="F161" s="45"/>
      <c r="G161" s="45">
        <v>12415841</v>
      </c>
      <c r="H161" s="45"/>
      <c r="I161" s="45">
        <v>1670888</v>
      </c>
      <c r="J161" s="45"/>
      <c r="K161" s="45">
        <v>2416227</v>
      </c>
      <c r="L161" s="45"/>
      <c r="M161" s="45">
        <v>1099829</v>
      </c>
      <c r="N161" s="45"/>
      <c r="O161" s="45">
        <v>3393734</v>
      </c>
      <c r="P161" s="45"/>
      <c r="Q161" s="45">
        <v>5506051</v>
      </c>
      <c r="R161" s="45"/>
      <c r="S161" s="45">
        <f t="shared" si="18"/>
        <v>9999614</v>
      </c>
      <c r="T161" s="45"/>
      <c r="U161" s="44">
        <f t="shared" si="19"/>
        <v>0</v>
      </c>
      <c r="V161" s="44">
        <f>+G161-K161-S161</f>
        <v>0</v>
      </c>
    </row>
    <row r="162" spans="1:22" s="44" customFormat="1" ht="12.75" customHeight="1" x14ac:dyDescent="0.2">
      <c r="A162" s="44" t="s">
        <v>186</v>
      </c>
      <c r="B162" s="51"/>
      <c r="C162" s="44" t="s">
        <v>15</v>
      </c>
      <c r="D162" s="35"/>
      <c r="E162" s="45">
        <f>3738232+657000</f>
        <v>4395232</v>
      </c>
      <c r="F162" s="45"/>
      <c r="G162" s="45">
        <v>6817071</v>
      </c>
      <c r="H162" s="45"/>
      <c r="I162" s="45">
        <v>934734</v>
      </c>
      <c r="J162" s="45"/>
      <c r="K162" s="45">
        <v>2084039</v>
      </c>
      <c r="L162" s="45"/>
      <c r="M162" s="45">
        <f>24826+1839023</f>
        <v>1863849</v>
      </c>
      <c r="N162" s="45"/>
      <c r="O162" s="45">
        <v>2365977</v>
      </c>
      <c r="P162" s="45"/>
      <c r="Q162" s="45">
        <v>503206</v>
      </c>
      <c r="R162" s="45"/>
      <c r="S162" s="45">
        <f t="shared" si="18"/>
        <v>4733032</v>
      </c>
      <c r="T162" s="45"/>
      <c r="U162" s="44">
        <f t="shared" si="19"/>
        <v>0</v>
      </c>
      <c r="V162" s="44">
        <f t="shared" si="20"/>
        <v>0</v>
      </c>
    </row>
    <row r="163" spans="1:22" s="44" customFormat="1" ht="12.75" customHeight="1" x14ac:dyDescent="0.2">
      <c r="A163" s="44" t="s">
        <v>187</v>
      </c>
      <c r="C163" s="44" t="s">
        <v>27</v>
      </c>
      <c r="D163" s="35"/>
      <c r="E163" s="45">
        <v>4411229</v>
      </c>
      <c r="F163" s="45"/>
      <c r="G163" s="45">
        <v>13928735</v>
      </c>
      <c r="H163" s="45"/>
      <c r="I163" s="45">
        <v>6504663</v>
      </c>
      <c r="J163" s="45"/>
      <c r="K163" s="45">
        <v>7389792</v>
      </c>
      <c r="L163" s="45"/>
      <c r="M163" s="45">
        <v>910466</v>
      </c>
      <c r="N163" s="45"/>
      <c r="O163" s="45">
        <v>875618</v>
      </c>
      <c r="P163" s="45"/>
      <c r="Q163" s="45">
        <v>4752859</v>
      </c>
      <c r="R163" s="45"/>
      <c r="S163" s="45">
        <f t="shared" si="18"/>
        <v>6538943</v>
      </c>
      <c r="T163" s="45"/>
      <c r="U163" s="44">
        <f t="shared" si="19"/>
        <v>0</v>
      </c>
      <c r="V163" s="44">
        <f t="shared" si="20"/>
        <v>0</v>
      </c>
    </row>
    <row r="164" spans="1:22" s="44" customFormat="1" ht="12.75" customHeight="1" x14ac:dyDescent="0.2">
      <c r="A164" s="44" t="s">
        <v>189</v>
      </c>
      <c r="B164" s="51"/>
      <c r="C164" s="44" t="s">
        <v>17</v>
      </c>
      <c r="D164" s="35"/>
      <c r="E164" s="45">
        <v>4629365</v>
      </c>
      <c r="F164" s="45"/>
      <c r="G164" s="45">
        <v>9007176</v>
      </c>
      <c r="H164" s="45"/>
      <c r="I164" s="45">
        <v>3112800</v>
      </c>
      <c r="J164" s="45"/>
      <c r="K164" s="45">
        <v>3758828</v>
      </c>
      <c r="L164" s="45"/>
      <c r="M164" s="45">
        <f>45500+449432</f>
        <v>494932</v>
      </c>
      <c r="N164" s="45"/>
      <c r="O164" s="45">
        <v>75088</v>
      </c>
      <c r="P164" s="45"/>
      <c r="Q164" s="45">
        <v>4678328</v>
      </c>
      <c r="R164" s="45"/>
      <c r="S164" s="45">
        <f t="shared" si="18"/>
        <v>5248348</v>
      </c>
      <c r="T164" s="45"/>
      <c r="U164" s="44">
        <f t="shared" si="19"/>
        <v>0</v>
      </c>
      <c r="V164" s="44">
        <f t="shared" si="20"/>
        <v>0</v>
      </c>
    </row>
    <row r="165" spans="1:22" s="44" customFormat="1" ht="12.75" customHeight="1" x14ac:dyDescent="0.2">
      <c r="A165" s="44" t="s">
        <v>188</v>
      </c>
      <c r="B165" s="51"/>
      <c r="C165" s="44" t="s">
        <v>27</v>
      </c>
      <c r="D165" s="35"/>
      <c r="E165" s="45">
        <v>714027</v>
      </c>
      <c r="F165" s="45"/>
      <c r="G165" s="45">
        <v>6625102</v>
      </c>
      <c r="H165" s="45"/>
      <c r="I165" s="45">
        <v>2997538</v>
      </c>
      <c r="J165" s="45"/>
      <c r="K165" s="45">
        <v>3946041</v>
      </c>
      <c r="L165" s="45"/>
      <c r="M165" s="45">
        <f>97478+466317</f>
        <v>563795</v>
      </c>
      <c r="N165" s="45"/>
      <c r="O165" s="45">
        <v>100132</v>
      </c>
      <c r="P165" s="45"/>
      <c r="Q165" s="45">
        <v>2015134</v>
      </c>
      <c r="R165" s="45"/>
      <c r="S165" s="45">
        <f t="shared" si="18"/>
        <v>2679061</v>
      </c>
      <c r="T165" s="45"/>
      <c r="U165" s="44">
        <f t="shared" si="19"/>
        <v>0</v>
      </c>
      <c r="V165" s="44">
        <f t="shared" si="20"/>
        <v>0</v>
      </c>
    </row>
    <row r="166" spans="1:22" s="44" customFormat="1" ht="12.75" customHeight="1" x14ac:dyDescent="0.2">
      <c r="A166" s="44" t="s">
        <v>190</v>
      </c>
      <c r="B166" s="51"/>
      <c r="C166" s="44" t="s">
        <v>47</v>
      </c>
      <c r="D166" s="35"/>
      <c r="E166" s="45">
        <f>352975+1143341</f>
        <v>1496316</v>
      </c>
      <c r="F166" s="45"/>
      <c r="G166" s="45">
        <v>2910140</v>
      </c>
      <c r="H166" s="45"/>
      <c r="I166" s="45">
        <v>871601</v>
      </c>
      <c r="J166" s="45"/>
      <c r="K166" s="45">
        <v>1170456</v>
      </c>
      <c r="L166" s="45"/>
      <c r="M166" s="45">
        <v>49963</v>
      </c>
      <c r="N166" s="45"/>
      <c r="O166" s="45">
        <v>0</v>
      </c>
      <c r="P166" s="45"/>
      <c r="Q166" s="45">
        <v>1689721</v>
      </c>
      <c r="R166" s="45"/>
      <c r="S166" s="45">
        <f t="shared" si="18"/>
        <v>1739684</v>
      </c>
      <c r="T166" s="45"/>
      <c r="U166" s="44">
        <f t="shared" si="19"/>
        <v>0</v>
      </c>
      <c r="V166" s="44">
        <f t="shared" si="20"/>
        <v>0</v>
      </c>
    </row>
    <row r="167" spans="1:22" s="44" customFormat="1" ht="12.75" customHeight="1" x14ac:dyDescent="0.2">
      <c r="A167" s="44" t="s">
        <v>191</v>
      </c>
      <c r="C167" s="44" t="s">
        <v>13</v>
      </c>
      <c r="D167" s="35"/>
      <c r="E167" s="45">
        <f>2535482+25720+70541+5320</f>
        <v>2637063</v>
      </c>
      <c r="F167" s="45"/>
      <c r="G167" s="45">
        <v>4913281</v>
      </c>
      <c r="H167" s="45"/>
      <c r="I167" s="45">
        <v>1406387</v>
      </c>
      <c r="J167" s="45"/>
      <c r="K167" s="45">
        <v>1721198</v>
      </c>
      <c r="L167" s="45"/>
      <c r="M167" s="45">
        <f>333195+5416+253670</f>
        <v>592281</v>
      </c>
      <c r="N167" s="45"/>
      <c r="O167" s="45">
        <v>161650</v>
      </c>
      <c r="P167" s="45"/>
      <c r="Q167" s="45">
        <v>2438152</v>
      </c>
      <c r="R167" s="45"/>
      <c r="S167" s="45">
        <f t="shared" si="18"/>
        <v>3192083</v>
      </c>
      <c r="T167" s="45"/>
      <c r="U167" s="44">
        <f t="shared" si="19"/>
        <v>0</v>
      </c>
      <c r="V167" s="44">
        <f t="shared" si="20"/>
        <v>0</v>
      </c>
    </row>
    <row r="168" spans="1:22" s="44" customFormat="1" ht="12.75" customHeight="1" x14ac:dyDescent="0.2">
      <c r="B168" s="51"/>
      <c r="D168" s="3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8" t="s">
        <v>484</v>
      </c>
      <c r="T168" s="45"/>
    </row>
    <row r="169" spans="1:22" s="44" customFormat="1" ht="12.75" customHeight="1" x14ac:dyDescent="0.2">
      <c r="A169" s="44" t="s">
        <v>192</v>
      </c>
      <c r="B169" s="51"/>
      <c r="C169" s="44" t="s">
        <v>38</v>
      </c>
      <c r="D169" s="35"/>
      <c r="E169" s="94">
        <f>1738827+3135</f>
        <v>1741962</v>
      </c>
      <c r="F169" s="94"/>
      <c r="G169" s="94">
        <v>3989995</v>
      </c>
      <c r="H169" s="94"/>
      <c r="I169" s="94">
        <v>358934</v>
      </c>
      <c r="J169" s="94"/>
      <c r="K169" s="94">
        <v>1175897</v>
      </c>
      <c r="L169" s="94"/>
      <c r="M169" s="94">
        <v>0</v>
      </c>
      <c r="N169" s="94"/>
      <c r="O169" s="94">
        <v>52878</v>
      </c>
      <c r="P169" s="94"/>
      <c r="Q169" s="94">
        <v>2761220</v>
      </c>
      <c r="R169" s="94"/>
      <c r="S169" s="94">
        <f t="shared" si="18"/>
        <v>2814098</v>
      </c>
      <c r="T169" s="45"/>
      <c r="U169" s="44">
        <f t="shared" si="19"/>
        <v>0</v>
      </c>
      <c r="V169" s="44">
        <f t="shared" si="20"/>
        <v>0</v>
      </c>
    </row>
    <row r="170" spans="1:22" s="46" customFormat="1" ht="12.75" customHeight="1" x14ac:dyDescent="0.2">
      <c r="A170" s="46" t="s">
        <v>193</v>
      </c>
      <c r="C170" s="46" t="s">
        <v>45</v>
      </c>
      <c r="D170" s="64"/>
      <c r="E170" s="45">
        <v>296524</v>
      </c>
      <c r="F170" s="45"/>
      <c r="G170" s="45">
        <v>5968311</v>
      </c>
      <c r="H170" s="45"/>
      <c r="I170" s="45">
        <v>4322116</v>
      </c>
      <c r="J170" s="45"/>
      <c r="K170" s="45">
        <v>6090799</v>
      </c>
      <c r="L170" s="45"/>
      <c r="M170" s="45">
        <v>2203</v>
      </c>
      <c r="N170" s="45"/>
      <c r="O170" s="45">
        <v>54638</v>
      </c>
      <c r="P170" s="45"/>
      <c r="Q170" s="45">
        <v>-179329</v>
      </c>
      <c r="R170" s="45"/>
      <c r="S170" s="45">
        <f t="shared" si="18"/>
        <v>-122488</v>
      </c>
      <c r="T170" s="45"/>
      <c r="U170" s="44">
        <f t="shared" si="19"/>
        <v>0</v>
      </c>
      <c r="V170" s="44">
        <f t="shared" si="20"/>
        <v>0</v>
      </c>
    </row>
    <row r="171" spans="1:22" s="44" customFormat="1" ht="12.75" customHeight="1" x14ac:dyDescent="0.2">
      <c r="A171" s="44" t="s">
        <v>194</v>
      </c>
      <c r="B171" s="51"/>
      <c r="C171" s="44" t="s">
        <v>66</v>
      </c>
      <c r="D171" s="35"/>
      <c r="E171" s="45">
        <f>7839319+10753</f>
        <v>7850072</v>
      </c>
      <c r="F171" s="45"/>
      <c r="G171" s="45">
        <v>11768190</v>
      </c>
      <c r="H171" s="45"/>
      <c r="I171" s="45">
        <v>3144528</v>
      </c>
      <c r="J171" s="45"/>
      <c r="K171" s="45">
        <v>6363265</v>
      </c>
      <c r="L171" s="45"/>
      <c r="M171" s="45">
        <f>63617+13076+2987866</f>
        <v>3064559</v>
      </c>
      <c r="N171" s="45"/>
      <c r="O171" s="45">
        <v>30378</v>
      </c>
      <c r="P171" s="45"/>
      <c r="Q171" s="45">
        <v>2309988</v>
      </c>
      <c r="R171" s="45"/>
      <c r="S171" s="45">
        <f t="shared" si="18"/>
        <v>5404925</v>
      </c>
      <c r="T171" s="45"/>
      <c r="U171" s="44">
        <f t="shared" si="19"/>
        <v>0</v>
      </c>
      <c r="V171" s="44">
        <f>+G171-K171-S171</f>
        <v>0</v>
      </c>
    </row>
    <row r="172" spans="1:22" s="44" customFormat="1" ht="12.75" customHeight="1" x14ac:dyDescent="0.2">
      <c r="A172" s="44" t="s">
        <v>195</v>
      </c>
      <c r="B172" s="51"/>
      <c r="C172" s="44" t="s">
        <v>17</v>
      </c>
      <c r="D172" s="35"/>
      <c r="E172" s="45">
        <f>763928+8441714</f>
        <v>9205642</v>
      </c>
      <c r="F172" s="45"/>
      <c r="G172" s="45">
        <v>11181066</v>
      </c>
      <c r="H172" s="45"/>
      <c r="I172" s="45">
        <v>821486</v>
      </c>
      <c r="J172" s="45"/>
      <c r="K172" s="45">
        <v>1076568</v>
      </c>
      <c r="L172" s="45"/>
      <c r="M172" s="45">
        <v>15935</v>
      </c>
      <c r="N172" s="45"/>
      <c r="O172" s="45">
        <v>160859</v>
      </c>
      <c r="P172" s="45"/>
      <c r="Q172" s="45">
        <v>9927704</v>
      </c>
      <c r="R172" s="45"/>
      <c r="S172" s="45">
        <f t="shared" si="18"/>
        <v>10104498</v>
      </c>
      <c r="T172" s="45"/>
      <c r="U172" s="44">
        <f t="shared" si="19"/>
        <v>0</v>
      </c>
      <c r="V172" s="44">
        <f t="shared" si="20"/>
        <v>0</v>
      </c>
    </row>
    <row r="173" spans="1:22" s="44" customFormat="1" ht="12.75" customHeight="1" x14ac:dyDescent="0.2">
      <c r="A173" s="44" t="s">
        <v>196</v>
      </c>
      <c r="B173" s="51"/>
      <c r="C173" s="44" t="s">
        <v>27</v>
      </c>
      <c r="D173" s="35"/>
      <c r="E173" s="45">
        <v>870793</v>
      </c>
      <c r="F173" s="45"/>
      <c r="G173" s="45">
        <v>3511970</v>
      </c>
      <c r="H173" s="45"/>
      <c r="I173" s="45">
        <v>1719646</v>
      </c>
      <c r="J173" s="45"/>
      <c r="K173" s="45">
        <v>1894226</v>
      </c>
      <c r="L173" s="45"/>
      <c r="M173" s="45">
        <f>97904+25000</f>
        <v>122904</v>
      </c>
      <c r="N173" s="45"/>
      <c r="O173" s="45">
        <v>39164</v>
      </c>
      <c r="P173" s="45"/>
      <c r="Q173" s="45">
        <v>1455676</v>
      </c>
      <c r="R173" s="45"/>
      <c r="S173" s="45">
        <f t="shared" si="18"/>
        <v>1617744</v>
      </c>
      <c r="T173" s="45"/>
      <c r="U173" s="44">
        <f t="shared" si="19"/>
        <v>0</v>
      </c>
      <c r="V173" s="44">
        <f t="shared" si="20"/>
        <v>0</v>
      </c>
    </row>
    <row r="174" spans="1:22" s="121" customFormat="1" ht="12.75" customHeight="1" x14ac:dyDescent="0.2">
      <c r="A174" s="44" t="s">
        <v>386</v>
      </c>
      <c r="B174" s="51"/>
      <c r="C174" s="44" t="s">
        <v>153</v>
      </c>
      <c r="D174" s="35"/>
      <c r="E174" s="45">
        <v>3512560</v>
      </c>
      <c r="F174" s="45"/>
      <c r="G174" s="45">
        <v>5148295</v>
      </c>
      <c r="H174" s="45"/>
      <c r="I174" s="45">
        <v>866163</v>
      </c>
      <c r="J174" s="45"/>
      <c r="K174" s="45">
        <v>1427774</v>
      </c>
      <c r="L174" s="45"/>
      <c r="M174" s="45">
        <v>86864</v>
      </c>
      <c r="N174" s="45"/>
      <c r="O174" s="45">
        <v>0</v>
      </c>
      <c r="P174" s="45"/>
      <c r="Q174" s="45">
        <v>3633657</v>
      </c>
      <c r="R174" s="45"/>
      <c r="S174" s="45">
        <f>+Q174+O174+M174</f>
        <v>3720521</v>
      </c>
      <c r="T174" s="45"/>
      <c r="U174" s="44">
        <f t="shared" si="19"/>
        <v>0</v>
      </c>
      <c r="V174" s="44">
        <f t="shared" si="20"/>
        <v>0</v>
      </c>
    </row>
    <row r="175" spans="1:22" s="44" customFormat="1" ht="12.75" customHeight="1" x14ac:dyDescent="0.2">
      <c r="A175" s="46" t="s">
        <v>197</v>
      </c>
      <c r="B175" s="46"/>
      <c r="C175" s="46" t="s">
        <v>163</v>
      </c>
      <c r="D175" s="64"/>
      <c r="E175" s="45">
        <f>1316754+21589056</f>
        <v>22905810</v>
      </c>
      <c r="F175" s="45"/>
      <c r="G175" s="45">
        <v>29084381</v>
      </c>
      <c r="H175" s="45"/>
      <c r="I175" s="45">
        <v>1857458</v>
      </c>
      <c r="J175" s="45"/>
      <c r="K175" s="45">
        <v>2925314</v>
      </c>
      <c r="L175" s="45"/>
      <c r="M175" s="45">
        <f>526721+181025</f>
        <v>707746</v>
      </c>
      <c r="N175" s="45"/>
      <c r="O175" s="45">
        <v>307501</v>
      </c>
      <c r="P175" s="45"/>
      <c r="Q175" s="45">
        <v>25143820</v>
      </c>
      <c r="R175" s="45"/>
      <c r="S175" s="45">
        <f t="shared" si="18"/>
        <v>26159067</v>
      </c>
      <c r="T175" s="45"/>
      <c r="U175" s="44">
        <f t="shared" si="19"/>
        <v>0</v>
      </c>
      <c r="V175" s="44">
        <f t="shared" si="20"/>
        <v>0</v>
      </c>
    </row>
    <row r="176" spans="1:22" s="44" customFormat="1" ht="12.75" customHeight="1" x14ac:dyDescent="0.2">
      <c r="A176" s="44" t="s">
        <v>198</v>
      </c>
      <c r="B176" s="51"/>
      <c r="C176" s="44" t="s">
        <v>199</v>
      </c>
      <c r="D176" s="35"/>
      <c r="E176" s="45">
        <v>3139615</v>
      </c>
      <c r="F176" s="45"/>
      <c r="G176" s="45">
        <v>5343900</v>
      </c>
      <c r="H176" s="45"/>
      <c r="I176" s="45">
        <v>1018103</v>
      </c>
      <c r="J176" s="45"/>
      <c r="K176" s="45">
        <v>1369375</v>
      </c>
      <c r="L176" s="45"/>
      <c r="M176" s="45">
        <v>105065</v>
      </c>
      <c r="N176" s="45"/>
      <c r="O176" s="45">
        <v>130210</v>
      </c>
      <c r="P176" s="45"/>
      <c r="Q176" s="45">
        <v>3739250</v>
      </c>
      <c r="R176" s="45"/>
      <c r="S176" s="45">
        <f t="shared" si="18"/>
        <v>3974525</v>
      </c>
      <c r="T176" s="45"/>
      <c r="U176" s="44">
        <f t="shared" si="19"/>
        <v>0</v>
      </c>
      <c r="V176" s="44">
        <f t="shared" si="20"/>
        <v>0</v>
      </c>
    </row>
    <row r="177" spans="1:22" s="44" customFormat="1" ht="12.75" customHeight="1" x14ac:dyDescent="0.2">
      <c r="A177" s="44" t="s">
        <v>200</v>
      </c>
      <c r="B177" s="51"/>
      <c r="C177" s="44" t="s">
        <v>103</v>
      </c>
      <c r="D177" s="35"/>
      <c r="E177" s="45">
        <v>7332236</v>
      </c>
      <c r="F177" s="45"/>
      <c r="G177" s="45">
        <v>10345261</v>
      </c>
      <c r="H177" s="45"/>
      <c r="I177" s="45">
        <v>1864698</v>
      </c>
      <c r="J177" s="45"/>
      <c r="K177" s="45">
        <v>2282876</v>
      </c>
      <c r="L177" s="45"/>
      <c r="M177" s="45">
        <v>70385</v>
      </c>
      <c r="N177" s="45"/>
      <c r="O177" s="45">
        <v>85710</v>
      </c>
      <c r="P177" s="45"/>
      <c r="Q177" s="45">
        <v>7906290</v>
      </c>
      <c r="R177" s="45"/>
      <c r="S177" s="45">
        <f t="shared" si="18"/>
        <v>8062385</v>
      </c>
      <c r="T177" s="45"/>
      <c r="U177" s="44">
        <f t="shared" si="19"/>
        <v>0</v>
      </c>
      <c r="V177" s="44">
        <f t="shared" si="20"/>
        <v>0</v>
      </c>
    </row>
    <row r="178" spans="1:22" s="44" customFormat="1" ht="12.75" customHeight="1" x14ac:dyDescent="0.2">
      <c r="A178" s="44" t="s">
        <v>201</v>
      </c>
      <c r="C178" s="44" t="s">
        <v>92</v>
      </c>
      <c r="D178" s="35"/>
      <c r="E178" s="45">
        <v>5128975</v>
      </c>
      <c r="F178" s="45"/>
      <c r="G178" s="45">
        <v>8871780</v>
      </c>
      <c r="H178" s="45"/>
      <c r="I178" s="45">
        <v>1101858</v>
      </c>
      <c r="J178" s="45"/>
      <c r="K178" s="45">
        <v>1704955</v>
      </c>
      <c r="L178" s="45"/>
      <c r="M178" s="45">
        <v>996297</v>
      </c>
      <c r="N178" s="45"/>
      <c r="O178" s="45">
        <v>416777</v>
      </c>
      <c r="P178" s="45"/>
      <c r="Q178" s="45">
        <v>5753751</v>
      </c>
      <c r="R178" s="45"/>
      <c r="S178" s="45">
        <f t="shared" si="18"/>
        <v>7166825</v>
      </c>
      <c r="T178" s="45"/>
      <c r="U178" s="44">
        <f t="shared" si="19"/>
        <v>0</v>
      </c>
      <c r="V178" s="44">
        <f t="shared" si="20"/>
        <v>0</v>
      </c>
    </row>
    <row r="179" spans="1:22" s="44" customFormat="1" ht="12.75" customHeight="1" x14ac:dyDescent="0.2">
      <c r="A179" s="44" t="s">
        <v>202</v>
      </c>
      <c r="B179" s="51"/>
      <c r="C179" s="44" t="s">
        <v>27</v>
      </c>
      <c r="D179" s="35"/>
      <c r="E179" s="45">
        <f>4677136+752</f>
        <v>4677888</v>
      </c>
      <c r="F179" s="45"/>
      <c r="G179" s="45">
        <v>17344218</v>
      </c>
      <c r="H179" s="45"/>
      <c r="I179" s="45">
        <v>8730374</v>
      </c>
      <c r="J179" s="45"/>
      <c r="K179" s="45">
        <v>10754459</v>
      </c>
      <c r="L179" s="45"/>
      <c r="M179" s="45">
        <f>209559+174670</f>
        <v>384229</v>
      </c>
      <c r="N179" s="45"/>
      <c r="O179" s="45">
        <v>0</v>
      </c>
      <c r="P179" s="45"/>
      <c r="Q179" s="45">
        <v>6205530</v>
      </c>
      <c r="R179" s="45"/>
      <c r="S179" s="45">
        <f t="shared" si="18"/>
        <v>6589759</v>
      </c>
      <c r="T179" s="45"/>
      <c r="U179" s="44">
        <f t="shared" si="19"/>
        <v>0</v>
      </c>
      <c r="V179" s="44">
        <f t="shared" si="20"/>
        <v>0</v>
      </c>
    </row>
    <row r="180" spans="1:22" s="44" customFormat="1" ht="12.75" customHeight="1" x14ac:dyDescent="0.2">
      <c r="A180" s="46" t="s">
        <v>203</v>
      </c>
      <c r="B180" s="46"/>
      <c r="C180" s="46" t="s">
        <v>27</v>
      </c>
      <c r="D180" s="64"/>
      <c r="E180" s="45">
        <v>1364589</v>
      </c>
      <c r="F180" s="45"/>
      <c r="G180" s="45">
        <v>8589020</v>
      </c>
      <c r="H180" s="45"/>
      <c r="I180" s="45">
        <v>5987727</v>
      </c>
      <c r="J180" s="45"/>
      <c r="K180" s="45">
        <v>6956384</v>
      </c>
      <c r="L180" s="45"/>
      <c r="M180" s="45">
        <f>85410+252978</f>
        <v>338388</v>
      </c>
      <c r="N180" s="45"/>
      <c r="O180" s="45">
        <v>9521</v>
      </c>
      <c r="P180" s="45"/>
      <c r="Q180" s="45">
        <v>1284727</v>
      </c>
      <c r="R180" s="45"/>
      <c r="S180" s="45">
        <f t="shared" si="18"/>
        <v>1632636</v>
      </c>
      <c r="T180" s="45"/>
      <c r="U180" s="44">
        <f t="shared" si="19"/>
        <v>0</v>
      </c>
      <c r="V180" s="44">
        <f t="shared" si="20"/>
        <v>0</v>
      </c>
    </row>
    <row r="181" spans="1:22" s="44" customFormat="1" ht="12.75" customHeight="1" x14ac:dyDescent="0.2">
      <c r="A181" s="44" t="s">
        <v>204</v>
      </c>
      <c r="B181" s="51"/>
      <c r="C181" s="44" t="s">
        <v>125</v>
      </c>
      <c r="D181" s="35"/>
      <c r="E181" s="45">
        <v>1293604</v>
      </c>
      <c r="F181" s="45"/>
      <c r="G181" s="45">
        <v>2544952</v>
      </c>
      <c r="H181" s="45"/>
      <c r="I181" s="45">
        <v>142271</v>
      </c>
      <c r="J181" s="45"/>
      <c r="K181" s="45">
        <v>967920</v>
      </c>
      <c r="L181" s="45"/>
      <c r="M181" s="45">
        <f>7442+200186</f>
        <v>207628</v>
      </c>
      <c r="N181" s="45"/>
      <c r="O181" s="45">
        <v>958541</v>
      </c>
      <c r="P181" s="45"/>
      <c r="Q181" s="45">
        <v>410863</v>
      </c>
      <c r="R181" s="45"/>
      <c r="S181" s="45">
        <f t="shared" si="18"/>
        <v>1577032</v>
      </c>
      <c r="T181" s="45"/>
      <c r="U181" s="44">
        <f t="shared" si="19"/>
        <v>0</v>
      </c>
      <c r="V181" s="44">
        <f t="shared" si="20"/>
        <v>0</v>
      </c>
    </row>
    <row r="182" spans="1:22" s="46" customFormat="1" ht="12.75" customHeight="1" x14ac:dyDescent="0.2">
      <c r="A182" s="46" t="s">
        <v>205</v>
      </c>
      <c r="C182" s="46" t="s">
        <v>27</v>
      </c>
      <c r="D182" s="64"/>
      <c r="E182" s="45">
        <v>2182762</v>
      </c>
      <c r="F182" s="45"/>
      <c r="G182" s="45">
        <v>5746616</v>
      </c>
      <c r="H182" s="45"/>
      <c r="I182" s="45">
        <v>2698512</v>
      </c>
      <c r="J182" s="45"/>
      <c r="K182" s="45">
        <v>2973717</v>
      </c>
      <c r="L182" s="45"/>
      <c r="M182" s="45">
        <v>230887</v>
      </c>
      <c r="N182" s="45"/>
      <c r="O182" s="45">
        <v>182940</v>
      </c>
      <c r="P182" s="45"/>
      <c r="Q182" s="45">
        <v>2359072</v>
      </c>
      <c r="R182" s="45"/>
      <c r="S182" s="45">
        <f t="shared" si="18"/>
        <v>2772899</v>
      </c>
      <c r="T182" s="45"/>
      <c r="U182" s="44">
        <f t="shared" si="19"/>
        <v>0</v>
      </c>
      <c r="V182" s="44">
        <f t="shared" si="20"/>
        <v>0</v>
      </c>
    </row>
    <row r="183" spans="1:22" s="44" customFormat="1" ht="12.75" customHeight="1" x14ac:dyDescent="0.2">
      <c r="A183" s="44" t="s">
        <v>206</v>
      </c>
      <c r="C183" s="44" t="s">
        <v>47</v>
      </c>
      <c r="D183" s="35"/>
      <c r="E183" s="45">
        <f>957439+3553982</f>
        <v>4511421</v>
      </c>
      <c r="F183" s="45"/>
      <c r="G183" s="45">
        <v>8683985</v>
      </c>
      <c r="H183" s="45"/>
      <c r="I183" s="45">
        <v>1949145</v>
      </c>
      <c r="J183" s="45"/>
      <c r="K183" s="45">
        <v>2448150</v>
      </c>
      <c r="L183" s="45"/>
      <c r="M183" s="45">
        <v>98433</v>
      </c>
      <c r="N183" s="45"/>
      <c r="O183" s="45">
        <v>158012</v>
      </c>
      <c r="P183" s="45"/>
      <c r="Q183" s="45">
        <v>5979390</v>
      </c>
      <c r="R183" s="45"/>
      <c r="S183" s="45">
        <f t="shared" si="18"/>
        <v>6235835</v>
      </c>
      <c r="T183" s="45"/>
      <c r="U183" s="44">
        <f t="shared" si="19"/>
        <v>0</v>
      </c>
      <c r="V183" s="44">
        <f t="shared" si="20"/>
        <v>0</v>
      </c>
    </row>
    <row r="184" spans="1:22" s="44" customFormat="1" ht="12.75" customHeight="1" x14ac:dyDescent="0.2">
      <c r="A184" s="44" t="s">
        <v>207</v>
      </c>
      <c r="B184" s="51"/>
      <c r="C184" s="44" t="s">
        <v>102</v>
      </c>
      <c r="D184" s="35"/>
      <c r="E184" s="45">
        <f>3536083+428584</f>
        <v>3964667</v>
      </c>
      <c r="F184" s="45"/>
      <c r="G184" s="45">
        <v>5895473</v>
      </c>
      <c r="H184" s="45"/>
      <c r="I184" s="45">
        <v>1348348</v>
      </c>
      <c r="J184" s="45"/>
      <c r="K184" s="45">
        <v>1525195</v>
      </c>
      <c r="L184" s="45"/>
      <c r="M184" s="45">
        <v>451029</v>
      </c>
      <c r="N184" s="45"/>
      <c r="O184" s="45">
        <v>29603</v>
      </c>
      <c r="P184" s="45"/>
      <c r="Q184" s="45">
        <v>3889646</v>
      </c>
      <c r="R184" s="45"/>
      <c r="S184" s="45">
        <f t="shared" si="18"/>
        <v>4370278</v>
      </c>
      <c r="T184" s="45"/>
      <c r="U184" s="44">
        <f t="shared" si="19"/>
        <v>0</v>
      </c>
      <c r="V184" s="44">
        <f t="shared" si="20"/>
        <v>0</v>
      </c>
    </row>
    <row r="185" spans="1:22" s="44" customFormat="1" ht="12.75" customHeight="1" x14ac:dyDescent="0.2">
      <c r="A185" s="44" t="s">
        <v>208</v>
      </c>
      <c r="B185" s="51"/>
      <c r="C185" s="44" t="s">
        <v>209</v>
      </c>
      <c r="D185" s="35"/>
      <c r="E185" s="45">
        <f>6812684+2626312</f>
        <v>9438996</v>
      </c>
      <c r="F185" s="45"/>
      <c r="G185" s="45">
        <v>22518033</v>
      </c>
      <c r="H185" s="45"/>
      <c r="I185" s="45">
        <v>1810283</v>
      </c>
      <c r="J185" s="45"/>
      <c r="K185" s="45">
        <v>2323542</v>
      </c>
      <c r="L185" s="45"/>
      <c r="M185" s="45">
        <f>9801232+12457</f>
        <v>9813689</v>
      </c>
      <c r="N185" s="45"/>
      <c r="O185" s="45">
        <v>3343766</v>
      </c>
      <c r="P185" s="45"/>
      <c r="Q185" s="45">
        <v>7037036</v>
      </c>
      <c r="R185" s="45"/>
      <c r="S185" s="45">
        <f t="shared" si="18"/>
        <v>20194491</v>
      </c>
      <c r="T185" s="45"/>
      <c r="U185" s="44">
        <f t="shared" si="19"/>
        <v>0</v>
      </c>
      <c r="V185" s="44">
        <f>+G185-K185-S185</f>
        <v>0</v>
      </c>
    </row>
    <row r="186" spans="1:22" s="46" customFormat="1" ht="12.75" customHeight="1" x14ac:dyDescent="0.2">
      <c r="A186" s="44" t="s">
        <v>210</v>
      </c>
      <c r="B186" s="44"/>
      <c r="C186" s="44" t="s">
        <v>211</v>
      </c>
      <c r="D186" s="35"/>
      <c r="E186" s="45">
        <f>18845+899093</f>
        <v>917938</v>
      </c>
      <c r="F186" s="45"/>
      <c r="G186" s="45">
        <v>2654556</v>
      </c>
      <c r="H186" s="45"/>
      <c r="I186" s="45">
        <v>1181307</v>
      </c>
      <c r="J186" s="45"/>
      <c r="K186" s="45">
        <v>1372363</v>
      </c>
      <c r="L186" s="45"/>
      <c r="M186" s="45">
        <v>42729</v>
      </c>
      <c r="N186" s="45"/>
      <c r="O186" s="45">
        <v>26602</v>
      </c>
      <c r="P186" s="45"/>
      <c r="Q186" s="45">
        <v>1212862</v>
      </c>
      <c r="R186" s="45"/>
      <c r="S186" s="45">
        <f t="shared" si="18"/>
        <v>1282193</v>
      </c>
      <c r="T186" s="45"/>
      <c r="U186" s="44">
        <f t="shared" si="19"/>
        <v>0</v>
      </c>
      <c r="V186" s="44">
        <f t="shared" si="20"/>
        <v>0</v>
      </c>
    </row>
    <row r="187" spans="1:22" s="44" customFormat="1" ht="12.75" customHeight="1" x14ac:dyDescent="0.2">
      <c r="A187" s="44" t="s">
        <v>212</v>
      </c>
      <c r="B187" s="51"/>
      <c r="C187" s="44" t="s">
        <v>213</v>
      </c>
      <c r="D187" s="35"/>
      <c r="E187" s="45">
        <v>37511</v>
      </c>
      <c r="F187" s="45"/>
      <c r="G187" s="45">
        <v>3740683</v>
      </c>
      <c r="H187" s="45"/>
      <c r="I187" s="45">
        <v>2621051</v>
      </c>
      <c r="J187" s="45"/>
      <c r="K187" s="45">
        <v>4971609</v>
      </c>
      <c r="L187" s="45"/>
      <c r="M187" s="45">
        <v>46310</v>
      </c>
      <c r="N187" s="45"/>
      <c r="O187" s="45">
        <v>0</v>
      </c>
      <c r="P187" s="45"/>
      <c r="Q187" s="45">
        <v>-1277236</v>
      </c>
      <c r="R187" s="45"/>
      <c r="S187" s="45">
        <f t="shared" si="18"/>
        <v>-1230926</v>
      </c>
      <c r="T187" s="45"/>
      <c r="U187" s="44">
        <f t="shared" si="19"/>
        <v>0</v>
      </c>
      <c r="V187" s="44">
        <f t="shared" si="20"/>
        <v>0</v>
      </c>
    </row>
    <row r="188" spans="1:22" s="44" customFormat="1" ht="12.75" hidden="1" customHeight="1" x14ac:dyDescent="0.2">
      <c r="A188" s="44" t="s">
        <v>214</v>
      </c>
      <c r="C188" s="44" t="s">
        <v>86</v>
      </c>
      <c r="D188" s="35"/>
      <c r="E188" s="45">
        <v>5992423</v>
      </c>
      <c r="F188" s="45"/>
      <c r="G188" s="45">
        <v>8598639</v>
      </c>
      <c r="H188" s="45"/>
      <c r="I188" s="45">
        <v>1374937</v>
      </c>
      <c r="J188" s="45"/>
      <c r="K188" s="45">
        <v>1672781</v>
      </c>
      <c r="L188" s="45"/>
      <c r="M188" s="45">
        <f>73794+2003</f>
        <v>75797</v>
      </c>
      <c r="N188" s="45"/>
      <c r="O188" s="45">
        <v>379357</v>
      </c>
      <c r="P188" s="45"/>
      <c r="Q188" s="45">
        <v>6470704</v>
      </c>
      <c r="R188" s="45"/>
      <c r="S188" s="45">
        <f t="shared" si="18"/>
        <v>6925858</v>
      </c>
      <c r="T188" s="45"/>
      <c r="U188" s="44">
        <f t="shared" si="19"/>
        <v>0</v>
      </c>
      <c r="V188" s="44">
        <f t="shared" si="20"/>
        <v>0</v>
      </c>
    </row>
    <row r="189" spans="1:22" s="46" customFormat="1" ht="12.75" customHeight="1" x14ac:dyDescent="0.2">
      <c r="A189" s="44" t="s">
        <v>215</v>
      </c>
      <c r="B189" s="44"/>
      <c r="C189" s="44" t="s">
        <v>22</v>
      </c>
      <c r="D189" s="35"/>
      <c r="E189" s="45">
        <f>1744792+5190</f>
        <v>1749982</v>
      </c>
      <c r="F189" s="45"/>
      <c r="G189" s="45">
        <v>4461071</v>
      </c>
      <c r="H189" s="45"/>
      <c r="I189" s="45">
        <v>1422353</v>
      </c>
      <c r="J189" s="45"/>
      <c r="K189" s="45">
        <v>1644027</v>
      </c>
      <c r="L189" s="45"/>
      <c r="M189" s="45">
        <v>61259</v>
      </c>
      <c r="N189" s="45"/>
      <c r="O189" s="45">
        <v>1106144</v>
      </c>
      <c r="P189" s="45"/>
      <c r="Q189" s="45">
        <v>1649641</v>
      </c>
      <c r="R189" s="45"/>
      <c r="S189" s="45">
        <f t="shared" si="18"/>
        <v>2817044</v>
      </c>
      <c r="T189" s="45"/>
      <c r="U189" s="44">
        <f t="shared" si="19"/>
        <v>0</v>
      </c>
      <c r="V189" s="44">
        <f t="shared" si="20"/>
        <v>0</v>
      </c>
    </row>
    <row r="190" spans="1:22" s="44" customFormat="1" ht="12.75" customHeight="1" x14ac:dyDescent="0.2">
      <c r="A190" s="44" t="s">
        <v>216</v>
      </c>
      <c r="B190" s="51"/>
      <c r="C190" s="44" t="s">
        <v>45</v>
      </c>
      <c r="D190" s="35"/>
      <c r="E190" s="45">
        <v>294972</v>
      </c>
      <c r="F190" s="45"/>
      <c r="G190" s="45">
        <v>2631345</v>
      </c>
      <c r="H190" s="45"/>
      <c r="I190" s="45">
        <v>1374967</v>
      </c>
      <c r="J190" s="45"/>
      <c r="K190" s="45">
        <v>2296004</v>
      </c>
      <c r="L190" s="45"/>
      <c r="M190" s="45">
        <v>0</v>
      </c>
      <c r="N190" s="45"/>
      <c r="O190" s="45">
        <v>0</v>
      </c>
      <c r="P190" s="45"/>
      <c r="Q190" s="45">
        <v>335341</v>
      </c>
      <c r="R190" s="45"/>
      <c r="S190" s="45">
        <f t="shared" si="18"/>
        <v>335341</v>
      </c>
      <c r="T190" s="45"/>
      <c r="U190" s="44">
        <f t="shared" si="19"/>
        <v>0</v>
      </c>
      <c r="V190" s="44">
        <f t="shared" si="20"/>
        <v>0</v>
      </c>
    </row>
    <row r="191" spans="1:22" s="44" customFormat="1" ht="12.75" customHeight="1" x14ac:dyDescent="0.2">
      <c r="A191" s="44" t="s">
        <v>217</v>
      </c>
      <c r="B191" s="51"/>
      <c r="C191" s="44" t="s">
        <v>43</v>
      </c>
      <c r="D191" s="35"/>
      <c r="E191" s="45">
        <f>1173935+2130493</f>
        <v>3304428</v>
      </c>
      <c r="F191" s="45"/>
      <c r="G191" s="45">
        <v>6525359</v>
      </c>
      <c r="H191" s="45"/>
      <c r="I191" s="45">
        <v>1119344</v>
      </c>
      <c r="J191" s="45"/>
      <c r="K191" s="45">
        <v>1920595</v>
      </c>
      <c r="L191" s="45"/>
      <c r="M191" s="45">
        <f>37126+11265+23567</f>
        <v>71958</v>
      </c>
      <c r="N191" s="45"/>
      <c r="O191" s="45">
        <v>893738</v>
      </c>
      <c r="P191" s="45"/>
      <c r="Q191" s="45">
        <v>3639068</v>
      </c>
      <c r="R191" s="45"/>
      <c r="S191" s="45">
        <f t="shared" si="18"/>
        <v>4604764</v>
      </c>
      <c r="T191" s="45"/>
      <c r="U191" s="44">
        <f t="shared" si="19"/>
        <v>0</v>
      </c>
      <c r="V191" s="44">
        <f t="shared" si="20"/>
        <v>0</v>
      </c>
    </row>
    <row r="192" spans="1:22" s="44" customFormat="1" ht="12.75" customHeight="1" x14ac:dyDescent="0.2">
      <c r="A192" s="46" t="s">
        <v>218</v>
      </c>
      <c r="B192" s="46"/>
      <c r="C192" s="46" t="s">
        <v>27</v>
      </c>
      <c r="D192" s="64"/>
      <c r="E192" s="45">
        <v>0</v>
      </c>
      <c r="F192" s="45"/>
      <c r="G192" s="45">
        <v>2826418</v>
      </c>
      <c r="H192" s="45"/>
      <c r="I192" s="45">
        <v>1846834</v>
      </c>
      <c r="J192" s="45"/>
      <c r="K192" s="45">
        <v>2107109</v>
      </c>
      <c r="L192" s="45"/>
      <c r="M192" s="45">
        <v>0</v>
      </c>
      <c r="N192" s="45"/>
      <c r="O192" s="45">
        <v>0</v>
      </c>
      <c r="P192" s="45"/>
      <c r="Q192" s="45">
        <v>719309</v>
      </c>
      <c r="R192" s="45"/>
      <c r="S192" s="45">
        <f t="shared" si="18"/>
        <v>719309</v>
      </c>
      <c r="T192" s="45"/>
      <c r="U192" s="44">
        <f t="shared" si="19"/>
        <v>0</v>
      </c>
      <c r="V192" s="44">
        <f t="shared" si="20"/>
        <v>0</v>
      </c>
    </row>
    <row r="193" spans="1:23" s="44" customFormat="1" ht="12.75" customHeight="1" x14ac:dyDescent="0.2">
      <c r="A193" s="44" t="s">
        <v>219</v>
      </c>
      <c r="B193" s="51"/>
      <c r="C193" s="44" t="s">
        <v>199</v>
      </c>
      <c r="D193" s="35"/>
      <c r="E193" s="45">
        <v>578284</v>
      </c>
      <c r="F193" s="45"/>
      <c r="G193" s="45">
        <v>1575051</v>
      </c>
      <c r="H193" s="45"/>
      <c r="I193" s="45">
        <v>614485</v>
      </c>
      <c r="J193" s="45"/>
      <c r="K193" s="45">
        <v>793309</v>
      </c>
      <c r="L193" s="45"/>
      <c r="M193" s="45">
        <f>21975+5945</f>
        <v>27920</v>
      </c>
      <c r="N193" s="45"/>
      <c r="O193" s="45">
        <v>219133</v>
      </c>
      <c r="P193" s="45"/>
      <c r="Q193" s="45">
        <v>534689</v>
      </c>
      <c r="R193" s="45"/>
      <c r="S193" s="45">
        <f t="shared" si="18"/>
        <v>781742</v>
      </c>
      <c r="T193" s="45"/>
      <c r="U193" s="44">
        <f t="shared" si="19"/>
        <v>0</v>
      </c>
      <c r="V193" s="44">
        <f t="shared" si="20"/>
        <v>0</v>
      </c>
    </row>
    <row r="194" spans="1:23" s="44" customFormat="1" ht="12.75" customHeight="1" x14ac:dyDescent="0.2">
      <c r="A194" s="44" t="s">
        <v>220</v>
      </c>
      <c r="B194" s="51"/>
      <c r="C194" s="44" t="s">
        <v>66</v>
      </c>
      <c r="D194" s="35"/>
      <c r="E194" s="45">
        <v>8302951</v>
      </c>
      <c r="F194" s="45"/>
      <c r="G194" s="45">
        <v>9885108</v>
      </c>
      <c r="H194" s="45"/>
      <c r="I194" s="45">
        <v>1321156</v>
      </c>
      <c r="J194" s="45"/>
      <c r="K194" s="45">
        <v>1413162</v>
      </c>
      <c r="L194" s="45"/>
      <c r="M194" s="45">
        <v>0</v>
      </c>
      <c r="N194" s="45"/>
      <c r="O194" s="45">
        <v>125609</v>
      </c>
      <c r="P194" s="45"/>
      <c r="Q194" s="45">
        <v>8346337</v>
      </c>
      <c r="R194" s="45"/>
      <c r="S194" s="45">
        <f>+Q194+O194+M194</f>
        <v>8471946</v>
      </c>
      <c r="T194" s="45"/>
      <c r="U194" s="44">
        <f t="shared" si="19"/>
        <v>0</v>
      </c>
      <c r="V194" s="44">
        <f t="shared" si="20"/>
        <v>0</v>
      </c>
    </row>
    <row r="195" spans="1:23" s="44" customFormat="1" ht="12.75" customHeight="1" x14ac:dyDescent="0.2">
      <c r="A195" s="44" t="s">
        <v>221</v>
      </c>
      <c r="B195" s="51"/>
      <c r="C195" s="44" t="s">
        <v>27</v>
      </c>
      <c r="D195" s="35"/>
      <c r="E195" s="45">
        <v>2093357</v>
      </c>
      <c r="F195" s="45"/>
      <c r="G195" s="45">
        <v>9847886</v>
      </c>
      <c r="H195" s="45"/>
      <c r="I195" s="45">
        <v>5732087</v>
      </c>
      <c r="J195" s="45"/>
      <c r="K195" s="45">
        <v>6251004</v>
      </c>
      <c r="L195" s="45"/>
      <c r="M195" s="45">
        <v>20082</v>
      </c>
      <c r="N195" s="45"/>
      <c r="O195" s="45">
        <v>73625</v>
      </c>
      <c r="P195" s="45"/>
      <c r="Q195" s="45">
        <v>3503175</v>
      </c>
      <c r="R195" s="45"/>
      <c r="S195" s="45">
        <f>+Q195+O195+M195</f>
        <v>3596882</v>
      </c>
      <c r="T195" s="45"/>
      <c r="U195" s="44">
        <f t="shared" si="19"/>
        <v>0</v>
      </c>
      <c r="V195" s="44">
        <f t="shared" si="20"/>
        <v>0</v>
      </c>
    </row>
    <row r="196" spans="1:23" s="44" customFormat="1" ht="12.75" customHeight="1" x14ac:dyDescent="0.2">
      <c r="A196" s="44" t="s">
        <v>222</v>
      </c>
      <c r="C196" s="44" t="s">
        <v>47</v>
      </c>
      <c r="D196" s="35"/>
      <c r="E196" s="45">
        <v>4136362</v>
      </c>
      <c r="F196" s="45"/>
      <c r="G196" s="45">
        <v>6046941</v>
      </c>
      <c r="H196" s="45"/>
      <c r="I196" s="45">
        <v>1223637</v>
      </c>
      <c r="J196" s="45"/>
      <c r="K196" s="45">
        <v>1483708</v>
      </c>
      <c r="L196" s="45"/>
      <c r="M196" s="45">
        <v>39609</v>
      </c>
      <c r="N196" s="45"/>
      <c r="O196" s="45">
        <v>150964</v>
      </c>
      <c r="P196" s="45"/>
      <c r="Q196" s="45">
        <v>4372660</v>
      </c>
      <c r="R196" s="45"/>
      <c r="S196" s="45">
        <f t="shared" si="18"/>
        <v>4563233</v>
      </c>
      <c r="T196" s="45"/>
      <c r="U196" s="44">
        <f t="shared" si="19"/>
        <v>0</v>
      </c>
      <c r="V196" s="44">
        <f t="shared" si="20"/>
        <v>0</v>
      </c>
    </row>
    <row r="197" spans="1:23" s="44" customFormat="1" ht="12.75" customHeight="1" x14ac:dyDescent="0.2">
      <c r="A197" s="44" t="s">
        <v>223</v>
      </c>
      <c r="B197" s="51"/>
      <c r="C197" s="44" t="s">
        <v>94</v>
      </c>
      <c r="D197" s="35"/>
      <c r="E197" s="45">
        <f>1165380+1330</f>
        <v>1166710</v>
      </c>
      <c r="F197" s="45"/>
      <c r="G197" s="45">
        <v>2973217</v>
      </c>
      <c r="H197" s="45"/>
      <c r="I197" s="45">
        <v>1027420</v>
      </c>
      <c r="J197" s="45"/>
      <c r="K197" s="45">
        <v>1261984</v>
      </c>
      <c r="L197" s="45"/>
      <c r="M197" s="45">
        <f>138289+2</f>
        <v>138291</v>
      </c>
      <c r="N197" s="45"/>
      <c r="O197" s="45">
        <v>114347</v>
      </c>
      <c r="P197" s="45"/>
      <c r="Q197" s="45">
        <v>1458595</v>
      </c>
      <c r="R197" s="45"/>
      <c r="S197" s="45">
        <f t="shared" si="18"/>
        <v>1711233</v>
      </c>
      <c r="T197" s="45"/>
      <c r="U197" s="44">
        <f t="shared" si="19"/>
        <v>0</v>
      </c>
      <c r="V197" s="44">
        <f t="shared" si="20"/>
        <v>0</v>
      </c>
    </row>
    <row r="198" spans="1:23" s="44" customFormat="1" ht="12.75" customHeight="1" x14ac:dyDescent="0.2">
      <c r="A198" s="44" t="s">
        <v>76</v>
      </c>
      <c r="B198" s="51"/>
      <c r="C198" s="44" t="s">
        <v>132</v>
      </c>
      <c r="D198" s="35"/>
      <c r="E198" s="45">
        <f>3880494+28566+97873</f>
        <v>4006933</v>
      </c>
      <c r="F198" s="45"/>
      <c r="G198" s="45">
        <v>8957445</v>
      </c>
      <c r="H198" s="45"/>
      <c r="I198" s="45">
        <v>4138040</v>
      </c>
      <c r="J198" s="45"/>
      <c r="K198" s="45">
        <v>4850023</v>
      </c>
      <c r="L198" s="45"/>
      <c r="M198" s="45">
        <v>227348</v>
      </c>
      <c r="N198" s="45"/>
      <c r="O198" s="45">
        <v>281308</v>
      </c>
      <c r="P198" s="45"/>
      <c r="Q198" s="45">
        <v>3598766</v>
      </c>
      <c r="R198" s="45"/>
      <c r="S198" s="45">
        <f t="shared" si="18"/>
        <v>4107422</v>
      </c>
      <c r="T198" s="45"/>
      <c r="U198" s="44">
        <f t="shared" si="19"/>
        <v>0</v>
      </c>
      <c r="V198" s="44">
        <f t="shared" si="20"/>
        <v>0</v>
      </c>
    </row>
    <row r="199" spans="1:23" s="44" customFormat="1" ht="12.75" customHeight="1" x14ac:dyDescent="0.2">
      <c r="A199" s="44" t="s">
        <v>224</v>
      </c>
      <c r="B199" s="51"/>
      <c r="C199" s="44" t="s">
        <v>27</v>
      </c>
      <c r="D199" s="35"/>
      <c r="E199" s="45">
        <v>1642843</v>
      </c>
      <c r="F199" s="45"/>
      <c r="G199" s="45">
        <v>4712248</v>
      </c>
      <c r="H199" s="45"/>
      <c r="I199" s="45">
        <v>1973012</v>
      </c>
      <c r="J199" s="45"/>
      <c r="K199" s="45">
        <v>2425439</v>
      </c>
      <c r="L199" s="45"/>
      <c r="M199" s="45">
        <v>26119</v>
      </c>
      <c r="N199" s="45"/>
      <c r="O199" s="45">
        <v>126482</v>
      </c>
      <c r="P199" s="45"/>
      <c r="Q199" s="45">
        <v>2134208</v>
      </c>
      <c r="R199" s="45"/>
      <c r="S199" s="45">
        <f>+Q199+O199+M199</f>
        <v>2286809</v>
      </c>
      <c r="T199" s="45"/>
      <c r="U199" s="44">
        <f t="shared" si="19"/>
        <v>0</v>
      </c>
      <c r="V199" s="44">
        <f t="shared" si="20"/>
        <v>0</v>
      </c>
    </row>
    <row r="200" spans="1:23" s="44" customFormat="1" ht="12.75" customHeight="1" x14ac:dyDescent="0.2">
      <c r="A200" s="44" t="s">
        <v>225</v>
      </c>
      <c r="B200" s="51"/>
      <c r="C200" s="44" t="s">
        <v>27</v>
      </c>
      <c r="D200" s="35"/>
      <c r="E200" s="45">
        <v>14940732</v>
      </c>
      <c r="F200" s="45"/>
      <c r="G200" s="45">
        <v>33478391</v>
      </c>
      <c r="H200" s="45"/>
      <c r="I200" s="45">
        <v>13478402</v>
      </c>
      <c r="J200" s="45"/>
      <c r="K200" s="45">
        <v>14775519</v>
      </c>
      <c r="L200" s="45"/>
      <c r="M200" s="45">
        <f>150924+443724</f>
        <v>594648</v>
      </c>
      <c r="N200" s="45"/>
      <c r="O200" s="45">
        <v>6729633</v>
      </c>
      <c r="P200" s="45"/>
      <c r="Q200" s="45">
        <v>11378591</v>
      </c>
      <c r="R200" s="45"/>
      <c r="S200" s="45">
        <f t="shared" si="18"/>
        <v>18702872</v>
      </c>
      <c r="T200" s="45"/>
      <c r="U200" s="44">
        <f t="shared" si="19"/>
        <v>0</v>
      </c>
      <c r="V200" s="44">
        <f t="shared" si="20"/>
        <v>0</v>
      </c>
    </row>
    <row r="201" spans="1:23" s="44" customFormat="1" ht="12.75" customHeight="1" x14ac:dyDescent="0.2">
      <c r="A201" s="46" t="s">
        <v>226</v>
      </c>
      <c r="B201" s="46"/>
      <c r="C201" s="46" t="s">
        <v>45</v>
      </c>
      <c r="D201" s="64"/>
      <c r="E201" s="45">
        <v>5575751</v>
      </c>
      <c r="F201" s="45"/>
      <c r="G201" s="45">
        <v>8574597</v>
      </c>
      <c r="H201" s="45"/>
      <c r="I201" s="45">
        <v>849072</v>
      </c>
      <c r="J201" s="45"/>
      <c r="K201" s="45">
        <v>1584177</v>
      </c>
      <c r="L201" s="45"/>
      <c r="M201" s="45">
        <f>44636+90050</f>
        <v>134686</v>
      </c>
      <c r="N201" s="45"/>
      <c r="O201" s="45">
        <v>286206</v>
      </c>
      <c r="P201" s="45"/>
      <c r="Q201" s="45">
        <v>6569528</v>
      </c>
      <c r="R201" s="45"/>
      <c r="S201" s="45">
        <f t="shared" si="18"/>
        <v>6990420</v>
      </c>
      <c r="T201" s="45"/>
      <c r="U201" s="44">
        <f t="shared" si="19"/>
        <v>0</v>
      </c>
      <c r="V201" s="44">
        <f t="shared" si="20"/>
        <v>0</v>
      </c>
    </row>
    <row r="202" spans="1:23" s="46" customFormat="1" ht="12.75" customHeight="1" x14ac:dyDescent="0.2">
      <c r="A202" s="46" t="s">
        <v>227</v>
      </c>
      <c r="B202" s="66"/>
      <c r="C202" s="46" t="s">
        <v>17</v>
      </c>
      <c r="D202" s="64"/>
      <c r="E202" s="45">
        <v>570508</v>
      </c>
      <c r="F202" s="45"/>
      <c r="G202" s="45">
        <v>2405879</v>
      </c>
      <c r="H202" s="45"/>
      <c r="I202" s="45">
        <v>1496293</v>
      </c>
      <c r="J202" s="45"/>
      <c r="K202" s="45">
        <v>1782791</v>
      </c>
      <c r="L202" s="45"/>
      <c r="M202" s="45">
        <v>24011</v>
      </c>
      <c r="N202" s="45"/>
      <c r="O202" s="45">
        <v>137464</v>
      </c>
      <c r="P202" s="45"/>
      <c r="Q202" s="45">
        <v>461613</v>
      </c>
      <c r="R202" s="45"/>
      <c r="S202" s="45">
        <f t="shared" si="18"/>
        <v>623088</v>
      </c>
      <c r="T202" s="45"/>
      <c r="U202" s="44">
        <f t="shared" si="19"/>
        <v>0</v>
      </c>
      <c r="V202" s="44">
        <f t="shared" si="20"/>
        <v>0</v>
      </c>
    </row>
    <row r="203" spans="1:23" s="44" customFormat="1" ht="12.75" customHeight="1" x14ac:dyDescent="0.2">
      <c r="A203" s="44" t="s">
        <v>228</v>
      </c>
      <c r="B203" s="51"/>
      <c r="C203" s="44" t="s">
        <v>153</v>
      </c>
      <c r="D203" s="35"/>
      <c r="E203" s="45">
        <v>801422</v>
      </c>
      <c r="F203" s="45"/>
      <c r="G203" s="45">
        <v>1996308</v>
      </c>
      <c r="H203" s="45"/>
      <c r="I203" s="45">
        <v>564223</v>
      </c>
      <c r="J203" s="45"/>
      <c r="K203" s="45">
        <v>860212</v>
      </c>
      <c r="L203" s="45"/>
      <c r="M203" s="45">
        <v>55831</v>
      </c>
      <c r="N203" s="45"/>
      <c r="O203" s="45">
        <v>116964</v>
      </c>
      <c r="P203" s="45"/>
      <c r="Q203" s="45">
        <v>963301</v>
      </c>
      <c r="R203" s="45"/>
      <c r="S203" s="45">
        <f t="shared" si="18"/>
        <v>1136096</v>
      </c>
      <c r="T203" s="45"/>
      <c r="U203" s="44">
        <f t="shared" si="19"/>
        <v>0</v>
      </c>
      <c r="V203" s="44">
        <f t="shared" si="20"/>
        <v>0</v>
      </c>
    </row>
    <row r="204" spans="1:23" s="44" customFormat="1" ht="12.75" customHeight="1" x14ac:dyDescent="0.2">
      <c r="A204" s="44" t="s">
        <v>229</v>
      </c>
      <c r="B204" s="51"/>
      <c r="C204" s="44" t="s">
        <v>228</v>
      </c>
      <c r="D204" s="35"/>
      <c r="E204" s="45">
        <f>5135107+382236</f>
        <v>5517343</v>
      </c>
      <c r="F204" s="45"/>
      <c r="G204" s="45">
        <v>10696657</v>
      </c>
      <c r="H204" s="45"/>
      <c r="I204" s="45">
        <v>3454072</v>
      </c>
      <c r="J204" s="45"/>
      <c r="K204" s="45">
        <v>5484153</v>
      </c>
      <c r="L204" s="45"/>
      <c r="M204" s="45">
        <f>78974+3159771</f>
        <v>3238745</v>
      </c>
      <c r="N204" s="45"/>
      <c r="O204" s="45">
        <v>190981</v>
      </c>
      <c r="P204" s="45"/>
      <c r="Q204" s="45">
        <v>1782778</v>
      </c>
      <c r="R204" s="45"/>
      <c r="S204" s="45">
        <f t="shared" si="18"/>
        <v>5212504</v>
      </c>
      <c r="T204" s="45"/>
      <c r="U204" s="44">
        <f t="shared" si="19"/>
        <v>0</v>
      </c>
      <c r="V204" s="44">
        <f t="shared" si="20"/>
        <v>0</v>
      </c>
    </row>
    <row r="205" spans="1:23" s="121" customFormat="1" ht="12.75" hidden="1" customHeight="1" x14ac:dyDescent="0.2">
      <c r="A205" s="121" t="s">
        <v>230</v>
      </c>
      <c r="C205" s="121" t="s">
        <v>45</v>
      </c>
      <c r="D205" s="126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>
        <f t="shared" si="18"/>
        <v>0</v>
      </c>
      <c r="T205" s="127"/>
      <c r="U205" s="121">
        <f t="shared" si="19"/>
        <v>0</v>
      </c>
      <c r="V205" s="121">
        <f t="shared" si="20"/>
        <v>0</v>
      </c>
      <c r="W205" s="121" t="s">
        <v>509</v>
      </c>
    </row>
    <row r="206" spans="1:23" s="44" customFormat="1" ht="12.75" customHeight="1" x14ac:dyDescent="0.2">
      <c r="A206" s="44" t="s">
        <v>231</v>
      </c>
      <c r="C206" s="44" t="s">
        <v>27</v>
      </c>
      <c r="D206" s="35"/>
      <c r="E206" s="45">
        <f>20319669+98605</f>
        <v>20418274</v>
      </c>
      <c r="F206" s="45"/>
      <c r="G206" s="45">
        <v>27961693</v>
      </c>
      <c r="H206" s="45"/>
      <c r="I206" s="45">
        <v>3629456</v>
      </c>
      <c r="J206" s="45"/>
      <c r="K206" s="45">
        <v>4668382</v>
      </c>
      <c r="L206" s="45"/>
      <c r="M206" s="45">
        <f>732687+377+1003676</f>
        <v>1736740</v>
      </c>
      <c r="N206" s="45"/>
      <c r="O206" s="45">
        <v>909960</v>
      </c>
      <c r="P206" s="45"/>
      <c r="Q206" s="45">
        <v>20646611</v>
      </c>
      <c r="R206" s="45"/>
      <c r="S206" s="45">
        <f t="shared" si="18"/>
        <v>23293311</v>
      </c>
      <c r="T206" s="45"/>
      <c r="U206" s="44">
        <f t="shared" si="19"/>
        <v>0</v>
      </c>
      <c r="V206" s="44">
        <f t="shared" si="20"/>
        <v>0</v>
      </c>
    </row>
    <row r="207" spans="1:23" s="44" customFormat="1" ht="12.75" customHeight="1" x14ac:dyDescent="0.2">
      <c r="A207" s="44" t="s">
        <v>232</v>
      </c>
      <c r="B207" s="51"/>
      <c r="C207" s="44" t="s">
        <v>27</v>
      </c>
      <c r="D207" s="35"/>
      <c r="E207" s="45">
        <f>3805092+65099</f>
        <v>3870191</v>
      </c>
      <c r="F207" s="45"/>
      <c r="G207" s="45">
        <v>14052412</v>
      </c>
      <c r="H207" s="45"/>
      <c r="I207" s="45">
        <v>8356749</v>
      </c>
      <c r="J207" s="45"/>
      <c r="K207" s="45">
        <v>9180244</v>
      </c>
      <c r="L207" s="45"/>
      <c r="M207" s="45">
        <f>146928+2544</f>
        <v>149472</v>
      </c>
      <c r="N207" s="45"/>
      <c r="O207" s="45">
        <v>112574</v>
      </c>
      <c r="P207" s="45"/>
      <c r="Q207" s="45">
        <v>4610122</v>
      </c>
      <c r="R207" s="45"/>
      <c r="S207" s="45">
        <f>+Q207+O207+M207</f>
        <v>4872168</v>
      </c>
      <c r="T207" s="45"/>
      <c r="U207" s="44">
        <f t="shared" si="19"/>
        <v>0</v>
      </c>
      <c r="V207" s="44">
        <f t="shared" si="20"/>
        <v>0</v>
      </c>
    </row>
    <row r="208" spans="1:23" s="44" customFormat="1" ht="12.75" customHeight="1" x14ac:dyDescent="0.2">
      <c r="A208" s="44" t="s">
        <v>233</v>
      </c>
      <c r="B208" s="51"/>
      <c r="C208" s="44" t="s">
        <v>111</v>
      </c>
      <c r="D208" s="35"/>
      <c r="E208" s="45">
        <f>1006764+8092349</f>
        <v>9099113</v>
      </c>
      <c r="F208" s="45"/>
      <c r="G208" s="45">
        <v>11438169</v>
      </c>
      <c r="H208" s="45"/>
      <c r="I208" s="45">
        <v>1366536</v>
      </c>
      <c r="J208" s="45"/>
      <c r="K208" s="45">
        <v>1831313</v>
      </c>
      <c r="L208" s="45"/>
      <c r="M208" s="45">
        <v>118633</v>
      </c>
      <c r="N208" s="45"/>
      <c r="O208" s="45">
        <v>499898</v>
      </c>
      <c r="P208" s="45"/>
      <c r="Q208" s="45">
        <v>8988325</v>
      </c>
      <c r="R208" s="45"/>
      <c r="S208" s="45">
        <f t="shared" si="18"/>
        <v>9606856</v>
      </c>
      <c r="T208" s="45"/>
      <c r="U208" s="44">
        <f t="shared" si="19"/>
        <v>0</v>
      </c>
      <c r="V208" s="44">
        <f t="shared" si="20"/>
        <v>0</v>
      </c>
    </row>
    <row r="209" spans="1:23" s="44" customFormat="1" ht="12.75" customHeight="1" x14ac:dyDescent="0.2">
      <c r="A209" s="46" t="s">
        <v>234</v>
      </c>
      <c r="B209" s="46"/>
      <c r="C209" s="46" t="s">
        <v>45</v>
      </c>
      <c r="D209" s="64"/>
      <c r="E209" s="45">
        <f>5047938+39638</f>
        <v>5087576</v>
      </c>
      <c r="F209" s="45"/>
      <c r="G209" s="45">
        <v>11201039</v>
      </c>
      <c r="H209" s="45"/>
      <c r="I209" s="45">
        <v>2397869</v>
      </c>
      <c r="J209" s="45"/>
      <c r="K209" s="45">
        <v>4156939</v>
      </c>
      <c r="L209" s="45"/>
      <c r="M209" s="45">
        <v>825504</v>
      </c>
      <c r="N209" s="45"/>
      <c r="O209" s="45">
        <v>655631</v>
      </c>
      <c r="P209" s="45"/>
      <c r="Q209" s="45">
        <v>5562965</v>
      </c>
      <c r="R209" s="45"/>
      <c r="S209" s="45">
        <f t="shared" si="18"/>
        <v>7044100</v>
      </c>
      <c r="T209" s="45"/>
      <c r="U209" s="44">
        <f t="shared" si="19"/>
        <v>0</v>
      </c>
      <c r="V209" s="44">
        <f t="shared" si="20"/>
        <v>0</v>
      </c>
    </row>
    <row r="210" spans="1:23" s="44" customFormat="1" ht="12.75" customHeight="1" x14ac:dyDescent="0.2">
      <c r="A210" s="44" t="s">
        <v>235</v>
      </c>
      <c r="C210" s="44" t="s">
        <v>183</v>
      </c>
      <c r="D210" s="35"/>
      <c r="E210" s="45">
        <f>5262824+186000</f>
        <v>5448824</v>
      </c>
      <c r="F210" s="45"/>
      <c r="G210" s="45">
        <v>15471157</v>
      </c>
      <c r="H210" s="45"/>
      <c r="I210" s="45">
        <v>5658147</v>
      </c>
      <c r="J210" s="45"/>
      <c r="K210" s="45">
        <v>7758877</v>
      </c>
      <c r="L210" s="45"/>
      <c r="M210" s="45">
        <f>4041+40220+1439155</f>
        <v>1483416</v>
      </c>
      <c r="N210" s="45"/>
      <c r="O210" s="45">
        <v>240883</v>
      </c>
      <c r="P210" s="45"/>
      <c r="Q210" s="45">
        <v>5987981</v>
      </c>
      <c r="R210" s="45"/>
      <c r="S210" s="45">
        <f t="shared" si="18"/>
        <v>7712280</v>
      </c>
      <c r="T210" s="45"/>
      <c r="U210" s="44">
        <f t="shared" si="19"/>
        <v>0</v>
      </c>
      <c r="V210" s="44">
        <f t="shared" si="20"/>
        <v>0</v>
      </c>
    </row>
    <row r="211" spans="1:23" s="44" customFormat="1" ht="12.75" customHeight="1" x14ac:dyDescent="0.2">
      <c r="A211" s="44" t="s">
        <v>236</v>
      </c>
      <c r="B211" s="51"/>
      <c r="C211" s="44" t="s">
        <v>45</v>
      </c>
      <c r="D211" s="35"/>
      <c r="E211" s="45">
        <f>4030355+6303</f>
        <v>4036658</v>
      </c>
      <c r="F211" s="45"/>
      <c r="G211" s="45">
        <v>5939737</v>
      </c>
      <c r="H211" s="45"/>
      <c r="I211" s="45">
        <v>1002357</v>
      </c>
      <c r="J211" s="45"/>
      <c r="K211" s="45">
        <v>2073014</v>
      </c>
      <c r="L211" s="45"/>
      <c r="M211" s="45">
        <v>121706</v>
      </c>
      <c r="N211" s="45"/>
      <c r="O211" s="45">
        <v>25557</v>
      </c>
      <c r="P211" s="45"/>
      <c r="Q211" s="45">
        <v>3719460</v>
      </c>
      <c r="R211" s="45"/>
      <c r="S211" s="45">
        <f t="shared" si="18"/>
        <v>3866723</v>
      </c>
      <c r="T211" s="45"/>
      <c r="U211" s="44">
        <f t="shared" si="19"/>
        <v>0</v>
      </c>
      <c r="V211" s="44">
        <f t="shared" si="20"/>
        <v>0</v>
      </c>
    </row>
    <row r="212" spans="1:23" s="44" customFormat="1" ht="12.75" customHeight="1" x14ac:dyDescent="0.2">
      <c r="A212" s="44" t="s">
        <v>237</v>
      </c>
      <c r="C212" s="44" t="s">
        <v>33</v>
      </c>
      <c r="D212" s="35"/>
      <c r="E212" s="45">
        <v>87937</v>
      </c>
      <c r="F212" s="45"/>
      <c r="G212" s="45">
        <v>1026897</v>
      </c>
      <c r="H212" s="45"/>
      <c r="I212" s="45">
        <v>764076</v>
      </c>
      <c r="J212" s="45"/>
      <c r="K212" s="45">
        <v>992552</v>
      </c>
      <c r="L212" s="45"/>
      <c r="M212" s="45">
        <v>4283</v>
      </c>
      <c r="N212" s="45"/>
      <c r="O212" s="45">
        <v>0</v>
      </c>
      <c r="P212" s="45"/>
      <c r="Q212" s="45">
        <v>30062</v>
      </c>
      <c r="R212" s="45"/>
      <c r="S212" s="45">
        <f t="shared" si="18"/>
        <v>34345</v>
      </c>
      <c r="T212" s="45"/>
      <c r="U212" s="44">
        <f t="shared" si="19"/>
        <v>0</v>
      </c>
      <c r="V212" s="44">
        <f t="shared" si="20"/>
        <v>0</v>
      </c>
    </row>
    <row r="213" spans="1:23" s="44" customFormat="1" ht="12.75" customHeight="1" x14ac:dyDescent="0.2">
      <c r="A213" s="44" t="s">
        <v>238</v>
      </c>
      <c r="B213" s="51"/>
      <c r="C213" s="44" t="s">
        <v>239</v>
      </c>
      <c r="D213" s="35"/>
      <c r="E213" s="45">
        <v>3761390</v>
      </c>
      <c r="F213" s="45"/>
      <c r="G213" s="45">
        <v>4759515</v>
      </c>
      <c r="H213" s="45"/>
      <c r="I213" s="45">
        <v>311077</v>
      </c>
      <c r="J213" s="45"/>
      <c r="K213" s="45">
        <v>728179</v>
      </c>
      <c r="L213" s="45"/>
      <c r="M213" s="45">
        <v>79756</v>
      </c>
      <c r="N213" s="45"/>
      <c r="O213" s="45">
        <v>2587289</v>
      </c>
      <c r="P213" s="45"/>
      <c r="Q213" s="45">
        <v>1364291</v>
      </c>
      <c r="R213" s="45"/>
      <c r="S213" s="45">
        <f t="shared" si="18"/>
        <v>4031336</v>
      </c>
      <c r="T213" s="45"/>
      <c r="U213" s="44">
        <f t="shared" si="19"/>
        <v>0</v>
      </c>
      <c r="V213" s="44">
        <f t="shared" si="20"/>
        <v>0</v>
      </c>
    </row>
    <row r="214" spans="1:23" s="44" customFormat="1" ht="12.75" customHeight="1" x14ac:dyDescent="0.2">
      <c r="A214" s="44" t="s">
        <v>486</v>
      </c>
      <c r="B214" s="51"/>
      <c r="C214" s="44" t="s">
        <v>249</v>
      </c>
      <c r="D214" s="35"/>
      <c r="E214" s="45">
        <v>891116</v>
      </c>
      <c r="F214" s="45"/>
      <c r="G214" s="45">
        <v>5445086</v>
      </c>
      <c r="H214" s="45"/>
      <c r="I214" s="45">
        <v>2622921</v>
      </c>
      <c r="J214" s="45"/>
      <c r="K214" s="45">
        <v>4544452</v>
      </c>
      <c r="L214" s="45"/>
      <c r="M214" s="45">
        <v>341304</v>
      </c>
      <c r="N214" s="45"/>
      <c r="O214" s="45">
        <v>93057</v>
      </c>
      <c r="P214" s="45"/>
      <c r="Q214" s="45">
        <v>466273</v>
      </c>
      <c r="R214" s="45"/>
      <c r="S214" s="45">
        <f>+Q214+O214+M214</f>
        <v>900634</v>
      </c>
      <c r="T214" s="45"/>
      <c r="U214" s="44">
        <f>+G214-K214-S214</f>
        <v>0</v>
      </c>
      <c r="V214" s="44">
        <f>+G214-K214-S214</f>
        <v>0</v>
      </c>
    </row>
    <row r="215" spans="1:23" s="44" customFormat="1" ht="12.75" customHeight="1" x14ac:dyDescent="0.2">
      <c r="A215" s="44" t="s">
        <v>240</v>
      </c>
      <c r="B215" s="51"/>
      <c r="C215" s="44" t="s">
        <v>13</v>
      </c>
      <c r="D215" s="35"/>
      <c r="E215" s="45">
        <v>4815897</v>
      </c>
      <c r="F215" s="45"/>
      <c r="G215" s="45">
        <v>12652136</v>
      </c>
      <c r="H215" s="45"/>
      <c r="I215" s="45">
        <v>1348446</v>
      </c>
      <c r="J215" s="45"/>
      <c r="K215" s="45">
        <v>7243412</v>
      </c>
      <c r="L215" s="45"/>
      <c r="M215" s="45">
        <f>320672+64876</f>
        <v>385548</v>
      </c>
      <c r="N215" s="45"/>
      <c r="O215" s="45">
        <v>3224752</v>
      </c>
      <c r="P215" s="45"/>
      <c r="Q215" s="45">
        <v>1798424</v>
      </c>
      <c r="R215" s="45"/>
      <c r="S215" s="45">
        <f t="shared" si="18"/>
        <v>5408724</v>
      </c>
      <c r="T215" s="45"/>
      <c r="U215" s="44">
        <f t="shared" si="19"/>
        <v>0</v>
      </c>
      <c r="V215" s="44">
        <f t="shared" si="20"/>
        <v>0</v>
      </c>
    </row>
    <row r="216" spans="1:23" s="44" customFormat="1" ht="12.75" customHeight="1" x14ac:dyDescent="0.2">
      <c r="A216" s="44" t="s">
        <v>241</v>
      </c>
      <c r="C216" s="44" t="s">
        <v>22</v>
      </c>
      <c r="D216" s="35"/>
      <c r="E216" s="45">
        <v>1952836</v>
      </c>
      <c r="F216" s="45"/>
      <c r="G216" s="45">
        <v>5673959</v>
      </c>
      <c r="H216" s="45"/>
      <c r="I216" s="45">
        <v>1318007</v>
      </c>
      <c r="J216" s="45"/>
      <c r="K216" s="45">
        <v>2599016</v>
      </c>
      <c r="L216" s="45"/>
      <c r="M216" s="45">
        <f>164168+76963</f>
        <v>241131</v>
      </c>
      <c r="N216" s="45"/>
      <c r="O216" s="45">
        <v>557660</v>
      </c>
      <c r="P216" s="45"/>
      <c r="Q216" s="45">
        <v>2276152</v>
      </c>
      <c r="R216" s="45"/>
      <c r="S216" s="45">
        <f t="shared" si="18"/>
        <v>3074943</v>
      </c>
      <c r="T216" s="45"/>
      <c r="U216" s="44">
        <f t="shared" si="19"/>
        <v>0</v>
      </c>
      <c r="V216" s="44">
        <f t="shared" si="20"/>
        <v>0</v>
      </c>
    </row>
    <row r="217" spans="1:23" s="44" customFormat="1" ht="12.75" customHeight="1" x14ac:dyDescent="0.2">
      <c r="A217" s="44" t="s">
        <v>242</v>
      </c>
      <c r="B217" s="51"/>
      <c r="C217" s="44" t="s">
        <v>27</v>
      </c>
      <c r="D217" s="35"/>
      <c r="E217" s="45">
        <v>8596631</v>
      </c>
      <c r="F217" s="45"/>
      <c r="G217" s="45">
        <v>17002612</v>
      </c>
      <c r="H217" s="45"/>
      <c r="I217" s="45">
        <v>3234637</v>
      </c>
      <c r="J217" s="45"/>
      <c r="K217" s="45">
        <v>4068022</v>
      </c>
      <c r="L217" s="45"/>
      <c r="M217" s="45">
        <f>87347+1000000</f>
        <v>1087347</v>
      </c>
      <c r="N217" s="45"/>
      <c r="O217" s="45">
        <v>93058</v>
      </c>
      <c r="P217" s="45"/>
      <c r="Q217" s="45">
        <v>11754185</v>
      </c>
      <c r="R217" s="45"/>
      <c r="S217" s="45">
        <f t="shared" si="18"/>
        <v>12934590</v>
      </c>
      <c r="T217" s="45"/>
      <c r="U217" s="44">
        <f t="shared" si="19"/>
        <v>0</v>
      </c>
      <c r="V217" s="44">
        <f>+G217-K217-S217</f>
        <v>0</v>
      </c>
    </row>
    <row r="218" spans="1:23" s="44" customFormat="1" ht="12.75" customHeight="1" x14ac:dyDescent="0.2">
      <c r="A218" s="44" t="s">
        <v>243</v>
      </c>
      <c r="C218" s="44" t="s">
        <v>163</v>
      </c>
      <c r="D218" s="35"/>
      <c r="E218" s="45">
        <f>309739+3177019</f>
        <v>3486758</v>
      </c>
      <c r="F218" s="45"/>
      <c r="G218" s="45">
        <v>7081343</v>
      </c>
      <c r="H218" s="45"/>
      <c r="I218" s="45">
        <v>1764102</v>
      </c>
      <c r="J218" s="45"/>
      <c r="K218" s="45">
        <v>2239799</v>
      </c>
      <c r="L218" s="45"/>
      <c r="M218" s="45">
        <v>474935</v>
      </c>
      <c r="N218" s="45"/>
      <c r="O218" s="45">
        <v>8857</v>
      </c>
      <c r="P218" s="45"/>
      <c r="Q218" s="45">
        <v>4357752</v>
      </c>
      <c r="R218" s="45"/>
      <c r="S218" s="45">
        <f t="shared" ref="S218" si="21">+Q218+O218+M218</f>
        <v>4841544</v>
      </c>
      <c r="T218" s="45"/>
      <c r="U218" s="44">
        <f t="shared" ref="U218" si="22">+G218-K218-S218</f>
        <v>0</v>
      </c>
      <c r="V218" s="44">
        <f t="shared" ref="V218" si="23">+G218-K218-S218</f>
        <v>0</v>
      </c>
    </row>
    <row r="219" spans="1:23" s="44" customFormat="1" ht="12.75" customHeight="1" x14ac:dyDescent="0.2">
      <c r="B219" s="51"/>
      <c r="D219" s="3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8" t="s">
        <v>484</v>
      </c>
      <c r="T219" s="45"/>
    </row>
    <row r="220" spans="1:23" s="44" customFormat="1" ht="12.75" customHeight="1" x14ac:dyDescent="0.2">
      <c r="A220" s="44" t="s">
        <v>244</v>
      </c>
      <c r="B220" s="51"/>
      <c r="C220" s="44" t="s">
        <v>13</v>
      </c>
      <c r="D220" s="35"/>
      <c r="E220" s="94">
        <v>4370470</v>
      </c>
      <c r="F220" s="94"/>
      <c r="G220" s="94">
        <v>8070328</v>
      </c>
      <c r="H220" s="94"/>
      <c r="I220" s="94">
        <v>1124556</v>
      </c>
      <c r="J220" s="94"/>
      <c r="K220" s="94">
        <v>2379523</v>
      </c>
      <c r="L220" s="94"/>
      <c r="M220" s="94">
        <v>95421</v>
      </c>
      <c r="N220" s="94"/>
      <c r="O220" s="94">
        <v>235992</v>
      </c>
      <c r="P220" s="94"/>
      <c r="Q220" s="94">
        <v>5359392</v>
      </c>
      <c r="R220" s="94"/>
      <c r="S220" s="94">
        <f t="shared" ref="S220:S262" si="24">+Q220+O220+M220</f>
        <v>5690805</v>
      </c>
      <c r="T220" s="45"/>
      <c r="U220" s="44">
        <f t="shared" ref="U220:U262" si="25">+G220-K220-S220</f>
        <v>0</v>
      </c>
      <c r="V220" s="44">
        <f t="shared" ref="V220:V262" si="26">+G220-K220-S220</f>
        <v>0</v>
      </c>
    </row>
    <row r="221" spans="1:23" s="44" customFormat="1" ht="12.75" customHeight="1" x14ac:dyDescent="0.2">
      <c r="A221" s="44" t="s">
        <v>245</v>
      </c>
      <c r="B221" s="51"/>
      <c r="C221" s="44" t="s">
        <v>110</v>
      </c>
      <c r="D221" s="35"/>
      <c r="E221" s="45">
        <v>642456</v>
      </c>
      <c r="F221" s="45"/>
      <c r="G221" s="45">
        <v>4591199</v>
      </c>
      <c r="H221" s="45"/>
      <c r="I221" s="45">
        <v>2025961</v>
      </c>
      <c r="J221" s="45"/>
      <c r="K221" s="45">
        <v>3212252</v>
      </c>
      <c r="L221" s="45"/>
      <c r="M221" s="45">
        <f>65909+418883</f>
        <v>484792</v>
      </c>
      <c r="N221" s="45"/>
      <c r="O221" s="45">
        <v>29860</v>
      </c>
      <c r="P221" s="45"/>
      <c r="Q221" s="45">
        <v>864295</v>
      </c>
      <c r="R221" s="45"/>
      <c r="S221" s="45">
        <f t="shared" si="24"/>
        <v>1378947</v>
      </c>
      <c r="T221" s="45"/>
      <c r="U221" s="44">
        <f t="shared" si="25"/>
        <v>0</v>
      </c>
      <c r="V221" s="44">
        <f t="shared" si="26"/>
        <v>0</v>
      </c>
    </row>
    <row r="222" spans="1:23" s="46" customFormat="1" ht="12.75" customHeight="1" x14ac:dyDescent="0.2">
      <c r="A222" s="46" t="s">
        <v>246</v>
      </c>
      <c r="C222" s="46" t="s">
        <v>209</v>
      </c>
      <c r="D222" s="64"/>
      <c r="E222" s="45">
        <f>1798304+2252062</f>
        <v>4050366</v>
      </c>
      <c r="F222" s="45"/>
      <c r="G222" s="45">
        <v>5897509</v>
      </c>
      <c r="H222" s="45"/>
      <c r="I222" s="45">
        <v>955893</v>
      </c>
      <c r="J222" s="45"/>
      <c r="K222" s="45">
        <v>1377240</v>
      </c>
      <c r="L222" s="45"/>
      <c r="M222" s="45">
        <v>101503</v>
      </c>
      <c r="N222" s="45"/>
      <c r="O222" s="45">
        <v>182888</v>
      </c>
      <c r="P222" s="45"/>
      <c r="Q222" s="45">
        <v>4235878</v>
      </c>
      <c r="R222" s="45"/>
      <c r="S222" s="45">
        <f t="shared" si="24"/>
        <v>4520269</v>
      </c>
      <c r="T222" s="45"/>
      <c r="U222" s="44">
        <f t="shared" si="25"/>
        <v>0</v>
      </c>
      <c r="V222" s="44">
        <f t="shared" si="26"/>
        <v>0</v>
      </c>
    </row>
    <row r="223" spans="1:23" s="121" customFormat="1" ht="12.75" hidden="1" customHeight="1" x14ac:dyDescent="0.2">
      <c r="A223" s="121" t="s">
        <v>247</v>
      </c>
      <c r="C223" s="121" t="s">
        <v>163</v>
      </c>
      <c r="D223" s="126"/>
      <c r="E223" s="127">
        <f>17785000+267000+8000+21313000</f>
        <v>39373000</v>
      </c>
      <c r="F223" s="127"/>
      <c r="G223" s="127">
        <v>98803000</v>
      </c>
      <c r="H223" s="127"/>
      <c r="I223" s="127">
        <v>30804000</v>
      </c>
      <c r="J223" s="127"/>
      <c r="K223" s="127">
        <v>98477000</v>
      </c>
      <c r="L223" s="127"/>
      <c r="M223" s="127">
        <f>712000+5376000</f>
        <v>6088000</v>
      </c>
      <c r="N223" s="127"/>
      <c r="O223" s="127">
        <v>0</v>
      </c>
      <c r="P223" s="127"/>
      <c r="Q223" s="127">
        <v>-5762000</v>
      </c>
      <c r="R223" s="127"/>
      <c r="S223" s="127">
        <f t="shared" si="24"/>
        <v>326000</v>
      </c>
      <c r="T223" s="127"/>
      <c r="U223" s="121">
        <f t="shared" si="25"/>
        <v>0</v>
      </c>
      <c r="V223" s="121">
        <f t="shared" si="26"/>
        <v>0</v>
      </c>
      <c r="W223" s="122" t="s">
        <v>513</v>
      </c>
    </row>
    <row r="224" spans="1:23" s="44" customFormat="1" ht="12.75" customHeight="1" x14ac:dyDescent="0.2">
      <c r="A224" s="44" t="s">
        <v>248</v>
      </c>
      <c r="C224" s="44" t="s">
        <v>249</v>
      </c>
      <c r="D224" s="35"/>
      <c r="E224" s="45">
        <v>770154</v>
      </c>
      <c r="F224" s="45"/>
      <c r="G224" s="45">
        <v>1763545</v>
      </c>
      <c r="H224" s="45"/>
      <c r="I224" s="45">
        <v>779459</v>
      </c>
      <c r="J224" s="45"/>
      <c r="K224" s="45">
        <v>819302</v>
      </c>
      <c r="L224" s="45"/>
      <c r="M224" s="45">
        <f>19796+81733</f>
        <v>101529</v>
      </c>
      <c r="N224" s="45"/>
      <c r="O224" s="45">
        <v>0</v>
      </c>
      <c r="P224" s="45"/>
      <c r="Q224" s="45">
        <v>842714</v>
      </c>
      <c r="R224" s="45"/>
      <c r="S224" s="45">
        <f t="shared" si="24"/>
        <v>944243</v>
      </c>
      <c r="T224" s="45"/>
      <c r="U224" s="44">
        <f t="shared" si="25"/>
        <v>0</v>
      </c>
      <c r="V224" s="44">
        <f t="shared" si="26"/>
        <v>0</v>
      </c>
    </row>
    <row r="225" spans="1:22" s="44" customFormat="1" ht="12.75" customHeight="1" x14ac:dyDescent="0.2">
      <c r="A225" s="44" t="s">
        <v>250</v>
      </c>
      <c r="B225" s="51"/>
      <c r="C225" s="44" t="s">
        <v>103</v>
      </c>
      <c r="D225" s="35"/>
      <c r="E225" s="45">
        <v>1854715</v>
      </c>
      <c r="F225" s="45"/>
      <c r="G225" s="45">
        <v>2789426</v>
      </c>
      <c r="H225" s="45"/>
      <c r="I225" s="45">
        <v>756978</v>
      </c>
      <c r="J225" s="45"/>
      <c r="K225" s="45">
        <v>930736</v>
      </c>
      <c r="L225" s="45"/>
      <c r="M225" s="45">
        <f>31990+590458</f>
        <v>622448</v>
      </c>
      <c r="N225" s="45"/>
      <c r="O225" s="45">
        <v>29935</v>
      </c>
      <c r="P225" s="45"/>
      <c r="Q225" s="45">
        <v>1206307</v>
      </c>
      <c r="R225" s="45"/>
      <c r="S225" s="45">
        <f t="shared" si="24"/>
        <v>1858690</v>
      </c>
      <c r="T225" s="45"/>
      <c r="U225" s="44">
        <f t="shared" si="25"/>
        <v>0</v>
      </c>
      <c r="V225" s="44">
        <f>+G225-K225-S225</f>
        <v>0</v>
      </c>
    </row>
    <row r="226" spans="1:22" s="44" customFormat="1" ht="12.75" customHeight="1" x14ac:dyDescent="0.2">
      <c r="A226" s="44" t="s">
        <v>251</v>
      </c>
      <c r="B226" s="51"/>
      <c r="C226" s="44" t="s">
        <v>66</v>
      </c>
      <c r="D226" s="35"/>
      <c r="E226" s="45">
        <v>1512591</v>
      </c>
      <c r="F226" s="45"/>
      <c r="G226" s="45">
        <v>5907273</v>
      </c>
      <c r="H226" s="45"/>
      <c r="I226" s="45">
        <v>3619754</v>
      </c>
      <c r="J226" s="45"/>
      <c r="K226" s="45">
        <v>4207328</v>
      </c>
      <c r="L226" s="45"/>
      <c r="M226" s="45">
        <v>0</v>
      </c>
      <c r="N226" s="45"/>
      <c r="O226" s="45">
        <v>327879</v>
      </c>
      <c r="P226" s="45"/>
      <c r="Q226" s="45">
        <v>1372066</v>
      </c>
      <c r="R226" s="45"/>
      <c r="S226" s="45">
        <f t="shared" si="24"/>
        <v>1699945</v>
      </c>
      <c r="T226" s="45"/>
      <c r="U226" s="44">
        <f t="shared" si="25"/>
        <v>0</v>
      </c>
      <c r="V226" s="44">
        <f t="shared" si="26"/>
        <v>0</v>
      </c>
    </row>
    <row r="227" spans="1:22" s="44" customFormat="1" ht="12.75" customHeight="1" x14ac:dyDescent="0.2">
      <c r="A227" s="44" t="s">
        <v>252</v>
      </c>
      <c r="B227" s="51"/>
      <c r="C227" s="44" t="s">
        <v>209</v>
      </c>
      <c r="D227" s="35"/>
      <c r="E227" s="45">
        <f>47065869+4360</f>
        <v>47070229</v>
      </c>
      <c r="F227" s="45"/>
      <c r="G227" s="45">
        <v>51488347</v>
      </c>
      <c r="H227" s="45"/>
      <c r="I227" s="45">
        <v>2304437</v>
      </c>
      <c r="J227" s="45"/>
      <c r="K227" s="45">
        <v>3433514</v>
      </c>
      <c r="L227" s="45"/>
      <c r="M227" s="45">
        <v>1573675</v>
      </c>
      <c r="N227" s="45"/>
      <c r="O227" s="45">
        <v>212633</v>
      </c>
      <c r="P227" s="45"/>
      <c r="Q227" s="45">
        <v>46268525</v>
      </c>
      <c r="R227" s="45"/>
      <c r="S227" s="45">
        <f t="shared" si="24"/>
        <v>48054833</v>
      </c>
      <c r="T227" s="45"/>
      <c r="U227" s="44">
        <f t="shared" si="25"/>
        <v>0</v>
      </c>
      <c r="V227" s="44">
        <f t="shared" si="26"/>
        <v>0</v>
      </c>
    </row>
    <row r="228" spans="1:22" s="44" customFormat="1" ht="12.75" customHeight="1" x14ac:dyDescent="0.2">
      <c r="A228" s="44" t="s">
        <v>253</v>
      </c>
      <c r="B228" s="51"/>
      <c r="C228" s="44" t="s">
        <v>13</v>
      </c>
      <c r="D228" s="35"/>
      <c r="E228" s="45">
        <f>16014481+11517</f>
        <v>16025998</v>
      </c>
      <c r="F228" s="45"/>
      <c r="G228" s="45">
        <v>21351172</v>
      </c>
      <c r="H228" s="45"/>
      <c r="I228" s="45">
        <v>1568241</v>
      </c>
      <c r="J228" s="45"/>
      <c r="K228" s="45">
        <v>2484258</v>
      </c>
      <c r="L228" s="45"/>
      <c r="M228" s="45">
        <v>235191</v>
      </c>
      <c r="N228" s="45"/>
      <c r="O228" s="45">
        <v>363095</v>
      </c>
      <c r="P228" s="45"/>
      <c r="Q228" s="45">
        <v>18268628</v>
      </c>
      <c r="R228" s="45"/>
      <c r="S228" s="45">
        <f>+Q228+O228+M228</f>
        <v>18866914</v>
      </c>
      <c r="T228" s="45"/>
      <c r="U228" s="44">
        <f t="shared" si="25"/>
        <v>0</v>
      </c>
      <c r="V228" s="44">
        <f t="shared" si="26"/>
        <v>0</v>
      </c>
    </row>
    <row r="229" spans="1:22" s="44" customFormat="1" ht="12.75" customHeight="1" x14ac:dyDescent="0.2">
      <c r="A229" s="44" t="s">
        <v>254</v>
      </c>
      <c r="B229" s="51"/>
      <c r="C229" s="44" t="s">
        <v>89</v>
      </c>
      <c r="D229" s="35"/>
      <c r="E229" s="45">
        <v>280967</v>
      </c>
      <c r="F229" s="45"/>
      <c r="G229" s="45">
        <v>1095397</v>
      </c>
      <c r="H229" s="45"/>
      <c r="I229" s="45">
        <v>589207</v>
      </c>
      <c r="J229" s="45"/>
      <c r="K229" s="45">
        <v>626237</v>
      </c>
      <c r="L229" s="45"/>
      <c r="M229" s="45">
        <v>36737</v>
      </c>
      <c r="N229" s="45"/>
      <c r="O229" s="45">
        <v>0</v>
      </c>
      <c r="P229" s="45"/>
      <c r="Q229" s="45">
        <v>432423</v>
      </c>
      <c r="R229" s="45"/>
      <c r="S229" s="45">
        <f t="shared" si="24"/>
        <v>469160</v>
      </c>
      <c r="T229" s="45"/>
      <c r="U229" s="44">
        <f t="shared" si="25"/>
        <v>0</v>
      </c>
      <c r="V229" s="44">
        <f t="shared" si="26"/>
        <v>0</v>
      </c>
    </row>
    <row r="230" spans="1:22" s="44" customFormat="1" ht="12.75" customHeight="1" x14ac:dyDescent="0.2">
      <c r="A230" s="44" t="s">
        <v>159</v>
      </c>
      <c r="C230" s="44" t="s">
        <v>66</v>
      </c>
      <c r="D230" s="35"/>
      <c r="E230" s="45">
        <v>582040</v>
      </c>
      <c r="F230" s="45"/>
      <c r="G230" s="45">
        <v>1079274</v>
      </c>
      <c r="H230" s="45"/>
      <c r="I230" s="45">
        <v>409087</v>
      </c>
      <c r="J230" s="45"/>
      <c r="K230" s="45">
        <v>422905</v>
      </c>
      <c r="L230" s="45"/>
      <c r="M230" s="45">
        <f>22155+3054</f>
        <v>25209</v>
      </c>
      <c r="N230" s="45"/>
      <c r="O230" s="45">
        <v>3000</v>
      </c>
      <c r="P230" s="45"/>
      <c r="Q230" s="45">
        <v>628160</v>
      </c>
      <c r="R230" s="45"/>
      <c r="S230" s="45">
        <f>+Q230+O230+M230</f>
        <v>656369</v>
      </c>
      <c r="T230" s="45"/>
      <c r="U230" s="44">
        <f t="shared" si="25"/>
        <v>0</v>
      </c>
      <c r="V230" s="44">
        <f>+G230-K230-S230</f>
        <v>0</v>
      </c>
    </row>
    <row r="231" spans="1:22" s="44" customFormat="1" ht="12.75" customHeight="1" x14ac:dyDescent="0.2">
      <c r="A231" s="44" t="s">
        <v>255</v>
      </c>
      <c r="B231" s="51"/>
      <c r="C231" s="44" t="s">
        <v>27</v>
      </c>
      <c r="D231" s="35"/>
      <c r="E231" s="45">
        <v>1440441</v>
      </c>
      <c r="F231" s="45"/>
      <c r="G231" s="45">
        <v>8901920</v>
      </c>
      <c r="H231" s="45"/>
      <c r="I231" s="45">
        <v>5270401</v>
      </c>
      <c r="J231" s="45"/>
      <c r="K231" s="45">
        <v>5659369</v>
      </c>
      <c r="L231" s="45"/>
      <c r="M231" s="45">
        <f>87197+436</f>
        <v>87633</v>
      </c>
      <c r="N231" s="45"/>
      <c r="O231" s="45">
        <v>1231050</v>
      </c>
      <c r="P231" s="45"/>
      <c r="Q231" s="45">
        <v>1923868</v>
      </c>
      <c r="R231" s="45"/>
      <c r="S231" s="45">
        <f t="shared" si="24"/>
        <v>3242551</v>
      </c>
      <c r="T231" s="45"/>
      <c r="U231" s="44">
        <f t="shared" si="25"/>
        <v>0</v>
      </c>
      <c r="V231" s="44">
        <f t="shared" si="26"/>
        <v>0</v>
      </c>
    </row>
    <row r="232" spans="1:22" s="44" customFormat="1" ht="12.75" customHeight="1" x14ac:dyDescent="0.2">
      <c r="A232" s="44" t="s">
        <v>256</v>
      </c>
      <c r="C232" s="44" t="s">
        <v>43</v>
      </c>
      <c r="D232" s="35"/>
      <c r="E232" s="45">
        <v>24550581</v>
      </c>
      <c r="F232" s="45"/>
      <c r="G232" s="45">
        <v>44147553</v>
      </c>
      <c r="H232" s="45"/>
      <c r="I232" s="45">
        <v>14079308</v>
      </c>
      <c r="J232" s="45"/>
      <c r="K232" s="45">
        <v>15792656</v>
      </c>
      <c r="L232" s="45"/>
      <c r="M232" s="45">
        <f>63896+861032+9809328</f>
        <v>10734256</v>
      </c>
      <c r="N232" s="45"/>
      <c r="O232" s="45">
        <v>0</v>
      </c>
      <c r="P232" s="45"/>
      <c r="Q232" s="45">
        <v>17620641</v>
      </c>
      <c r="R232" s="45"/>
      <c r="S232" s="45">
        <f>+Q232+O232+M232</f>
        <v>28354897</v>
      </c>
      <c r="T232" s="45"/>
      <c r="U232" s="44">
        <f t="shared" si="25"/>
        <v>0</v>
      </c>
      <c r="V232" s="44">
        <f>+G232-K232-S232</f>
        <v>0</v>
      </c>
    </row>
    <row r="233" spans="1:22" s="44" customFormat="1" ht="12.75" customHeight="1" x14ac:dyDescent="0.2">
      <c r="A233" s="44" t="s">
        <v>257</v>
      </c>
      <c r="B233" s="51"/>
      <c r="C233" s="44" t="s">
        <v>258</v>
      </c>
      <c r="D233" s="35"/>
      <c r="E233" s="45">
        <v>686893</v>
      </c>
      <c r="F233" s="45"/>
      <c r="G233" s="45">
        <v>1902135</v>
      </c>
      <c r="H233" s="45"/>
      <c r="I233" s="45">
        <v>1114436</v>
      </c>
      <c r="J233" s="45"/>
      <c r="K233" s="45">
        <v>1344258</v>
      </c>
      <c r="L233" s="45"/>
      <c r="M233" s="45">
        <v>5924</v>
      </c>
      <c r="N233" s="45"/>
      <c r="O233" s="45">
        <v>75731</v>
      </c>
      <c r="P233" s="45"/>
      <c r="Q233" s="45">
        <v>476222</v>
      </c>
      <c r="R233" s="45"/>
      <c r="S233" s="45">
        <f>+Q233+O233+M233</f>
        <v>557877</v>
      </c>
      <c r="T233" s="45"/>
      <c r="U233" s="44">
        <f t="shared" si="25"/>
        <v>0</v>
      </c>
      <c r="V233" s="44">
        <f>+G233-K233-S233</f>
        <v>0</v>
      </c>
    </row>
    <row r="234" spans="1:22" s="44" customFormat="1" ht="12.75" customHeight="1" x14ac:dyDescent="0.2">
      <c r="A234" s="44" t="s">
        <v>259</v>
      </c>
      <c r="B234" s="51"/>
      <c r="C234" s="44" t="s">
        <v>260</v>
      </c>
      <c r="D234" s="35"/>
      <c r="E234" s="45">
        <v>1063834</v>
      </c>
      <c r="F234" s="45"/>
      <c r="G234" s="45">
        <v>3112496</v>
      </c>
      <c r="H234" s="45"/>
      <c r="I234" s="45">
        <v>1260418</v>
      </c>
      <c r="J234" s="45"/>
      <c r="K234" s="45">
        <v>1791742</v>
      </c>
      <c r="L234" s="45"/>
      <c r="M234" s="45">
        <f>27830+92000+24179</f>
        <v>144009</v>
      </c>
      <c r="N234" s="45"/>
      <c r="O234" s="45">
        <f>2626+244832</f>
        <v>247458</v>
      </c>
      <c r="P234" s="45"/>
      <c r="Q234" s="45">
        <v>929287</v>
      </c>
      <c r="R234" s="45"/>
      <c r="S234" s="45">
        <f t="shared" si="24"/>
        <v>1320754</v>
      </c>
      <c r="T234" s="45"/>
      <c r="U234" s="44">
        <f t="shared" si="25"/>
        <v>0</v>
      </c>
      <c r="V234" s="44">
        <f t="shared" si="26"/>
        <v>0</v>
      </c>
    </row>
    <row r="235" spans="1:22" s="44" customFormat="1" ht="12.75" customHeight="1" x14ac:dyDescent="0.2">
      <c r="A235" s="44" t="s">
        <v>261</v>
      </c>
      <c r="B235" s="51"/>
      <c r="C235" s="44" t="s">
        <v>66</v>
      </c>
      <c r="D235" s="35"/>
      <c r="E235" s="45">
        <f>14680882+33759</f>
        <v>14714641</v>
      </c>
      <c r="F235" s="45"/>
      <c r="G235" s="45">
        <v>19183013</v>
      </c>
      <c r="H235" s="45"/>
      <c r="I235" s="45">
        <v>2987632</v>
      </c>
      <c r="J235" s="45"/>
      <c r="K235" s="45">
        <v>5737226</v>
      </c>
      <c r="L235" s="45"/>
      <c r="M235" s="45">
        <f>42034+1275215</f>
        <v>1317249</v>
      </c>
      <c r="N235" s="45"/>
      <c r="O235" s="45">
        <v>1372384</v>
      </c>
      <c r="P235" s="45"/>
      <c r="Q235" s="45">
        <v>10756154</v>
      </c>
      <c r="R235" s="45"/>
      <c r="S235" s="45">
        <f t="shared" si="24"/>
        <v>13445787</v>
      </c>
      <c r="T235" s="45"/>
      <c r="U235" s="44">
        <f t="shared" si="25"/>
        <v>0</v>
      </c>
      <c r="V235" s="44">
        <f t="shared" si="26"/>
        <v>0</v>
      </c>
    </row>
    <row r="236" spans="1:22" s="44" customFormat="1" ht="12.75" customHeight="1" x14ac:dyDescent="0.2">
      <c r="A236" s="44" t="s">
        <v>262</v>
      </c>
      <c r="B236" s="51"/>
      <c r="C236" s="44" t="s">
        <v>132</v>
      </c>
      <c r="D236" s="35"/>
      <c r="E236" s="45">
        <v>0</v>
      </c>
      <c r="F236" s="45"/>
      <c r="G236" s="45">
        <v>3521441</v>
      </c>
      <c r="H236" s="45"/>
      <c r="I236" s="45">
        <v>2799012</v>
      </c>
      <c r="J236" s="45"/>
      <c r="K236" s="45">
        <v>3364078</v>
      </c>
      <c r="L236" s="45"/>
      <c r="M236" s="45">
        <f>7974+216624</f>
        <v>224598</v>
      </c>
      <c r="N236" s="45"/>
      <c r="O236" s="45">
        <v>0</v>
      </c>
      <c r="P236" s="45"/>
      <c r="Q236" s="45">
        <v>-67235</v>
      </c>
      <c r="R236" s="45"/>
      <c r="S236" s="45">
        <f t="shared" si="24"/>
        <v>157363</v>
      </c>
      <c r="T236" s="45"/>
      <c r="U236" s="44">
        <f t="shared" si="25"/>
        <v>0</v>
      </c>
      <c r="V236" s="44">
        <f t="shared" si="26"/>
        <v>0</v>
      </c>
    </row>
    <row r="237" spans="1:22" s="44" customFormat="1" ht="12.75" customHeight="1" x14ac:dyDescent="0.2">
      <c r="A237" s="44" t="s">
        <v>512</v>
      </c>
      <c r="B237" s="47"/>
      <c r="C237" s="44" t="s">
        <v>45</v>
      </c>
      <c r="D237" s="35"/>
      <c r="E237" s="45">
        <v>10778040</v>
      </c>
      <c r="F237" s="45"/>
      <c r="G237" s="45">
        <v>17940357</v>
      </c>
      <c r="H237" s="45"/>
      <c r="I237" s="45">
        <v>6287332</v>
      </c>
      <c r="J237" s="45"/>
      <c r="K237" s="45">
        <v>7102067</v>
      </c>
      <c r="L237" s="45"/>
      <c r="M237" s="45">
        <v>292071</v>
      </c>
      <c r="N237" s="45"/>
      <c r="O237" s="45">
        <v>0</v>
      </c>
      <c r="P237" s="45"/>
      <c r="Q237" s="45">
        <v>10546219</v>
      </c>
      <c r="R237" s="45"/>
      <c r="S237" s="45">
        <f t="shared" si="24"/>
        <v>10838290</v>
      </c>
      <c r="T237" s="45"/>
      <c r="V237" s="44">
        <f t="shared" si="26"/>
        <v>0</v>
      </c>
    </row>
    <row r="238" spans="1:22" s="44" customFormat="1" ht="12.75" customHeight="1" x14ac:dyDescent="0.2">
      <c r="A238" s="44" t="s">
        <v>263</v>
      </c>
      <c r="B238" s="51"/>
      <c r="C238" s="44" t="s">
        <v>53</v>
      </c>
      <c r="D238" s="35"/>
      <c r="E238" s="45">
        <f>3005135+4967+2061</f>
        <v>3012163</v>
      </c>
      <c r="F238" s="45"/>
      <c r="G238" s="45">
        <v>7858737</v>
      </c>
      <c r="H238" s="45"/>
      <c r="I238" s="45">
        <v>622858</v>
      </c>
      <c r="J238" s="45"/>
      <c r="K238" s="45">
        <v>1794047</v>
      </c>
      <c r="L238" s="45"/>
      <c r="M238" s="45">
        <f>50107+3031922+7447</f>
        <v>3089476</v>
      </c>
      <c r="N238" s="45"/>
      <c r="O238" s="45">
        <v>499554</v>
      </c>
      <c r="P238" s="45"/>
      <c r="Q238" s="45">
        <v>2475660</v>
      </c>
      <c r="R238" s="45"/>
      <c r="S238" s="45">
        <f t="shared" si="24"/>
        <v>6064690</v>
      </c>
      <c r="T238" s="45"/>
      <c r="U238" s="44">
        <f t="shared" si="25"/>
        <v>0</v>
      </c>
      <c r="V238" s="44">
        <f t="shared" si="26"/>
        <v>0</v>
      </c>
    </row>
    <row r="239" spans="1:22" s="46" customFormat="1" ht="12.75" customHeight="1" x14ac:dyDescent="0.2">
      <c r="A239" s="44" t="s">
        <v>264</v>
      </c>
      <c r="B239" s="51"/>
      <c r="C239" s="44" t="s">
        <v>239</v>
      </c>
      <c r="D239" s="35"/>
      <c r="E239" s="45">
        <f>2205686+5263</f>
        <v>2210949</v>
      </c>
      <c r="F239" s="45"/>
      <c r="G239" s="45">
        <v>3949296</v>
      </c>
      <c r="H239" s="45"/>
      <c r="I239" s="45">
        <v>1301305</v>
      </c>
      <c r="J239" s="45"/>
      <c r="K239" s="45">
        <v>1602396</v>
      </c>
      <c r="L239" s="45"/>
      <c r="M239" s="45">
        <f>48027+18457</f>
        <v>66484</v>
      </c>
      <c r="N239" s="45"/>
      <c r="O239" s="45">
        <v>244541</v>
      </c>
      <c r="P239" s="45"/>
      <c r="Q239" s="45">
        <v>2035875</v>
      </c>
      <c r="R239" s="45"/>
      <c r="S239" s="45">
        <f t="shared" si="24"/>
        <v>2346900</v>
      </c>
      <c r="T239" s="45"/>
      <c r="U239" s="44">
        <f t="shared" si="25"/>
        <v>0</v>
      </c>
      <c r="V239" s="44">
        <f t="shared" si="26"/>
        <v>0</v>
      </c>
    </row>
    <row r="240" spans="1:22" s="44" customFormat="1" ht="12.75" customHeight="1" x14ac:dyDescent="0.2">
      <c r="A240" s="44" t="s">
        <v>111</v>
      </c>
      <c r="B240" s="51"/>
      <c r="C240" s="44" t="s">
        <v>80</v>
      </c>
      <c r="D240" s="35"/>
      <c r="E240" s="45">
        <f>1766304+692804</f>
        <v>2459108</v>
      </c>
      <c r="F240" s="45"/>
      <c r="G240" s="45">
        <v>9066793</v>
      </c>
      <c r="H240" s="45"/>
      <c r="I240" s="45">
        <v>2711790</v>
      </c>
      <c r="J240" s="45"/>
      <c r="K240" s="45">
        <v>3481510</v>
      </c>
      <c r="L240" s="45"/>
      <c r="M240" s="45">
        <f>7445+692804</f>
        <v>700249</v>
      </c>
      <c r="N240" s="45"/>
      <c r="O240" s="45">
        <v>74882</v>
      </c>
      <c r="P240" s="45"/>
      <c r="Q240" s="45">
        <v>4810152</v>
      </c>
      <c r="R240" s="45"/>
      <c r="S240" s="45">
        <f t="shared" si="24"/>
        <v>5585283</v>
      </c>
      <c r="T240" s="45"/>
      <c r="U240" s="44">
        <f t="shared" si="25"/>
        <v>0</v>
      </c>
      <c r="V240" s="44">
        <f t="shared" si="26"/>
        <v>0</v>
      </c>
    </row>
    <row r="241" spans="1:22" s="44" customFormat="1" ht="12.75" customHeight="1" x14ac:dyDescent="0.2">
      <c r="A241" s="44" t="s">
        <v>265</v>
      </c>
      <c r="B241" s="51"/>
      <c r="C241" s="44" t="s">
        <v>27</v>
      </c>
      <c r="D241" s="35"/>
      <c r="E241" s="45">
        <v>1595360</v>
      </c>
      <c r="F241" s="45"/>
      <c r="G241" s="45">
        <v>6374491</v>
      </c>
      <c r="H241" s="45"/>
      <c r="I241" s="45">
        <v>1752013</v>
      </c>
      <c r="J241" s="45"/>
      <c r="K241" s="45">
        <v>2529152</v>
      </c>
      <c r="L241" s="45"/>
      <c r="M241" s="45">
        <v>373140</v>
      </c>
      <c r="N241" s="45"/>
      <c r="O241" s="45">
        <v>600805</v>
      </c>
      <c r="P241" s="45"/>
      <c r="Q241" s="45">
        <v>2871394</v>
      </c>
      <c r="R241" s="45"/>
      <c r="S241" s="45">
        <f t="shared" si="24"/>
        <v>3845339</v>
      </c>
      <c r="T241" s="45"/>
      <c r="U241" s="44">
        <f t="shared" si="25"/>
        <v>0</v>
      </c>
      <c r="V241" s="44">
        <f t="shared" si="26"/>
        <v>0</v>
      </c>
    </row>
    <row r="242" spans="1:22" s="44" customFormat="1" ht="12.75" customHeight="1" x14ac:dyDescent="0.2">
      <c r="A242" s="44" t="s">
        <v>514</v>
      </c>
      <c r="B242" s="51"/>
      <c r="C242" s="47" t="s">
        <v>451</v>
      </c>
      <c r="D242" s="35"/>
      <c r="E242" s="45">
        <f>742550+38734</f>
        <v>781284</v>
      </c>
      <c r="F242" s="45"/>
      <c r="G242" s="45">
        <v>2805094</v>
      </c>
      <c r="H242" s="45"/>
      <c r="I242" s="45">
        <v>1250609</v>
      </c>
      <c r="J242" s="45"/>
      <c r="K242" s="45">
        <v>1827814</v>
      </c>
      <c r="L242" s="45"/>
      <c r="M242" s="45">
        <v>23830</v>
      </c>
      <c r="N242" s="45"/>
      <c r="O242" s="45">
        <v>209</v>
      </c>
      <c r="P242" s="45"/>
      <c r="Q242" s="45">
        <v>953241</v>
      </c>
      <c r="R242" s="45"/>
      <c r="S242" s="45">
        <f t="shared" si="24"/>
        <v>977280</v>
      </c>
      <c r="T242" s="45"/>
      <c r="U242" s="44">
        <f t="shared" si="25"/>
        <v>0</v>
      </c>
      <c r="V242" s="44">
        <f t="shared" si="26"/>
        <v>0</v>
      </c>
    </row>
    <row r="243" spans="1:22" s="44" customFormat="1" ht="12.75" customHeight="1" x14ac:dyDescent="0.2">
      <c r="A243" s="44" t="s">
        <v>515</v>
      </c>
      <c r="B243" s="47"/>
      <c r="C243" s="44" t="s">
        <v>163</v>
      </c>
      <c r="D243" s="35"/>
      <c r="E243" s="45">
        <v>896837</v>
      </c>
      <c r="F243" s="45"/>
      <c r="G243" s="45">
        <v>2039967</v>
      </c>
      <c r="H243" s="45"/>
      <c r="I243" s="45">
        <v>801867</v>
      </c>
      <c r="J243" s="45"/>
      <c r="K243" s="45">
        <v>893512</v>
      </c>
      <c r="L243" s="45"/>
      <c r="M243" s="45">
        <v>23340</v>
      </c>
      <c r="N243" s="45"/>
      <c r="O243" s="45">
        <v>35555</v>
      </c>
      <c r="P243" s="45"/>
      <c r="Q243" s="45">
        <v>1087560</v>
      </c>
      <c r="R243" s="45"/>
      <c r="S243" s="45">
        <f t="shared" si="24"/>
        <v>1146455</v>
      </c>
      <c r="T243" s="45"/>
      <c r="V243" s="44">
        <f t="shared" si="26"/>
        <v>0</v>
      </c>
    </row>
    <row r="244" spans="1:22" s="46" customFormat="1" ht="12.75" customHeight="1" x14ac:dyDescent="0.2">
      <c r="A244" s="44" t="s">
        <v>266</v>
      </c>
      <c r="B244" s="44"/>
      <c r="C244" s="44" t="s">
        <v>267</v>
      </c>
      <c r="D244" s="35"/>
      <c r="E244" s="45">
        <f>296844+133720</f>
        <v>430564</v>
      </c>
      <c r="F244" s="45"/>
      <c r="G244" s="45">
        <v>1241866</v>
      </c>
      <c r="H244" s="45"/>
      <c r="I244" s="45">
        <v>364755</v>
      </c>
      <c r="J244" s="45"/>
      <c r="K244" s="45">
        <v>602532</v>
      </c>
      <c r="L244" s="45"/>
      <c r="M244" s="45">
        <v>68738</v>
      </c>
      <c r="N244" s="45"/>
      <c r="O244" s="45">
        <v>78077</v>
      </c>
      <c r="P244" s="45"/>
      <c r="Q244" s="45">
        <v>492519</v>
      </c>
      <c r="R244" s="45"/>
      <c r="S244" s="45">
        <f t="shared" si="24"/>
        <v>639334</v>
      </c>
      <c r="T244" s="45"/>
      <c r="U244" s="44">
        <f t="shared" si="25"/>
        <v>0</v>
      </c>
      <c r="V244" s="44">
        <f t="shared" si="26"/>
        <v>0</v>
      </c>
    </row>
    <row r="245" spans="1:22" s="44" customFormat="1" ht="12.75" customHeight="1" x14ac:dyDescent="0.2">
      <c r="A245" s="44" t="s">
        <v>268</v>
      </c>
      <c r="B245" s="51"/>
      <c r="C245" s="44" t="s">
        <v>269</v>
      </c>
      <c r="D245" s="35"/>
      <c r="E245" s="45">
        <v>230042</v>
      </c>
      <c r="F245" s="45"/>
      <c r="G245" s="45">
        <v>891910</v>
      </c>
      <c r="H245" s="45"/>
      <c r="I245" s="45">
        <v>452511</v>
      </c>
      <c r="J245" s="45"/>
      <c r="K245" s="45">
        <v>473837</v>
      </c>
      <c r="L245" s="45"/>
      <c r="M245" s="45">
        <v>7139</v>
      </c>
      <c r="N245" s="45"/>
      <c r="O245" s="45">
        <v>11363</v>
      </c>
      <c r="P245" s="45"/>
      <c r="Q245" s="45">
        <v>399571</v>
      </c>
      <c r="R245" s="45"/>
      <c r="S245" s="45">
        <f t="shared" si="24"/>
        <v>418073</v>
      </c>
      <c r="T245" s="45"/>
      <c r="U245" s="44">
        <f t="shared" si="25"/>
        <v>0</v>
      </c>
      <c r="V245" s="44">
        <f t="shared" si="26"/>
        <v>0</v>
      </c>
    </row>
    <row r="246" spans="1:22" s="44" customFormat="1" ht="12.75" customHeight="1" x14ac:dyDescent="0.2">
      <c r="A246" s="44" t="s">
        <v>270</v>
      </c>
      <c r="B246" s="51"/>
      <c r="C246" s="44" t="s">
        <v>136</v>
      </c>
      <c r="D246" s="35"/>
      <c r="E246" s="45">
        <v>0</v>
      </c>
      <c r="F246" s="45"/>
      <c r="G246" s="45">
        <v>1069883</v>
      </c>
      <c r="H246" s="45"/>
      <c r="I246" s="45">
        <v>240807</v>
      </c>
      <c r="J246" s="45"/>
      <c r="K246" s="45">
        <v>593823</v>
      </c>
      <c r="L246" s="45"/>
      <c r="M246" s="45">
        <v>0</v>
      </c>
      <c r="N246" s="45"/>
      <c r="O246" s="45">
        <v>0</v>
      </c>
      <c r="P246" s="45"/>
      <c r="Q246" s="45">
        <v>476060</v>
      </c>
      <c r="R246" s="45"/>
      <c r="S246" s="45">
        <f>+Q246+O246+M246</f>
        <v>476060</v>
      </c>
      <c r="T246" s="45"/>
      <c r="U246" s="44">
        <f t="shared" si="25"/>
        <v>0</v>
      </c>
      <c r="V246" s="44">
        <f>+G246-K246-S246</f>
        <v>0</v>
      </c>
    </row>
    <row r="247" spans="1:22" s="44" customFormat="1" ht="12.75" customHeight="1" x14ac:dyDescent="0.2">
      <c r="A247" s="44" t="s">
        <v>271</v>
      </c>
      <c r="B247" s="51"/>
      <c r="C247" s="44" t="s">
        <v>66</v>
      </c>
      <c r="D247" s="35"/>
      <c r="E247" s="45">
        <v>2713869</v>
      </c>
      <c r="F247" s="45"/>
      <c r="G247" s="45">
        <v>4787529</v>
      </c>
      <c r="H247" s="45"/>
      <c r="I247" s="45">
        <v>1048703</v>
      </c>
      <c r="J247" s="45"/>
      <c r="K247" s="45">
        <v>3008745</v>
      </c>
      <c r="L247" s="45"/>
      <c r="M247" s="45">
        <v>0</v>
      </c>
      <c r="N247" s="45"/>
      <c r="O247" s="45">
        <v>26858</v>
      </c>
      <c r="P247" s="45"/>
      <c r="Q247" s="45">
        <v>1751926</v>
      </c>
      <c r="R247" s="45"/>
      <c r="S247" s="45">
        <f t="shared" si="24"/>
        <v>1778784</v>
      </c>
      <c r="T247" s="45"/>
      <c r="U247" s="44">
        <f t="shared" si="25"/>
        <v>0</v>
      </c>
      <c r="V247" s="44">
        <f t="shared" si="26"/>
        <v>0</v>
      </c>
    </row>
    <row r="248" spans="1:22" s="46" customFormat="1" ht="12.75" customHeight="1" x14ac:dyDescent="0.2">
      <c r="A248" s="44" t="s">
        <v>272</v>
      </c>
      <c r="B248" s="51"/>
      <c r="C248" s="44" t="s">
        <v>43</v>
      </c>
      <c r="D248" s="35"/>
      <c r="E248" s="45">
        <v>22140271</v>
      </c>
      <c r="F248" s="45"/>
      <c r="G248" s="45">
        <v>45875220</v>
      </c>
      <c r="H248" s="45"/>
      <c r="I248" s="45">
        <v>6260641</v>
      </c>
      <c r="J248" s="45"/>
      <c r="K248" s="45">
        <v>7437764</v>
      </c>
      <c r="L248" s="45"/>
      <c r="M248" s="45">
        <f>11992605+43757</f>
        <v>12036362</v>
      </c>
      <c r="N248" s="45"/>
      <c r="O248" s="45">
        <v>328829</v>
      </c>
      <c r="P248" s="45"/>
      <c r="Q248" s="45">
        <v>26072265</v>
      </c>
      <c r="R248" s="45"/>
      <c r="S248" s="45">
        <f t="shared" si="24"/>
        <v>38437456</v>
      </c>
      <c r="T248" s="45"/>
      <c r="U248" s="44">
        <f t="shared" si="25"/>
        <v>0</v>
      </c>
      <c r="V248" s="44">
        <f t="shared" si="26"/>
        <v>0</v>
      </c>
    </row>
    <row r="249" spans="1:22" s="44" customFormat="1" ht="12.75" customHeight="1" x14ac:dyDescent="0.2">
      <c r="A249" s="44" t="s">
        <v>273</v>
      </c>
      <c r="B249" s="51"/>
      <c r="C249" s="44" t="s">
        <v>27</v>
      </c>
      <c r="D249" s="35"/>
      <c r="E249" s="45">
        <f>32935716+518802</f>
        <v>33454518</v>
      </c>
      <c r="F249" s="45"/>
      <c r="G249" s="45">
        <v>50265053</v>
      </c>
      <c r="H249" s="45"/>
      <c r="I249" s="45">
        <v>112816589</v>
      </c>
      <c r="J249" s="45"/>
      <c r="K249" s="45">
        <v>14052677</v>
      </c>
      <c r="L249" s="45"/>
      <c r="M249" s="45">
        <f>1025510+518802</f>
        <v>1544312</v>
      </c>
      <c r="N249" s="45"/>
      <c r="O249" s="45">
        <v>12590847</v>
      </c>
      <c r="P249" s="45"/>
      <c r="Q249" s="45">
        <v>22077217</v>
      </c>
      <c r="R249" s="45"/>
      <c r="S249" s="45">
        <f t="shared" si="24"/>
        <v>36212376</v>
      </c>
      <c r="T249" s="45"/>
      <c r="U249" s="44">
        <f t="shared" si="25"/>
        <v>0</v>
      </c>
      <c r="V249" s="44">
        <f t="shared" si="26"/>
        <v>0</v>
      </c>
    </row>
    <row r="250" spans="1:22" s="44" customFormat="1" ht="12.75" customHeight="1" x14ac:dyDescent="0.2">
      <c r="A250" s="44" t="s">
        <v>274</v>
      </c>
      <c r="B250" s="51"/>
      <c r="C250" s="44" t="s">
        <v>43</v>
      </c>
      <c r="D250" s="35"/>
      <c r="E250" s="45">
        <v>6440034</v>
      </c>
      <c r="F250" s="45"/>
      <c r="G250" s="45">
        <v>9253852</v>
      </c>
      <c r="H250" s="45"/>
      <c r="I250" s="45">
        <v>906951</v>
      </c>
      <c r="J250" s="45"/>
      <c r="K250" s="45">
        <v>2988164</v>
      </c>
      <c r="L250" s="45"/>
      <c r="M250" s="45">
        <f>135591+1095606</f>
        <v>1231197</v>
      </c>
      <c r="N250" s="45"/>
      <c r="O250" s="45">
        <v>320258</v>
      </c>
      <c r="P250" s="45"/>
      <c r="Q250" s="45">
        <v>4714233</v>
      </c>
      <c r="R250" s="45"/>
      <c r="S250" s="45">
        <f t="shared" si="24"/>
        <v>6265688</v>
      </c>
      <c r="T250" s="45"/>
      <c r="U250" s="44">
        <f t="shared" si="25"/>
        <v>0</v>
      </c>
      <c r="V250" s="44">
        <f t="shared" si="26"/>
        <v>0</v>
      </c>
    </row>
    <row r="251" spans="1:22" s="44" customFormat="1" ht="12.75" customHeight="1" x14ac:dyDescent="0.2">
      <c r="A251" s="44" t="s">
        <v>275</v>
      </c>
      <c r="B251" s="51"/>
      <c r="C251" s="44" t="s">
        <v>92</v>
      </c>
      <c r="D251" s="35"/>
      <c r="E251" s="45">
        <f>5408529+3500000</f>
        <v>8908529</v>
      </c>
      <c r="F251" s="45"/>
      <c r="G251" s="45">
        <v>13432988</v>
      </c>
      <c r="H251" s="45"/>
      <c r="I251" s="45">
        <v>2183327</v>
      </c>
      <c r="J251" s="45"/>
      <c r="K251" s="45">
        <v>2950015</v>
      </c>
      <c r="L251" s="45"/>
      <c r="M251" s="45">
        <f>112313+4496</f>
        <v>116809</v>
      </c>
      <c r="N251" s="45"/>
      <c r="O251" s="45">
        <v>25126</v>
      </c>
      <c r="P251" s="45"/>
      <c r="Q251" s="45">
        <v>10341038</v>
      </c>
      <c r="R251" s="45"/>
      <c r="S251" s="45">
        <f t="shared" si="24"/>
        <v>10482973</v>
      </c>
      <c r="T251" s="45"/>
      <c r="U251" s="44">
        <f t="shared" si="25"/>
        <v>0</v>
      </c>
      <c r="V251" s="44">
        <f t="shared" si="26"/>
        <v>0</v>
      </c>
    </row>
    <row r="252" spans="1:22" s="44" customFormat="1" ht="12.75" customHeight="1" x14ac:dyDescent="0.2">
      <c r="A252" s="44" t="s">
        <v>276</v>
      </c>
      <c r="C252" s="44" t="s">
        <v>38</v>
      </c>
      <c r="D252" s="35"/>
      <c r="E252" s="45">
        <v>3616375</v>
      </c>
      <c r="F252" s="45"/>
      <c r="G252" s="45">
        <v>5138229</v>
      </c>
      <c r="H252" s="45"/>
      <c r="I252" s="45">
        <v>393368</v>
      </c>
      <c r="J252" s="45"/>
      <c r="K252" s="45">
        <v>894007</v>
      </c>
      <c r="L252" s="45"/>
      <c r="M252" s="45">
        <v>1609902</v>
      </c>
      <c r="N252" s="45"/>
      <c r="O252" s="45">
        <v>535996</v>
      </c>
      <c r="P252" s="45"/>
      <c r="Q252" s="45">
        <v>2098324</v>
      </c>
      <c r="R252" s="45"/>
      <c r="S252" s="45">
        <f t="shared" si="24"/>
        <v>4244222</v>
      </c>
      <c r="T252" s="45"/>
      <c r="U252" s="44">
        <f t="shared" si="25"/>
        <v>0</v>
      </c>
      <c r="V252" s="44">
        <f>+G252-K252-S252</f>
        <v>0</v>
      </c>
    </row>
    <row r="253" spans="1:22" s="44" customFormat="1" ht="12.75" customHeight="1" x14ac:dyDescent="0.2">
      <c r="A253" s="44" t="s">
        <v>277</v>
      </c>
      <c r="B253" s="51"/>
      <c r="C253" s="44" t="s">
        <v>92</v>
      </c>
      <c r="D253" s="35"/>
      <c r="E253" s="45">
        <v>7385865</v>
      </c>
      <c r="F253" s="45"/>
      <c r="G253" s="45">
        <v>16504546</v>
      </c>
      <c r="H253" s="45"/>
      <c r="I253" s="45">
        <v>4184866</v>
      </c>
      <c r="J253" s="45"/>
      <c r="K253" s="45">
        <v>5933861</v>
      </c>
      <c r="L253" s="45"/>
      <c r="M253" s="45">
        <v>1470320</v>
      </c>
      <c r="N253" s="45"/>
      <c r="O253" s="45">
        <v>2018544</v>
      </c>
      <c r="P253" s="45"/>
      <c r="Q253" s="45">
        <v>7081821</v>
      </c>
      <c r="R253" s="45"/>
      <c r="S253" s="45">
        <f t="shared" si="24"/>
        <v>10570685</v>
      </c>
      <c r="T253" s="45"/>
      <c r="U253" s="44">
        <f t="shared" si="25"/>
        <v>0</v>
      </c>
      <c r="V253" s="44">
        <f t="shared" si="26"/>
        <v>0</v>
      </c>
    </row>
    <row r="254" spans="1:22" s="44" customFormat="1" ht="12.75" customHeight="1" x14ac:dyDescent="0.2">
      <c r="A254" s="44" t="s">
        <v>278</v>
      </c>
      <c r="B254" s="51"/>
      <c r="C254" s="44" t="s">
        <v>92</v>
      </c>
      <c r="D254" s="35"/>
      <c r="E254" s="45">
        <f>820186+28416</f>
        <v>848602</v>
      </c>
      <c r="F254" s="45"/>
      <c r="G254" s="45">
        <v>2897794</v>
      </c>
      <c r="H254" s="45"/>
      <c r="I254" s="45">
        <v>1572090</v>
      </c>
      <c r="J254" s="45"/>
      <c r="K254" s="45">
        <v>1745828</v>
      </c>
      <c r="L254" s="45"/>
      <c r="M254" s="45">
        <f>90190+74030</f>
        <v>164220</v>
      </c>
      <c r="N254" s="45"/>
      <c r="O254" s="45">
        <v>38444</v>
      </c>
      <c r="P254" s="45"/>
      <c r="Q254" s="45">
        <v>949302</v>
      </c>
      <c r="R254" s="45"/>
      <c r="S254" s="45">
        <f t="shared" si="24"/>
        <v>1151966</v>
      </c>
      <c r="T254" s="45"/>
      <c r="U254" s="44">
        <f t="shared" si="25"/>
        <v>0</v>
      </c>
      <c r="V254" s="44">
        <f t="shared" si="26"/>
        <v>0</v>
      </c>
    </row>
    <row r="255" spans="1:22" s="44" customFormat="1" ht="12.75" customHeight="1" x14ac:dyDescent="0.2">
      <c r="A255" s="44" t="s">
        <v>279</v>
      </c>
      <c r="C255" s="44" t="s">
        <v>92</v>
      </c>
      <c r="D255" s="35"/>
      <c r="E255" s="45">
        <v>1678176</v>
      </c>
      <c r="F255" s="45"/>
      <c r="G255" s="45">
        <v>6394720</v>
      </c>
      <c r="H255" s="45"/>
      <c r="I255" s="45">
        <v>4100092</v>
      </c>
      <c r="J255" s="45"/>
      <c r="K255" s="45">
        <v>4667269</v>
      </c>
      <c r="L255" s="45"/>
      <c r="M255" s="45">
        <f>8285+156607</f>
        <v>164892</v>
      </c>
      <c r="N255" s="45"/>
      <c r="O255" s="45">
        <v>19818</v>
      </c>
      <c r="P255" s="45"/>
      <c r="Q255" s="45">
        <v>1542741</v>
      </c>
      <c r="R255" s="45"/>
      <c r="S255" s="45">
        <f t="shared" si="24"/>
        <v>1727451</v>
      </c>
      <c r="T255" s="45"/>
      <c r="U255" s="44">
        <f t="shared" si="25"/>
        <v>0</v>
      </c>
      <c r="V255" s="44">
        <f t="shared" si="26"/>
        <v>0</v>
      </c>
    </row>
    <row r="256" spans="1:22" s="44" customFormat="1" ht="12.75" customHeight="1" x14ac:dyDescent="0.2">
      <c r="A256" s="44" t="s">
        <v>280</v>
      </c>
      <c r="B256" s="51"/>
      <c r="C256" s="44" t="s">
        <v>281</v>
      </c>
      <c r="D256" s="35"/>
      <c r="E256" s="45">
        <v>3051029</v>
      </c>
      <c r="F256" s="45"/>
      <c r="G256" s="45">
        <v>4973082</v>
      </c>
      <c r="H256" s="45"/>
      <c r="I256" s="45">
        <v>921870</v>
      </c>
      <c r="J256" s="45"/>
      <c r="K256" s="45">
        <v>1615230</v>
      </c>
      <c r="L256" s="45"/>
      <c r="M256" s="45">
        <v>0</v>
      </c>
      <c r="N256" s="45"/>
      <c r="O256" s="45">
        <v>172661</v>
      </c>
      <c r="P256" s="45"/>
      <c r="Q256" s="45">
        <v>3185191</v>
      </c>
      <c r="R256" s="45"/>
      <c r="S256" s="45">
        <f t="shared" si="24"/>
        <v>3357852</v>
      </c>
      <c r="T256" s="45"/>
      <c r="U256" s="44">
        <f t="shared" si="25"/>
        <v>0</v>
      </c>
      <c r="V256" s="44">
        <f t="shared" si="26"/>
        <v>0</v>
      </c>
    </row>
    <row r="257" spans="1:22" s="44" customFormat="1" ht="12.75" customHeight="1" x14ac:dyDescent="0.2">
      <c r="A257" s="44" t="s">
        <v>282</v>
      </c>
      <c r="B257" s="51"/>
      <c r="C257" s="44" t="s">
        <v>199</v>
      </c>
      <c r="D257" s="35"/>
      <c r="E257" s="45">
        <v>11165028</v>
      </c>
      <c r="F257" s="45"/>
      <c r="G257" s="45">
        <v>16981183</v>
      </c>
      <c r="H257" s="45"/>
      <c r="I257" s="45">
        <v>4250323</v>
      </c>
      <c r="J257" s="45"/>
      <c r="K257" s="45">
        <v>5390233</v>
      </c>
      <c r="L257" s="45"/>
      <c r="M257" s="45">
        <v>53953</v>
      </c>
      <c r="N257" s="45"/>
      <c r="O257" s="45">
        <v>2702135</v>
      </c>
      <c r="P257" s="45"/>
      <c r="Q257" s="45">
        <v>8834862</v>
      </c>
      <c r="R257" s="45"/>
      <c r="S257" s="45">
        <f t="shared" si="24"/>
        <v>11590950</v>
      </c>
      <c r="T257" s="45"/>
      <c r="U257" s="44">
        <f t="shared" si="25"/>
        <v>0</v>
      </c>
      <c r="V257" s="44">
        <f t="shared" si="26"/>
        <v>0</v>
      </c>
    </row>
    <row r="258" spans="1:22" s="44" customFormat="1" ht="12.75" customHeight="1" x14ac:dyDescent="0.2">
      <c r="A258" s="44" t="s">
        <v>283</v>
      </c>
      <c r="B258" s="51"/>
      <c r="C258" s="44" t="s">
        <v>43</v>
      </c>
      <c r="D258" s="35"/>
      <c r="E258" s="45">
        <v>3385695</v>
      </c>
      <c r="F258" s="45"/>
      <c r="G258" s="45">
        <v>9944574</v>
      </c>
      <c r="H258" s="45"/>
      <c r="I258" s="45">
        <v>3491257</v>
      </c>
      <c r="J258" s="45"/>
      <c r="K258" s="45">
        <v>4794239</v>
      </c>
      <c r="L258" s="45"/>
      <c r="M258" s="45">
        <f>39131+402659</f>
        <v>441790</v>
      </c>
      <c r="N258" s="45"/>
      <c r="O258" s="45">
        <v>21489</v>
      </c>
      <c r="P258" s="45"/>
      <c r="Q258" s="45">
        <v>4687056</v>
      </c>
      <c r="R258" s="45"/>
      <c r="S258" s="45">
        <f t="shared" si="24"/>
        <v>5150335</v>
      </c>
      <c r="T258" s="45"/>
      <c r="U258" s="44">
        <f t="shared" si="25"/>
        <v>0</v>
      </c>
      <c r="V258" s="44">
        <f t="shared" si="26"/>
        <v>0</v>
      </c>
    </row>
    <row r="259" spans="1:22" s="44" customFormat="1" ht="12.75" customHeight="1" x14ac:dyDescent="0.2">
      <c r="A259" s="44" t="s">
        <v>284</v>
      </c>
      <c r="B259" s="51"/>
      <c r="C259" s="44" t="s">
        <v>45</v>
      </c>
      <c r="D259" s="35"/>
      <c r="E259" s="45">
        <v>2158818</v>
      </c>
      <c r="F259" s="45"/>
      <c r="G259" s="45">
        <v>6552019</v>
      </c>
      <c r="H259" s="45"/>
      <c r="I259" s="45">
        <v>3643363</v>
      </c>
      <c r="J259" s="45"/>
      <c r="K259" s="45">
        <v>4136270</v>
      </c>
      <c r="L259" s="45"/>
      <c r="M259" s="45">
        <v>0</v>
      </c>
      <c r="N259" s="45"/>
      <c r="O259" s="45">
        <v>220725</v>
      </c>
      <c r="P259" s="45"/>
      <c r="Q259" s="45">
        <v>2195024</v>
      </c>
      <c r="R259" s="45"/>
      <c r="S259" s="45">
        <f t="shared" si="24"/>
        <v>2415749</v>
      </c>
      <c r="T259" s="45"/>
      <c r="U259" s="44">
        <f t="shared" si="25"/>
        <v>0</v>
      </c>
      <c r="V259" s="44">
        <f t="shared" si="26"/>
        <v>0</v>
      </c>
    </row>
    <row r="260" spans="1:22" s="44" customFormat="1" ht="12.75" customHeight="1" x14ac:dyDescent="0.2">
      <c r="A260" s="44" t="s">
        <v>285</v>
      </c>
      <c r="B260" s="51"/>
      <c r="C260" s="44" t="s">
        <v>30</v>
      </c>
      <c r="D260" s="35"/>
      <c r="E260" s="45">
        <f>364254+486121</f>
        <v>850375</v>
      </c>
      <c r="F260" s="45"/>
      <c r="G260" s="45">
        <v>4137463</v>
      </c>
      <c r="H260" s="45"/>
      <c r="I260" s="45">
        <v>1878680</v>
      </c>
      <c r="J260" s="45"/>
      <c r="K260" s="45">
        <v>2017714</v>
      </c>
      <c r="L260" s="45"/>
      <c r="M260" s="45">
        <f>9747+49297</f>
        <v>59044</v>
      </c>
      <c r="N260" s="45"/>
      <c r="O260" s="45">
        <v>188601</v>
      </c>
      <c r="P260" s="45"/>
      <c r="Q260" s="45">
        <v>1872104</v>
      </c>
      <c r="R260" s="45"/>
      <c r="S260" s="45">
        <f t="shared" si="24"/>
        <v>2119749</v>
      </c>
      <c r="T260" s="45"/>
      <c r="U260" s="44">
        <f t="shared" si="25"/>
        <v>0</v>
      </c>
      <c r="V260" s="44">
        <f t="shared" si="26"/>
        <v>0</v>
      </c>
    </row>
    <row r="261" spans="1:22" s="121" customFormat="1" ht="12.75" customHeight="1" x14ac:dyDescent="0.2">
      <c r="A261" s="44" t="s">
        <v>286</v>
      </c>
      <c r="B261" s="51"/>
      <c r="C261" s="44" t="s">
        <v>61</v>
      </c>
      <c r="D261" s="35"/>
      <c r="E261" s="45">
        <v>0</v>
      </c>
      <c r="F261" s="45"/>
      <c r="G261" s="45">
        <v>11105118</v>
      </c>
      <c r="H261" s="45"/>
      <c r="I261" s="45">
        <v>4256122</v>
      </c>
      <c r="J261" s="45"/>
      <c r="K261" s="45">
        <v>5979362</v>
      </c>
      <c r="L261" s="45"/>
      <c r="M261" s="45">
        <v>3046118</v>
      </c>
      <c r="N261" s="45"/>
      <c r="O261" s="45">
        <v>355489</v>
      </c>
      <c r="P261" s="45"/>
      <c r="Q261" s="45">
        <v>1724149</v>
      </c>
      <c r="R261" s="45"/>
      <c r="S261" s="45">
        <f t="shared" si="24"/>
        <v>5125756</v>
      </c>
      <c r="T261" s="127"/>
      <c r="U261" s="121">
        <f t="shared" si="25"/>
        <v>0</v>
      </c>
      <c r="V261" s="121">
        <f t="shared" si="26"/>
        <v>0</v>
      </c>
    </row>
    <row r="262" spans="1:22" s="44" customFormat="1" ht="12.75" customHeight="1" x14ac:dyDescent="0.2">
      <c r="A262" s="44" t="s">
        <v>287</v>
      </c>
      <c r="C262" s="44" t="s">
        <v>288</v>
      </c>
      <c r="D262" s="35"/>
      <c r="E262" s="45">
        <f>1669624+6579+6002</f>
        <v>1682205</v>
      </c>
      <c r="F262" s="45"/>
      <c r="G262" s="45">
        <v>6418552</v>
      </c>
      <c r="H262" s="45"/>
      <c r="I262" s="45">
        <v>3069723</v>
      </c>
      <c r="J262" s="45"/>
      <c r="K262" s="45">
        <v>3747264</v>
      </c>
      <c r="L262" s="45"/>
      <c r="M262" s="45">
        <v>23219</v>
      </c>
      <c r="N262" s="45"/>
      <c r="O262" s="45">
        <v>50610</v>
      </c>
      <c r="P262" s="45"/>
      <c r="Q262" s="45">
        <v>2597459</v>
      </c>
      <c r="R262" s="45"/>
      <c r="S262" s="45">
        <f t="shared" si="24"/>
        <v>2671288</v>
      </c>
      <c r="T262" s="45"/>
      <c r="U262" s="44">
        <f t="shared" si="25"/>
        <v>0</v>
      </c>
      <c r="V262" s="44">
        <f t="shared" si="26"/>
        <v>0</v>
      </c>
    </row>
    <row r="263" spans="1:22" s="44" customFormat="1" ht="12.75" customHeight="1" x14ac:dyDescent="0.2">
      <c r="B263" s="51"/>
    </row>
    <row r="264" spans="1:22" s="44" customFormat="1" ht="12.75" customHeight="1" x14ac:dyDescent="0.2">
      <c r="B264" s="51"/>
    </row>
    <row r="265" spans="1:22" s="44" customFormat="1" ht="12.75" customHeight="1" x14ac:dyDescent="0.2">
      <c r="B265" s="51"/>
    </row>
    <row r="266" spans="1:22" s="44" customFormat="1" ht="12.75" customHeight="1" x14ac:dyDescent="0.2">
      <c r="B266" s="51"/>
    </row>
    <row r="267" spans="1:22" s="44" customFormat="1" ht="12.75" customHeight="1" x14ac:dyDescent="0.2">
      <c r="B267" s="51"/>
    </row>
    <row r="268" spans="1:22" s="44" customFormat="1" ht="12.75" customHeight="1" x14ac:dyDescent="0.2">
      <c r="B268" s="51"/>
    </row>
    <row r="269" spans="1:22" s="44" customFormat="1" ht="12.75" customHeight="1" x14ac:dyDescent="0.2">
      <c r="B269" s="51"/>
    </row>
    <row r="270" spans="1:22" s="44" customFormat="1" ht="12.75" customHeight="1" x14ac:dyDescent="0.2">
      <c r="B270" s="51"/>
    </row>
    <row r="271" spans="1:22" s="44" customFormat="1" ht="12.75" customHeight="1" x14ac:dyDescent="0.2">
      <c r="B271" s="51"/>
    </row>
    <row r="272" spans="1:22" s="44" customFormat="1" ht="12.75" customHeight="1" x14ac:dyDescent="0.2">
      <c r="B272" s="51"/>
    </row>
    <row r="273" spans="2:2" s="44" customFormat="1" ht="12.75" customHeight="1" x14ac:dyDescent="0.2">
      <c r="B273" s="51"/>
    </row>
    <row r="274" spans="2:2" s="44" customFormat="1" ht="12.75" customHeight="1" x14ac:dyDescent="0.2">
      <c r="B274" s="51"/>
    </row>
    <row r="275" spans="2:2" s="44" customFormat="1" ht="12.75" customHeight="1" x14ac:dyDescent="0.2">
      <c r="B275" s="51"/>
    </row>
    <row r="276" spans="2:2" s="44" customFormat="1" ht="12.75" customHeight="1" x14ac:dyDescent="0.2">
      <c r="B276" s="51"/>
    </row>
    <row r="277" spans="2:2" s="44" customFormat="1" ht="12.75" customHeight="1" x14ac:dyDescent="0.2">
      <c r="B277" s="51"/>
    </row>
    <row r="278" spans="2:2" s="44" customFormat="1" ht="12.75" customHeight="1" x14ac:dyDescent="0.2">
      <c r="B278" s="51"/>
    </row>
    <row r="279" spans="2:2" s="44" customFormat="1" ht="12.75" customHeight="1" x14ac:dyDescent="0.2">
      <c r="B279" s="51"/>
    </row>
    <row r="280" spans="2:2" s="44" customFormat="1" ht="12.75" customHeight="1" x14ac:dyDescent="0.2">
      <c r="B280" s="51"/>
    </row>
    <row r="281" spans="2:2" s="44" customFormat="1" ht="12.75" customHeight="1" x14ac:dyDescent="0.2">
      <c r="B281" s="51"/>
    </row>
    <row r="282" spans="2:2" s="44" customFormat="1" ht="12.75" customHeight="1" x14ac:dyDescent="0.2">
      <c r="B282" s="51"/>
    </row>
    <row r="283" spans="2:2" s="44" customFormat="1" ht="12.75" customHeight="1" x14ac:dyDescent="0.2">
      <c r="B283" s="51"/>
    </row>
    <row r="284" spans="2:2" s="44" customFormat="1" ht="12.75" customHeight="1" x14ac:dyDescent="0.2">
      <c r="B284" s="51"/>
    </row>
    <row r="285" spans="2:2" s="44" customFormat="1" ht="12.75" customHeight="1" x14ac:dyDescent="0.2">
      <c r="B285" s="51"/>
    </row>
    <row r="286" spans="2:2" s="44" customFormat="1" ht="12.75" customHeight="1" x14ac:dyDescent="0.2">
      <c r="B286" s="51"/>
    </row>
    <row r="287" spans="2:2" s="44" customFormat="1" ht="12.75" customHeight="1" x14ac:dyDescent="0.2">
      <c r="B287" s="51"/>
    </row>
    <row r="288" spans="2:2" s="44" customFormat="1" ht="12.75" customHeight="1" x14ac:dyDescent="0.2">
      <c r="B288" s="51"/>
    </row>
    <row r="289" spans="2:2" s="44" customFormat="1" ht="12.75" customHeight="1" x14ac:dyDescent="0.2">
      <c r="B289" s="51"/>
    </row>
    <row r="290" spans="2:2" s="44" customFormat="1" ht="12.75" customHeight="1" x14ac:dyDescent="0.2">
      <c r="B290" s="51"/>
    </row>
    <row r="291" spans="2:2" s="44" customFormat="1" ht="12.75" customHeight="1" x14ac:dyDescent="0.2">
      <c r="B291" s="51"/>
    </row>
    <row r="292" spans="2:2" s="44" customFormat="1" ht="12.75" customHeight="1" x14ac:dyDescent="0.2">
      <c r="B292" s="51"/>
    </row>
    <row r="293" spans="2:2" s="44" customFormat="1" ht="12.75" customHeight="1" x14ac:dyDescent="0.2">
      <c r="B293" s="51"/>
    </row>
    <row r="294" spans="2:2" s="44" customFormat="1" ht="12.75" customHeight="1" x14ac:dyDescent="0.2">
      <c r="B294" s="51"/>
    </row>
    <row r="295" spans="2:2" s="44" customFormat="1" ht="12.75" customHeight="1" x14ac:dyDescent="0.2">
      <c r="B295" s="51"/>
    </row>
    <row r="296" spans="2:2" s="44" customFormat="1" ht="12.75" customHeight="1" x14ac:dyDescent="0.2">
      <c r="B296" s="51"/>
    </row>
    <row r="297" spans="2:2" s="44" customFormat="1" ht="12.75" customHeight="1" x14ac:dyDescent="0.2">
      <c r="B297" s="51"/>
    </row>
    <row r="298" spans="2:2" s="44" customFormat="1" ht="12.75" customHeight="1" x14ac:dyDescent="0.2">
      <c r="B298" s="51"/>
    </row>
    <row r="299" spans="2:2" s="44" customFormat="1" ht="12.75" customHeight="1" x14ac:dyDescent="0.2">
      <c r="B299" s="51"/>
    </row>
    <row r="300" spans="2:2" s="44" customFormat="1" ht="12.75" customHeight="1" x14ac:dyDescent="0.2">
      <c r="B300" s="51"/>
    </row>
    <row r="301" spans="2:2" s="44" customFormat="1" ht="12.75" customHeight="1" x14ac:dyDescent="0.2">
      <c r="B301" s="51"/>
    </row>
    <row r="302" spans="2:2" s="44" customFormat="1" ht="12.75" customHeight="1" x14ac:dyDescent="0.2">
      <c r="B302" s="51"/>
    </row>
    <row r="303" spans="2:2" s="44" customFormat="1" ht="12.75" customHeight="1" x14ac:dyDescent="0.2">
      <c r="B303" s="51"/>
    </row>
    <row r="304" spans="2:2" s="44" customFormat="1" ht="12.75" customHeight="1" x14ac:dyDescent="0.2">
      <c r="B304" s="51"/>
    </row>
    <row r="305" spans="2:2" s="44" customFormat="1" ht="12.75" customHeight="1" x14ac:dyDescent="0.2">
      <c r="B305" s="51"/>
    </row>
    <row r="306" spans="2:2" s="44" customFormat="1" ht="12.75" customHeight="1" x14ac:dyDescent="0.2">
      <c r="B306" s="51"/>
    </row>
    <row r="307" spans="2:2" s="44" customFormat="1" ht="12.75" customHeight="1" x14ac:dyDescent="0.2">
      <c r="B307" s="51"/>
    </row>
    <row r="308" spans="2:2" s="44" customFormat="1" ht="12.75" customHeight="1" x14ac:dyDescent="0.2">
      <c r="B308" s="51"/>
    </row>
    <row r="309" spans="2:2" s="44" customFormat="1" ht="12.75" customHeight="1" x14ac:dyDescent="0.2">
      <c r="B309" s="51"/>
    </row>
    <row r="310" spans="2:2" s="44" customFormat="1" ht="12.75" customHeight="1" x14ac:dyDescent="0.2">
      <c r="B310" s="51"/>
    </row>
    <row r="311" spans="2:2" s="44" customFormat="1" ht="12.75" customHeight="1" x14ac:dyDescent="0.2">
      <c r="B311" s="51"/>
    </row>
    <row r="312" spans="2:2" s="44" customFormat="1" ht="12.75" customHeight="1" x14ac:dyDescent="0.2">
      <c r="B312" s="51"/>
    </row>
    <row r="313" spans="2:2" s="44" customFormat="1" ht="12.75" customHeight="1" x14ac:dyDescent="0.2">
      <c r="B313" s="51"/>
    </row>
    <row r="314" spans="2:2" s="44" customFormat="1" ht="12.75" customHeight="1" x14ac:dyDescent="0.2">
      <c r="B314" s="51"/>
    </row>
    <row r="315" spans="2:2" s="44" customFormat="1" ht="12.75" customHeight="1" x14ac:dyDescent="0.2">
      <c r="B315" s="51"/>
    </row>
    <row r="316" spans="2:2" s="44" customFormat="1" ht="12.75" customHeight="1" x14ac:dyDescent="0.2">
      <c r="B316" s="51"/>
    </row>
    <row r="317" spans="2:2" s="44" customFormat="1" ht="12.75" customHeight="1" x14ac:dyDescent="0.2">
      <c r="B317" s="51"/>
    </row>
    <row r="318" spans="2:2" s="44" customFormat="1" ht="12.75" customHeight="1" x14ac:dyDescent="0.2">
      <c r="B318" s="51"/>
    </row>
    <row r="319" spans="2:2" s="44" customFormat="1" ht="12.75" customHeight="1" x14ac:dyDescent="0.2">
      <c r="B319" s="51"/>
    </row>
    <row r="320" spans="2:2" s="44" customFormat="1" ht="12.75" customHeight="1" x14ac:dyDescent="0.2">
      <c r="B320" s="51"/>
    </row>
    <row r="321" spans="2:2" s="44" customFormat="1" ht="12.75" customHeight="1" x14ac:dyDescent="0.2">
      <c r="B321" s="51"/>
    </row>
    <row r="322" spans="2:2" s="44" customFormat="1" ht="12.75" customHeight="1" x14ac:dyDescent="0.2">
      <c r="B322" s="51"/>
    </row>
    <row r="323" spans="2:2" s="44" customFormat="1" ht="12.75" customHeight="1" x14ac:dyDescent="0.2">
      <c r="B323" s="51"/>
    </row>
    <row r="324" spans="2:2" s="44" customFormat="1" ht="12.75" customHeight="1" x14ac:dyDescent="0.2">
      <c r="B324" s="51"/>
    </row>
    <row r="325" spans="2:2" s="44" customFormat="1" ht="12.75" customHeight="1" x14ac:dyDescent="0.2">
      <c r="B325" s="51"/>
    </row>
    <row r="326" spans="2:2" s="44" customFormat="1" ht="12.75" customHeight="1" x14ac:dyDescent="0.2">
      <c r="B326" s="51"/>
    </row>
    <row r="327" spans="2:2" s="44" customFormat="1" ht="12.75" customHeight="1" x14ac:dyDescent="0.2">
      <c r="B327" s="51"/>
    </row>
    <row r="328" spans="2:2" s="44" customFormat="1" ht="12.75" customHeight="1" x14ac:dyDescent="0.2">
      <c r="B328" s="51"/>
    </row>
    <row r="329" spans="2:2" s="44" customFormat="1" ht="12.75" customHeight="1" x14ac:dyDescent="0.2">
      <c r="B329" s="51"/>
    </row>
    <row r="330" spans="2:2" s="44" customFormat="1" ht="12.75" customHeight="1" x14ac:dyDescent="0.2">
      <c r="B330" s="51"/>
    </row>
    <row r="331" spans="2:2" s="44" customFormat="1" ht="12.75" customHeight="1" x14ac:dyDescent="0.2">
      <c r="B331" s="51"/>
    </row>
  </sheetData>
  <phoneticPr fontId="4" type="noConversion"/>
  <pageMargins left="0.75" right="0.75" top="0.5" bottom="0.5" header="0" footer="0.25"/>
  <pageSetup scale="91" firstPageNumber="32" pageOrder="overThenDown" orientation="portrait" useFirstPageNumber="1" r:id="rId1"/>
  <headerFooter alignWithMargins="0">
    <oddFooter>&amp;C&amp;"Times New Roman,Regular"&amp;11&amp;P</oddFooter>
  </headerFooter>
  <rowBreaks count="4" manualBreakCount="4">
    <brk id="61" max="18" man="1"/>
    <brk id="116" max="18" man="1"/>
    <brk id="168" max="18" man="1"/>
    <brk id="219" max="18" man="1"/>
  </rowBreaks>
  <colBreaks count="1" manualBreakCount="1">
    <brk id="12" min="9" max="26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7"/>
  <sheetViews>
    <sheetView view="pageBreakPreview" zoomScaleNormal="100" zoomScaleSheetLayoutView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4" sqref="A4"/>
    </sheetView>
  </sheetViews>
  <sheetFormatPr defaultColWidth="0" defaultRowHeight="12.75" customHeight="1" x14ac:dyDescent="0.2"/>
  <cols>
    <col min="1" max="1" width="18.7109375" style="2" customWidth="1"/>
    <col min="2" max="2" width="1.7109375" customWidth="1"/>
    <col min="3" max="3" width="11.5703125" style="2" customWidth="1"/>
    <col min="4" max="4" width="1.7109375" style="2" customWidth="1"/>
    <col min="5" max="5" width="12.140625" style="2" bestFit="1" customWidth="1"/>
    <col min="6" max="6" width="1.7109375" style="2" customWidth="1"/>
    <col min="7" max="7" width="12.140625" style="2" bestFit="1" customWidth="1"/>
    <col min="8" max="8" width="1.7109375" style="2" customWidth="1"/>
    <col min="9" max="9" width="12.140625" style="2" bestFit="1" customWidth="1"/>
    <col min="10" max="10" width="1.7109375" style="2" customWidth="1"/>
    <col min="11" max="11" width="12.140625" style="2" bestFit="1" customWidth="1"/>
    <col min="12" max="12" width="1.7109375" style="2" customWidth="1"/>
    <col min="13" max="13" width="12.140625" style="2" bestFit="1" customWidth="1"/>
    <col min="14" max="14" width="1.7109375" style="2" customWidth="1"/>
    <col min="15" max="15" width="11.7109375" style="2" customWidth="1"/>
    <col min="16" max="16" width="1.7109375" style="2" customWidth="1"/>
    <col min="17" max="17" width="11.7109375" style="2" customWidth="1"/>
    <col min="18" max="18" width="1.7109375" style="2" customWidth="1"/>
    <col min="19" max="19" width="12.140625" style="2" bestFit="1" customWidth="1"/>
    <col min="20" max="20" width="1.7109375" style="2" customWidth="1"/>
    <col min="21" max="22" width="11.7109375" style="2" customWidth="1"/>
    <col min="23" max="27" width="11.7109375" style="2" hidden="1" customWidth="1"/>
    <col min="28" max="16384" width="0" style="2" hidden="1"/>
  </cols>
  <sheetData>
    <row r="1" spans="1:22" ht="12.75" customHeight="1" x14ac:dyDescent="0.2">
      <c r="A1" s="1" t="s">
        <v>390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2" ht="12.75" customHeight="1" x14ac:dyDescent="0.2">
      <c r="A2" s="29" t="s">
        <v>500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2" ht="12.75" customHeight="1" x14ac:dyDescent="0.2">
      <c r="A3" s="22" t="s">
        <v>289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2" ht="12.75" customHeight="1" x14ac:dyDescent="0.2">
      <c r="A4" s="22" t="s">
        <v>484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2" ht="12.75" customHeight="1" x14ac:dyDescent="0.2">
      <c r="O5" s="6" t="s">
        <v>318</v>
      </c>
      <c r="P5" s="6"/>
      <c r="Q5" s="6" t="s">
        <v>318</v>
      </c>
    </row>
    <row r="6" spans="1:22" s="3" customFormat="1" ht="12.75" customHeight="1" x14ac:dyDescent="0.2">
      <c r="A6" s="6"/>
      <c r="C6" s="6"/>
      <c r="D6" s="6"/>
      <c r="E6" s="6"/>
      <c r="F6" s="6"/>
      <c r="G6" s="6"/>
      <c r="H6" s="6"/>
      <c r="I6" s="6"/>
      <c r="J6" s="6"/>
      <c r="K6" s="6"/>
      <c r="L6" s="6"/>
      <c r="M6" s="6" t="s">
        <v>317</v>
      </c>
      <c r="N6" s="6"/>
      <c r="O6" s="8" t="s">
        <v>437</v>
      </c>
      <c r="P6" s="6"/>
      <c r="Q6" s="6" t="s">
        <v>321</v>
      </c>
      <c r="R6" s="6"/>
      <c r="S6" s="6" t="s">
        <v>6</v>
      </c>
      <c r="T6" s="6"/>
    </row>
    <row r="7" spans="1:22" s="3" customFormat="1" ht="12.75" customHeight="1" x14ac:dyDescent="0.2">
      <c r="A7" s="6"/>
      <c r="C7" s="6"/>
      <c r="D7" s="6"/>
      <c r="E7" s="6" t="s">
        <v>319</v>
      </c>
      <c r="F7" s="6"/>
      <c r="G7" s="6" t="s">
        <v>6</v>
      </c>
      <c r="H7" s="6"/>
      <c r="I7" s="6" t="s">
        <v>5</v>
      </c>
      <c r="J7" s="6"/>
      <c r="K7" s="6" t="s">
        <v>6</v>
      </c>
      <c r="L7" s="6"/>
      <c r="M7" s="6" t="s">
        <v>320</v>
      </c>
      <c r="N7" s="6"/>
      <c r="O7" s="3" t="s">
        <v>497</v>
      </c>
      <c r="Q7" s="3" t="s">
        <v>498</v>
      </c>
      <c r="R7" s="6"/>
      <c r="S7" s="6" t="s">
        <v>320</v>
      </c>
      <c r="T7" s="6"/>
      <c r="U7" s="3" t="s">
        <v>428</v>
      </c>
    </row>
    <row r="8" spans="1:22" s="81" customFormat="1" ht="12.75" customHeight="1" x14ac:dyDescent="0.2">
      <c r="A8" s="78" t="s">
        <v>8</v>
      </c>
      <c r="C8" s="78" t="s">
        <v>9</v>
      </c>
      <c r="D8" s="8"/>
      <c r="E8" s="78" t="s">
        <v>322</v>
      </c>
      <c r="F8" s="8"/>
      <c r="G8" s="78" t="s">
        <v>0</v>
      </c>
      <c r="H8" s="8"/>
      <c r="I8" s="78" t="s">
        <v>323</v>
      </c>
      <c r="J8" s="8"/>
      <c r="K8" s="78" t="s">
        <v>1</v>
      </c>
      <c r="L8" s="8"/>
      <c r="M8" s="78" t="s">
        <v>324</v>
      </c>
      <c r="N8" s="8"/>
      <c r="O8" s="78" t="s">
        <v>325</v>
      </c>
      <c r="P8" s="8"/>
      <c r="Q8" s="78" t="s">
        <v>325</v>
      </c>
      <c r="R8" s="8"/>
      <c r="S8" s="78" t="s">
        <v>324</v>
      </c>
      <c r="T8" s="8"/>
      <c r="U8" s="104" t="s">
        <v>429</v>
      </c>
    </row>
    <row r="9" spans="1:22" s="81" customFormat="1" ht="12.75" customHeight="1" x14ac:dyDescent="0.2">
      <c r="A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pans="1:22" s="46" customFormat="1" ht="12.75" hidden="1" customHeight="1" x14ac:dyDescent="0.2">
      <c r="A10" s="46" t="s">
        <v>12</v>
      </c>
      <c r="C10" s="46" t="s">
        <v>13</v>
      </c>
      <c r="E10" s="94">
        <f>38500488+81024888</f>
        <v>119525376</v>
      </c>
      <c r="F10" s="94"/>
      <c r="G10" s="94">
        <v>341004070</v>
      </c>
      <c r="H10" s="94"/>
      <c r="I10" s="94">
        <f>3618585+136767406</f>
        <v>140385991</v>
      </c>
      <c r="J10" s="94"/>
      <c r="K10" s="94">
        <v>221099184</v>
      </c>
      <c r="L10" s="94"/>
      <c r="M10" s="94">
        <f>3085645+142850022+5448281</f>
        <v>151383948</v>
      </c>
      <c r="N10" s="94"/>
      <c r="O10" s="94">
        <v>1242472</v>
      </c>
      <c r="P10" s="94"/>
      <c r="Q10" s="94">
        <v>-32721534</v>
      </c>
      <c r="R10" s="94"/>
      <c r="S10" s="94">
        <f t="shared" ref="S10:S70" si="0">+Q10+O10+M10</f>
        <v>119904886</v>
      </c>
      <c r="T10" s="94"/>
      <c r="U10" s="46">
        <f t="shared" ref="U10:U73" si="1">+G10-K10-S10</f>
        <v>0</v>
      </c>
    </row>
    <row r="11" spans="1:22" s="46" customFormat="1" ht="12.75" customHeight="1" x14ac:dyDescent="0.2">
      <c r="A11" s="46" t="s">
        <v>14</v>
      </c>
      <c r="C11" s="46" t="s">
        <v>15</v>
      </c>
      <c r="E11" s="94">
        <f>8831593+20315</f>
        <v>8851908</v>
      </c>
      <c r="F11" s="94"/>
      <c r="G11" s="94">
        <v>16186646</v>
      </c>
      <c r="H11" s="94"/>
      <c r="I11" s="94">
        <v>2803403</v>
      </c>
      <c r="J11" s="94"/>
      <c r="K11" s="94">
        <v>4824756</v>
      </c>
      <c r="L11" s="94"/>
      <c r="M11" s="94">
        <f>1376233+4548302+1585404</f>
        <v>7509939</v>
      </c>
      <c r="N11" s="94"/>
      <c r="O11" s="94">
        <v>65886</v>
      </c>
      <c r="P11" s="94"/>
      <c r="Q11" s="94">
        <v>3786065</v>
      </c>
      <c r="R11" s="94"/>
      <c r="S11" s="94">
        <f t="shared" si="0"/>
        <v>11361890</v>
      </c>
      <c r="T11" s="94"/>
      <c r="U11" s="46">
        <f t="shared" si="1"/>
        <v>0</v>
      </c>
    </row>
    <row r="12" spans="1:22" s="44" customFormat="1" ht="12.75" customHeight="1" x14ac:dyDescent="0.2">
      <c r="A12" s="44" t="s">
        <v>16</v>
      </c>
      <c r="C12" s="44" t="s">
        <v>17</v>
      </c>
      <c r="E12" s="45">
        <v>9183898</v>
      </c>
      <c r="F12" s="45"/>
      <c r="G12" s="45">
        <v>13010999</v>
      </c>
      <c r="H12" s="45"/>
      <c r="I12" s="45">
        <v>2232289</v>
      </c>
      <c r="J12" s="45"/>
      <c r="K12" s="45">
        <v>3065120</v>
      </c>
      <c r="L12" s="45"/>
      <c r="M12" s="45">
        <f>226463+7547819</f>
        <v>7774282</v>
      </c>
      <c r="N12" s="45"/>
      <c r="O12" s="45">
        <v>74755</v>
      </c>
      <c r="P12" s="45"/>
      <c r="Q12" s="45">
        <v>2096842</v>
      </c>
      <c r="R12" s="45"/>
      <c r="S12" s="45">
        <f t="shared" si="0"/>
        <v>9945879</v>
      </c>
      <c r="T12" s="45"/>
      <c r="U12" s="44">
        <f t="shared" si="1"/>
        <v>0</v>
      </c>
    </row>
    <row r="13" spans="1:22" s="44" customFormat="1" ht="12.75" customHeight="1" x14ac:dyDescent="0.2">
      <c r="A13" s="44" t="s">
        <v>18</v>
      </c>
      <c r="C13" s="44" t="s">
        <v>18</v>
      </c>
      <c r="E13" s="45">
        <v>4995169</v>
      </c>
      <c r="F13" s="45"/>
      <c r="G13" s="45">
        <v>10464413</v>
      </c>
      <c r="H13" s="45"/>
      <c r="I13" s="45">
        <v>3529322</v>
      </c>
      <c r="J13" s="45"/>
      <c r="K13" s="45">
        <v>4273901</v>
      </c>
      <c r="L13" s="45"/>
      <c r="M13" s="45">
        <f>335137+3369915+483237</f>
        <v>4188289</v>
      </c>
      <c r="N13" s="45"/>
      <c r="O13" s="45">
        <v>129698</v>
      </c>
      <c r="P13" s="45"/>
      <c r="Q13" s="45">
        <v>1872525</v>
      </c>
      <c r="R13" s="45"/>
      <c r="S13" s="45">
        <f t="shared" si="0"/>
        <v>6190512</v>
      </c>
      <c r="T13" s="45"/>
      <c r="U13" s="44">
        <f t="shared" si="1"/>
        <v>0</v>
      </c>
    </row>
    <row r="14" spans="1:22" s="121" customFormat="1" ht="12.75" hidden="1" customHeight="1" x14ac:dyDescent="0.2">
      <c r="A14" s="121" t="s">
        <v>19</v>
      </c>
      <c r="C14" s="121" t="s">
        <v>19</v>
      </c>
      <c r="E14" s="127">
        <f>1210771+108292+17563</f>
        <v>1336626</v>
      </c>
      <c r="F14" s="127"/>
      <c r="G14" s="127">
        <v>7558356</v>
      </c>
      <c r="H14" s="127"/>
      <c r="I14" s="127">
        <v>5364230</v>
      </c>
      <c r="J14" s="127"/>
      <c r="K14" s="127">
        <v>5948570</v>
      </c>
      <c r="L14" s="127"/>
      <c r="M14" s="127">
        <f>151676+1233854+238085</f>
        <v>1623615</v>
      </c>
      <c r="N14" s="127"/>
      <c r="O14" s="127">
        <v>40815</v>
      </c>
      <c r="P14" s="127"/>
      <c r="Q14" s="127">
        <v>278805</v>
      </c>
      <c r="R14" s="127"/>
      <c r="S14" s="127">
        <f t="shared" si="0"/>
        <v>1943235</v>
      </c>
      <c r="T14" s="127"/>
      <c r="U14" s="121">
        <f t="shared" si="1"/>
        <v>-333449</v>
      </c>
      <c r="V14" s="121" t="s">
        <v>502</v>
      </c>
    </row>
    <row r="15" spans="1:22" s="44" customFormat="1" ht="12.75" customHeight="1" x14ac:dyDescent="0.2">
      <c r="A15" s="44" t="s">
        <v>20</v>
      </c>
      <c r="C15" s="44" t="s">
        <v>20</v>
      </c>
      <c r="E15" s="45">
        <f>7189232+72383</f>
        <v>7261615</v>
      </c>
      <c r="F15" s="45"/>
      <c r="G15" s="45">
        <v>9731814</v>
      </c>
      <c r="H15" s="45"/>
      <c r="I15" s="45">
        <v>924341</v>
      </c>
      <c r="J15" s="45"/>
      <c r="K15" s="45">
        <v>3147737</v>
      </c>
      <c r="L15" s="45"/>
      <c r="M15" s="45">
        <f>328401+5392685</f>
        <v>5721086</v>
      </c>
      <c r="N15" s="45"/>
      <c r="O15" s="45">
        <v>543326</v>
      </c>
      <c r="P15" s="45"/>
      <c r="Q15" s="45">
        <v>319665</v>
      </c>
      <c r="R15" s="45"/>
      <c r="S15" s="45">
        <f t="shared" si="0"/>
        <v>6584077</v>
      </c>
      <c r="T15" s="45"/>
      <c r="U15" s="44">
        <f t="shared" si="1"/>
        <v>0</v>
      </c>
    </row>
    <row r="16" spans="1:22" s="44" customFormat="1" ht="12.75" customHeight="1" x14ac:dyDescent="0.2">
      <c r="A16" s="44" t="s">
        <v>21</v>
      </c>
      <c r="C16" s="44" t="s">
        <v>22</v>
      </c>
      <c r="E16" s="45">
        <v>15418453</v>
      </c>
      <c r="F16" s="45"/>
      <c r="G16" s="45">
        <v>23341453</v>
      </c>
      <c r="H16" s="45"/>
      <c r="I16" s="45">
        <v>2611642</v>
      </c>
      <c r="J16" s="45"/>
      <c r="K16" s="45">
        <v>7420091</v>
      </c>
      <c r="L16" s="45"/>
      <c r="M16" s="45">
        <f>76182+4120165+1995549</f>
        <v>6191896</v>
      </c>
      <c r="N16" s="45"/>
      <c r="O16" s="45">
        <v>3013503</v>
      </c>
      <c r="P16" s="45"/>
      <c r="Q16" s="45">
        <v>6715963</v>
      </c>
      <c r="R16" s="45"/>
      <c r="S16" s="45">
        <f t="shared" si="0"/>
        <v>15921362</v>
      </c>
      <c r="T16" s="45"/>
      <c r="U16" s="44">
        <f t="shared" si="1"/>
        <v>0</v>
      </c>
    </row>
    <row r="17" spans="1:21" s="44" customFormat="1" ht="12.75" customHeight="1" x14ac:dyDescent="0.2">
      <c r="A17" s="44" t="s">
        <v>23</v>
      </c>
      <c r="C17" s="44" t="s">
        <v>17</v>
      </c>
      <c r="E17" s="45">
        <f>23216975+1051123</f>
        <v>24268098</v>
      </c>
      <c r="F17" s="45"/>
      <c r="G17" s="45">
        <v>39860807</v>
      </c>
      <c r="H17" s="45"/>
      <c r="I17" s="45">
        <v>9959325</v>
      </c>
      <c r="J17" s="45"/>
      <c r="K17" s="45">
        <v>44340186</v>
      </c>
      <c r="L17" s="45"/>
      <c r="M17" s="45">
        <f>1428621+4539257+565102</f>
        <v>6532980</v>
      </c>
      <c r="N17" s="45"/>
      <c r="O17" s="45">
        <v>146413</v>
      </c>
      <c r="P17" s="45"/>
      <c r="Q17" s="45">
        <v>-11158772</v>
      </c>
      <c r="R17" s="45"/>
      <c r="S17" s="45">
        <f t="shared" si="0"/>
        <v>-4479379</v>
      </c>
      <c r="T17" s="45"/>
      <c r="U17" s="44">
        <f t="shared" si="1"/>
        <v>0</v>
      </c>
    </row>
    <row r="18" spans="1:21" s="44" customFormat="1" ht="12.75" customHeight="1" x14ac:dyDescent="0.2">
      <c r="A18" s="44" t="s">
        <v>24</v>
      </c>
      <c r="C18" s="44" t="s">
        <v>17</v>
      </c>
      <c r="E18" s="45">
        <f>10492346+57651</f>
        <v>10549997</v>
      </c>
      <c r="F18" s="45"/>
      <c r="G18" s="45">
        <v>23605831</v>
      </c>
      <c r="H18" s="45"/>
      <c r="I18" s="45">
        <v>10558831</v>
      </c>
      <c r="J18" s="45"/>
      <c r="K18" s="45">
        <v>12110359</v>
      </c>
      <c r="L18" s="45"/>
      <c r="M18" s="45">
        <f>223087+2463198+6134797</f>
        <v>8821082</v>
      </c>
      <c r="N18" s="45"/>
      <c r="O18" s="45">
        <v>2290728</v>
      </c>
      <c r="P18" s="45"/>
      <c r="Q18" s="45">
        <v>383662</v>
      </c>
      <c r="R18" s="45"/>
      <c r="S18" s="45">
        <f t="shared" ref="S18" si="2">+Q18+O18+M18</f>
        <v>11495472</v>
      </c>
      <c r="T18" s="45"/>
      <c r="U18" s="44">
        <f t="shared" si="1"/>
        <v>0</v>
      </c>
    </row>
    <row r="19" spans="1:21" s="44" customFormat="1" ht="12.75" customHeight="1" x14ac:dyDescent="0.2">
      <c r="A19" s="44" t="s">
        <v>25</v>
      </c>
      <c r="C19" s="44" t="s">
        <v>13</v>
      </c>
      <c r="E19" s="45">
        <f>6945154+268748</f>
        <v>7213902</v>
      </c>
      <c r="F19" s="45"/>
      <c r="G19" s="45">
        <v>13253961</v>
      </c>
      <c r="H19" s="45"/>
      <c r="I19" s="45">
        <v>2209177</v>
      </c>
      <c r="J19" s="45"/>
      <c r="K19" s="45">
        <v>5484419</v>
      </c>
      <c r="L19" s="45"/>
      <c r="M19" s="45">
        <f>65198+2503349+1267950</f>
        <v>3836497</v>
      </c>
      <c r="N19" s="45"/>
      <c r="O19" s="45">
        <v>236644</v>
      </c>
      <c r="P19" s="45"/>
      <c r="Q19" s="45">
        <v>3696401</v>
      </c>
      <c r="R19" s="45"/>
      <c r="S19" s="45">
        <f t="shared" si="0"/>
        <v>7769542</v>
      </c>
      <c r="T19" s="45"/>
      <c r="U19" s="44">
        <f t="shared" si="1"/>
        <v>0</v>
      </c>
    </row>
    <row r="20" spans="1:21" s="44" customFormat="1" ht="12.75" customHeight="1" x14ac:dyDescent="0.2">
      <c r="A20" s="44" t="s">
        <v>26</v>
      </c>
      <c r="C20" s="44" t="s">
        <v>27</v>
      </c>
      <c r="E20" s="45">
        <v>8566525</v>
      </c>
      <c r="F20" s="45"/>
      <c r="G20" s="45">
        <v>24495227</v>
      </c>
      <c r="H20" s="45"/>
      <c r="I20" s="45">
        <v>3720192</v>
      </c>
      <c r="J20" s="45"/>
      <c r="K20" s="45">
        <v>14538881</v>
      </c>
      <c r="L20" s="45"/>
      <c r="M20" s="45">
        <f>1914825+344630+8039814</f>
        <v>10299269</v>
      </c>
      <c r="N20" s="45"/>
      <c r="O20" s="45">
        <v>653066</v>
      </c>
      <c r="P20" s="45"/>
      <c r="Q20" s="45">
        <v>-995989</v>
      </c>
      <c r="R20" s="45"/>
      <c r="S20" s="45">
        <f t="shared" si="0"/>
        <v>9956346</v>
      </c>
      <c r="T20" s="45"/>
      <c r="U20" s="44">
        <f t="shared" si="1"/>
        <v>0</v>
      </c>
    </row>
    <row r="21" spans="1:21" s="44" customFormat="1" ht="12.75" customHeight="1" x14ac:dyDescent="0.2">
      <c r="A21" s="44" t="s">
        <v>28</v>
      </c>
      <c r="C21" s="44" t="s">
        <v>27</v>
      </c>
      <c r="E21" s="45">
        <f>31237011+10219+9229</f>
        <v>31256459</v>
      </c>
      <c r="F21" s="45"/>
      <c r="G21" s="45">
        <v>46552861</v>
      </c>
      <c r="H21" s="45"/>
      <c r="I21" s="45">
        <v>8895384</v>
      </c>
      <c r="J21" s="45"/>
      <c r="K21" s="45">
        <v>17423413</v>
      </c>
      <c r="L21" s="45"/>
      <c r="M21" s="45">
        <f>991572+1602649+2323993</f>
        <v>4918214</v>
      </c>
      <c r="N21" s="45"/>
      <c r="O21" s="45">
        <v>3783949</v>
      </c>
      <c r="P21" s="45"/>
      <c r="Q21" s="45">
        <v>20427285</v>
      </c>
      <c r="R21" s="45"/>
      <c r="S21" s="45">
        <f t="shared" si="0"/>
        <v>29129448</v>
      </c>
      <c r="T21" s="45"/>
      <c r="U21" s="44">
        <f t="shared" si="1"/>
        <v>0</v>
      </c>
    </row>
    <row r="22" spans="1:21" s="44" customFormat="1" ht="12.75" customHeight="1" x14ac:dyDescent="0.2">
      <c r="A22" s="44" t="s">
        <v>29</v>
      </c>
      <c r="C22" s="44" t="s">
        <v>30</v>
      </c>
      <c r="E22" s="45">
        <f>7427473+230955</f>
        <v>7658428</v>
      </c>
      <c r="F22" s="45"/>
      <c r="G22" s="45">
        <v>28733872</v>
      </c>
      <c r="H22" s="45"/>
      <c r="I22" s="45">
        <v>18305567</v>
      </c>
      <c r="J22" s="45"/>
      <c r="K22" s="45">
        <v>19471676</v>
      </c>
      <c r="L22" s="45"/>
      <c r="M22" s="45">
        <f>790346+5658987+1119602</f>
        <v>7568935</v>
      </c>
      <c r="N22" s="45"/>
      <c r="O22" s="45">
        <v>41526</v>
      </c>
      <c r="P22" s="45"/>
      <c r="Q22" s="45">
        <v>1651735</v>
      </c>
      <c r="R22" s="45"/>
      <c r="S22" s="45">
        <f t="shared" si="0"/>
        <v>9262196</v>
      </c>
      <c r="T22" s="45"/>
      <c r="U22" s="44">
        <f t="shared" si="1"/>
        <v>0</v>
      </c>
    </row>
    <row r="23" spans="1:21" s="44" customFormat="1" ht="12.75" customHeight="1" x14ac:dyDescent="0.2">
      <c r="A23" s="44" t="s">
        <v>31</v>
      </c>
      <c r="C23" s="44" t="s">
        <v>27</v>
      </c>
      <c r="E23" s="45">
        <v>13418977</v>
      </c>
      <c r="F23" s="45"/>
      <c r="G23" s="45">
        <v>26202999</v>
      </c>
      <c r="H23" s="45"/>
      <c r="I23" s="45">
        <v>9805332</v>
      </c>
      <c r="J23" s="45"/>
      <c r="K23" s="45">
        <v>11483086</v>
      </c>
      <c r="L23" s="45"/>
      <c r="M23" s="45">
        <f>251870+3936096+327498</f>
        <v>4515464</v>
      </c>
      <c r="N23" s="45"/>
      <c r="O23" s="45">
        <v>207081</v>
      </c>
      <c r="P23" s="45"/>
      <c r="Q23" s="45">
        <v>9997368</v>
      </c>
      <c r="R23" s="45"/>
      <c r="S23" s="45">
        <f t="shared" si="0"/>
        <v>14719913</v>
      </c>
      <c r="T23" s="45"/>
      <c r="U23" s="44">
        <f t="shared" si="1"/>
        <v>0</v>
      </c>
    </row>
    <row r="24" spans="1:21" s="44" customFormat="1" ht="12.75" customHeight="1" x14ac:dyDescent="0.2">
      <c r="A24" s="44" t="s">
        <v>32</v>
      </c>
      <c r="C24" s="44" t="s">
        <v>27</v>
      </c>
      <c r="E24" s="45">
        <v>3766486</v>
      </c>
      <c r="F24" s="45"/>
      <c r="G24" s="45">
        <v>12332848</v>
      </c>
      <c r="H24" s="45"/>
      <c r="I24" s="45">
        <v>6321374</v>
      </c>
      <c r="J24" s="45"/>
      <c r="K24" s="45">
        <v>7489841</v>
      </c>
      <c r="L24" s="45"/>
      <c r="M24" s="45">
        <f>58757+825325+738410</f>
        <v>1622492</v>
      </c>
      <c r="N24" s="45"/>
      <c r="O24" s="45">
        <v>59078</v>
      </c>
      <c r="P24" s="45"/>
      <c r="Q24" s="45">
        <v>3161437</v>
      </c>
      <c r="R24" s="45"/>
      <c r="S24" s="45">
        <f t="shared" si="0"/>
        <v>4843007</v>
      </c>
      <c r="T24" s="45"/>
      <c r="U24" s="44">
        <f t="shared" si="1"/>
        <v>0</v>
      </c>
    </row>
    <row r="25" spans="1:21" s="44" customFormat="1" ht="12.75" customHeight="1" x14ac:dyDescent="0.2">
      <c r="A25" s="44" t="s">
        <v>34</v>
      </c>
      <c r="B25" s="51"/>
      <c r="C25" s="44" t="s">
        <v>30</v>
      </c>
      <c r="E25" s="45">
        <f>3230758+77628</f>
        <v>3308386</v>
      </c>
      <c r="F25" s="45"/>
      <c r="G25" s="45">
        <v>6551772</v>
      </c>
      <c r="H25" s="45"/>
      <c r="I25" s="45">
        <v>3026004</v>
      </c>
      <c r="J25" s="45"/>
      <c r="K25" s="45">
        <v>3344611</v>
      </c>
      <c r="L25" s="45"/>
      <c r="M25" s="45">
        <f>77430+98009+275919+196</f>
        <v>451554</v>
      </c>
      <c r="N25" s="45"/>
      <c r="O25" s="45">
        <f>337896+7650+1197811</f>
        <v>1543357</v>
      </c>
      <c r="P25" s="45"/>
      <c r="Q25" s="45">
        <v>1212250</v>
      </c>
      <c r="R25" s="45"/>
      <c r="S25" s="45">
        <f t="shared" si="0"/>
        <v>3207161</v>
      </c>
      <c r="T25" s="45"/>
      <c r="U25" s="44">
        <f t="shared" si="1"/>
        <v>0</v>
      </c>
    </row>
    <row r="26" spans="1:21" s="44" customFormat="1" ht="12.75" customHeight="1" x14ac:dyDescent="0.2">
      <c r="A26" s="44" t="s">
        <v>35</v>
      </c>
      <c r="C26" s="44" t="s">
        <v>36</v>
      </c>
      <c r="E26" s="45">
        <v>5882015</v>
      </c>
      <c r="F26" s="45"/>
      <c r="G26" s="45">
        <v>9553948</v>
      </c>
      <c r="H26" s="45"/>
      <c r="I26" s="45">
        <v>789281</v>
      </c>
      <c r="J26" s="45"/>
      <c r="K26" s="45">
        <v>3423802</v>
      </c>
      <c r="L26" s="45"/>
      <c r="M26" s="45">
        <f>102795+17028+322926+179941+57698+310234+51381+393088+147416</f>
        <v>1582507</v>
      </c>
      <c r="N26" s="45"/>
      <c r="O26" s="45">
        <f>530603+50882+36831+2531958</f>
        <v>3150274</v>
      </c>
      <c r="P26" s="45"/>
      <c r="Q26" s="45">
        <v>1397365</v>
      </c>
      <c r="R26" s="45"/>
      <c r="S26" s="45">
        <f t="shared" si="0"/>
        <v>6130146</v>
      </c>
      <c r="T26" s="45"/>
      <c r="U26" s="44">
        <f t="shared" si="1"/>
        <v>0</v>
      </c>
    </row>
    <row r="27" spans="1:21" s="44" customFormat="1" ht="12.75" customHeight="1" x14ac:dyDescent="0.2">
      <c r="A27" s="44" t="s">
        <v>37</v>
      </c>
      <c r="C27" s="44" t="s">
        <v>38</v>
      </c>
      <c r="E27" s="45">
        <f>5198689+495</f>
        <v>5199184</v>
      </c>
      <c r="F27" s="45"/>
      <c r="G27" s="45">
        <v>7763119</v>
      </c>
      <c r="H27" s="45"/>
      <c r="I27" s="45">
        <v>1937750</v>
      </c>
      <c r="J27" s="45"/>
      <c r="K27" s="45">
        <v>2284375</v>
      </c>
      <c r="L27" s="45"/>
      <c r="M27" s="45">
        <f>233993+3213947+1273</f>
        <v>3449213</v>
      </c>
      <c r="N27" s="45"/>
      <c r="O27" s="45">
        <v>0</v>
      </c>
      <c r="P27" s="45"/>
      <c r="Q27" s="45">
        <v>2029531</v>
      </c>
      <c r="R27" s="45"/>
      <c r="S27" s="45">
        <f t="shared" si="0"/>
        <v>5478744</v>
      </c>
      <c r="T27" s="45"/>
      <c r="U27" s="44">
        <f t="shared" si="1"/>
        <v>0</v>
      </c>
    </row>
    <row r="28" spans="1:21" s="44" customFormat="1" ht="12.75" customHeight="1" x14ac:dyDescent="0.2">
      <c r="A28" s="44" t="s">
        <v>39</v>
      </c>
      <c r="C28" s="44" t="s">
        <v>40</v>
      </c>
      <c r="E28" s="45">
        <f>1728406+8929+20469</f>
        <v>1757804</v>
      </c>
      <c r="F28" s="45"/>
      <c r="G28" s="45">
        <v>2812201</v>
      </c>
      <c r="H28" s="45"/>
      <c r="I28" s="45">
        <v>521839</v>
      </c>
      <c r="J28" s="45"/>
      <c r="K28" s="45">
        <v>904760</v>
      </c>
      <c r="L28" s="45"/>
      <c r="M28" s="45">
        <f>32870+345257+47169</f>
        <v>425296</v>
      </c>
      <c r="N28" s="45"/>
      <c r="O28" s="45">
        <v>2780</v>
      </c>
      <c r="P28" s="45"/>
      <c r="Q28" s="45">
        <v>1479365</v>
      </c>
      <c r="R28" s="45"/>
      <c r="S28" s="45">
        <f t="shared" si="0"/>
        <v>1907441</v>
      </c>
      <c r="T28" s="45"/>
      <c r="U28" s="44">
        <f t="shared" si="1"/>
        <v>0</v>
      </c>
    </row>
    <row r="29" spans="1:21" s="44" customFormat="1" ht="12.75" customHeight="1" x14ac:dyDescent="0.2">
      <c r="A29" s="44" t="s">
        <v>41</v>
      </c>
      <c r="C29" s="44" t="s">
        <v>27</v>
      </c>
      <c r="E29" s="45">
        <v>6878085</v>
      </c>
      <c r="F29" s="45"/>
      <c r="G29" s="45">
        <v>17496569</v>
      </c>
      <c r="H29" s="45"/>
      <c r="I29" s="45">
        <v>6132264</v>
      </c>
      <c r="J29" s="45"/>
      <c r="K29" s="45">
        <v>7128676</v>
      </c>
      <c r="L29" s="45"/>
      <c r="M29" s="45">
        <f>193689+4511298+2590519</f>
        <v>7295506</v>
      </c>
      <c r="N29" s="45"/>
      <c r="O29" s="45">
        <v>6106</v>
      </c>
      <c r="P29" s="45"/>
      <c r="Q29" s="45">
        <v>3066281</v>
      </c>
      <c r="R29" s="45"/>
      <c r="S29" s="45">
        <f t="shared" si="0"/>
        <v>10367893</v>
      </c>
      <c r="T29" s="45"/>
      <c r="U29" s="44">
        <f t="shared" si="1"/>
        <v>0</v>
      </c>
    </row>
    <row r="30" spans="1:21" s="44" customFormat="1" ht="12.75" customHeight="1" x14ac:dyDescent="0.2">
      <c r="A30" s="44" t="s">
        <v>42</v>
      </c>
      <c r="C30" s="44" t="s">
        <v>43</v>
      </c>
      <c r="E30" s="45">
        <f>6613664+2983+45011</f>
        <v>6661658</v>
      </c>
      <c r="F30" s="45"/>
      <c r="G30" s="45">
        <v>12134658</v>
      </c>
      <c r="H30" s="45"/>
      <c r="I30" s="45">
        <v>4078766</v>
      </c>
      <c r="J30" s="45"/>
      <c r="K30" s="45">
        <v>5182097</v>
      </c>
      <c r="L30" s="45"/>
      <c r="M30" s="45">
        <f>42009+1558161+24897</f>
        <v>1625067</v>
      </c>
      <c r="N30" s="45"/>
      <c r="O30" s="45">
        <v>1377465</v>
      </c>
      <c r="P30" s="45"/>
      <c r="Q30" s="45">
        <v>3950029</v>
      </c>
      <c r="R30" s="45"/>
      <c r="S30" s="45">
        <f t="shared" si="0"/>
        <v>6952561</v>
      </c>
      <c r="T30" s="45"/>
      <c r="U30" s="44">
        <f t="shared" si="1"/>
        <v>0</v>
      </c>
    </row>
    <row r="31" spans="1:21" s="44" customFormat="1" ht="12.75" customHeight="1" x14ac:dyDescent="0.2">
      <c r="A31" s="44" t="s">
        <v>44</v>
      </c>
      <c r="C31" s="44" t="s">
        <v>45</v>
      </c>
      <c r="E31" s="45">
        <f>32306766+670000</f>
        <v>32976766</v>
      </c>
      <c r="F31" s="45"/>
      <c r="G31" s="45">
        <v>43770939</v>
      </c>
      <c r="H31" s="45"/>
      <c r="I31" s="45">
        <v>6247042</v>
      </c>
      <c r="J31" s="45"/>
      <c r="K31" s="45">
        <v>8793786</v>
      </c>
      <c r="L31" s="45"/>
      <c r="M31" s="45">
        <f>263759+8397036</f>
        <v>8660795</v>
      </c>
      <c r="N31" s="45"/>
      <c r="O31" s="45">
        <v>692613</v>
      </c>
      <c r="P31" s="45"/>
      <c r="Q31" s="45">
        <v>25623745</v>
      </c>
      <c r="R31" s="45"/>
      <c r="S31" s="45">
        <f t="shared" si="0"/>
        <v>34977153</v>
      </c>
      <c r="T31" s="45"/>
      <c r="U31" s="44">
        <f t="shared" si="1"/>
        <v>0</v>
      </c>
    </row>
    <row r="32" spans="1:21" s="44" customFormat="1" ht="12.75" customHeight="1" x14ac:dyDescent="0.2">
      <c r="A32" s="44" t="s">
        <v>46</v>
      </c>
      <c r="C32" s="44" t="s">
        <v>47</v>
      </c>
      <c r="E32" s="45">
        <f>13964008+2725+50534+125219</f>
        <v>14142486</v>
      </c>
      <c r="F32" s="45"/>
      <c r="G32" s="45">
        <v>22707669</v>
      </c>
      <c r="H32" s="45"/>
      <c r="I32" s="45">
        <v>5574318</v>
      </c>
      <c r="J32" s="45"/>
      <c r="K32" s="45">
        <v>8333546</v>
      </c>
      <c r="L32" s="45"/>
      <c r="M32" s="45">
        <f>176760+9197313+1628551</f>
        <v>11002624</v>
      </c>
      <c r="N32" s="45"/>
      <c r="O32" s="45">
        <v>327994</v>
      </c>
      <c r="P32" s="45"/>
      <c r="Q32" s="45">
        <v>3043505</v>
      </c>
      <c r="R32" s="45"/>
      <c r="S32" s="45">
        <f t="shared" si="0"/>
        <v>14374123</v>
      </c>
      <c r="T32" s="45"/>
      <c r="U32" s="44">
        <f t="shared" si="1"/>
        <v>0</v>
      </c>
    </row>
    <row r="33" spans="1:22" s="44" customFormat="1" ht="12.75" customHeight="1" x14ac:dyDescent="0.2">
      <c r="A33" s="44" t="s">
        <v>48</v>
      </c>
      <c r="C33" s="44" t="s">
        <v>27</v>
      </c>
      <c r="E33" s="45">
        <f>15267074+35085+5536</f>
        <v>15307695</v>
      </c>
      <c r="F33" s="45"/>
      <c r="G33" s="45">
        <v>27608622</v>
      </c>
      <c r="H33" s="45"/>
      <c r="I33" s="45">
        <v>10268783</v>
      </c>
      <c r="J33" s="45"/>
      <c r="K33" s="45">
        <v>14362117</v>
      </c>
      <c r="L33" s="45"/>
      <c r="M33" s="45">
        <f>417808+2402674+2964544</f>
        <v>5785026</v>
      </c>
      <c r="N33" s="45"/>
      <c r="O33" s="45">
        <v>1081856</v>
      </c>
      <c r="P33" s="45"/>
      <c r="Q33" s="45">
        <v>6379623</v>
      </c>
      <c r="R33" s="45"/>
      <c r="S33" s="45">
        <f t="shared" si="0"/>
        <v>13246505</v>
      </c>
      <c r="T33" s="45"/>
      <c r="U33" s="44">
        <f t="shared" si="1"/>
        <v>0</v>
      </c>
    </row>
    <row r="34" spans="1:22" s="44" customFormat="1" ht="12.75" customHeight="1" x14ac:dyDescent="0.2">
      <c r="A34" s="44" t="s">
        <v>49</v>
      </c>
      <c r="C34" s="44" t="s">
        <v>27</v>
      </c>
      <c r="E34" s="45">
        <v>6432243</v>
      </c>
      <c r="F34" s="45"/>
      <c r="G34" s="45">
        <v>18453760</v>
      </c>
      <c r="H34" s="45"/>
      <c r="I34" s="45">
        <v>9469254</v>
      </c>
      <c r="J34" s="45"/>
      <c r="K34" s="45">
        <v>11107389</v>
      </c>
      <c r="L34" s="45"/>
      <c r="M34" s="45">
        <f>2685+1220218+2593477</f>
        <v>3816380</v>
      </c>
      <c r="N34" s="45"/>
      <c r="O34" s="45">
        <v>184901</v>
      </c>
      <c r="P34" s="45"/>
      <c r="Q34" s="45">
        <v>3345090</v>
      </c>
      <c r="R34" s="45"/>
      <c r="S34" s="45">
        <f t="shared" si="0"/>
        <v>7346371</v>
      </c>
      <c r="T34" s="45"/>
      <c r="U34" s="44">
        <f t="shared" si="1"/>
        <v>0</v>
      </c>
    </row>
    <row r="35" spans="1:22" s="44" customFormat="1" ht="12.75" customHeight="1" x14ac:dyDescent="0.2">
      <c r="A35" s="44" t="s">
        <v>50</v>
      </c>
      <c r="C35" s="44" t="s">
        <v>27</v>
      </c>
      <c r="E35" s="45">
        <v>13792356</v>
      </c>
      <c r="F35" s="45"/>
      <c r="G35" s="45">
        <v>21445100</v>
      </c>
      <c r="H35" s="45"/>
      <c r="I35" s="45">
        <v>3760804</v>
      </c>
      <c r="J35" s="45"/>
      <c r="K35" s="45">
        <v>6023308</v>
      </c>
      <c r="L35" s="45"/>
      <c r="M35" s="45">
        <f>283312+4316404+6798466</f>
        <v>11398182</v>
      </c>
      <c r="N35" s="45"/>
      <c r="O35" s="45">
        <v>3053880</v>
      </c>
      <c r="P35" s="45"/>
      <c r="Q35" s="45">
        <v>969730</v>
      </c>
      <c r="R35" s="45"/>
      <c r="S35" s="45">
        <f t="shared" si="0"/>
        <v>15421792</v>
      </c>
      <c r="T35" s="45"/>
      <c r="U35" s="44">
        <f t="shared" si="1"/>
        <v>0</v>
      </c>
    </row>
    <row r="36" spans="1:22" s="44" customFormat="1" ht="12.75" customHeight="1" x14ac:dyDescent="0.2">
      <c r="A36" s="44" t="s">
        <v>51</v>
      </c>
      <c r="C36" s="44" t="s">
        <v>27</v>
      </c>
      <c r="E36" s="45">
        <f>11514947+61699+1289734+2852139</f>
        <v>15718519</v>
      </c>
      <c r="F36" s="45"/>
      <c r="G36" s="45">
        <v>22059340</v>
      </c>
      <c r="H36" s="45"/>
      <c r="I36" s="45">
        <v>3479327</v>
      </c>
      <c r="J36" s="45"/>
      <c r="K36" s="45">
        <v>6727245</v>
      </c>
      <c r="L36" s="45"/>
      <c r="M36" s="45">
        <f>416294+6530891+8346</f>
        <v>6955531</v>
      </c>
      <c r="N36" s="45"/>
      <c r="O36" s="45">
        <v>99272</v>
      </c>
      <c r="P36" s="45"/>
      <c r="Q36" s="45">
        <v>8277292</v>
      </c>
      <c r="R36" s="45"/>
      <c r="S36" s="45">
        <f t="shared" si="0"/>
        <v>15332095</v>
      </c>
      <c r="T36" s="45"/>
      <c r="U36" s="44">
        <f t="shared" si="1"/>
        <v>0</v>
      </c>
    </row>
    <row r="37" spans="1:22" s="44" customFormat="1" ht="12.75" customHeight="1" x14ac:dyDescent="0.2">
      <c r="A37" s="44" t="s">
        <v>462</v>
      </c>
      <c r="C37" s="44" t="s">
        <v>66</v>
      </c>
      <c r="E37" s="45">
        <v>2133719</v>
      </c>
      <c r="F37" s="45"/>
      <c r="G37" s="45">
        <v>4073836</v>
      </c>
      <c r="H37" s="45"/>
      <c r="I37" s="45">
        <v>888085</v>
      </c>
      <c r="J37" s="45"/>
      <c r="K37" s="45">
        <v>2000642</v>
      </c>
      <c r="L37" s="45"/>
      <c r="M37" s="45">
        <f>106441+137686+462563</f>
        <v>706690</v>
      </c>
      <c r="N37" s="45"/>
      <c r="O37" s="45">
        <v>433040</v>
      </c>
      <c r="P37" s="45"/>
      <c r="Q37" s="45">
        <v>933464</v>
      </c>
      <c r="R37" s="45"/>
      <c r="S37" s="45">
        <f t="shared" si="0"/>
        <v>2073194</v>
      </c>
      <c r="T37" s="45"/>
      <c r="U37" s="44">
        <f t="shared" si="1"/>
        <v>0</v>
      </c>
    </row>
    <row r="38" spans="1:22" s="44" customFormat="1" ht="12.75" customHeight="1" x14ac:dyDescent="0.2">
      <c r="A38" s="44" t="s">
        <v>52</v>
      </c>
      <c r="C38" s="44" t="s">
        <v>53</v>
      </c>
      <c r="E38" s="45">
        <f>15052615+10420+647+17905</f>
        <v>15081587</v>
      </c>
      <c r="F38" s="45"/>
      <c r="G38" s="45">
        <v>31473194</v>
      </c>
      <c r="H38" s="45"/>
      <c r="I38" s="45">
        <v>107255645</v>
      </c>
      <c r="J38" s="45"/>
      <c r="K38" s="45">
        <v>17651665</v>
      </c>
      <c r="L38" s="45"/>
      <c r="M38" s="45">
        <f>1116627+6213879+1421796</f>
        <v>8752302</v>
      </c>
      <c r="N38" s="45"/>
      <c r="O38" s="45">
        <v>1696317</v>
      </c>
      <c r="P38" s="45"/>
      <c r="Q38" s="45">
        <v>3372910</v>
      </c>
      <c r="R38" s="45"/>
      <c r="S38" s="45">
        <f t="shared" si="0"/>
        <v>13821529</v>
      </c>
      <c r="T38" s="45"/>
      <c r="U38" s="44">
        <f t="shared" si="1"/>
        <v>0</v>
      </c>
    </row>
    <row r="39" spans="1:22" s="44" customFormat="1" ht="12.75" customHeight="1" x14ac:dyDescent="0.2">
      <c r="A39" s="44" t="s">
        <v>54</v>
      </c>
      <c r="C39" s="44" t="s">
        <v>55</v>
      </c>
      <c r="E39" s="45">
        <v>18976159</v>
      </c>
      <c r="F39" s="45"/>
      <c r="G39" s="45">
        <v>23397995</v>
      </c>
      <c r="H39" s="45"/>
      <c r="I39" s="45">
        <v>1199830</v>
      </c>
      <c r="J39" s="45"/>
      <c r="K39" s="45">
        <v>1777632</v>
      </c>
      <c r="L39" s="45"/>
      <c r="M39" s="45">
        <f>1912001+12600357</f>
        <v>14512358</v>
      </c>
      <c r="N39" s="45"/>
      <c r="O39" s="45">
        <v>176143</v>
      </c>
      <c r="P39" s="45"/>
      <c r="Q39" s="45">
        <v>6931862</v>
      </c>
      <c r="R39" s="45"/>
      <c r="S39" s="45">
        <f t="shared" si="0"/>
        <v>21620363</v>
      </c>
      <c r="T39" s="45"/>
      <c r="U39" s="44">
        <f t="shared" si="1"/>
        <v>0</v>
      </c>
    </row>
    <row r="40" spans="1:22" s="44" customFormat="1" ht="12.75" customHeight="1" x14ac:dyDescent="0.2">
      <c r="A40" s="44" t="s">
        <v>56</v>
      </c>
      <c r="C40" s="44" t="s">
        <v>57</v>
      </c>
      <c r="E40" s="45">
        <v>4011518</v>
      </c>
      <c r="F40" s="45"/>
      <c r="G40" s="45">
        <v>6828377</v>
      </c>
      <c r="H40" s="45"/>
      <c r="I40" s="45">
        <v>1866183</v>
      </c>
      <c r="J40" s="45"/>
      <c r="K40" s="45">
        <v>2366539</v>
      </c>
      <c r="L40" s="45"/>
      <c r="M40" s="45">
        <f>124990+3753843+74659</f>
        <v>3953492</v>
      </c>
      <c r="N40" s="45"/>
      <c r="O40" s="45">
        <v>34506</v>
      </c>
      <c r="P40" s="45"/>
      <c r="Q40" s="45">
        <v>473840</v>
      </c>
      <c r="R40" s="45"/>
      <c r="S40" s="45">
        <f t="shared" si="0"/>
        <v>4461838</v>
      </c>
      <c r="T40" s="45"/>
      <c r="U40" s="44">
        <f t="shared" si="1"/>
        <v>0</v>
      </c>
    </row>
    <row r="41" spans="1:22" s="44" customFormat="1" ht="12.75" customHeight="1" x14ac:dyDescent="0.2">
      <c r="A41" s="44" t="s">
        <v>58</v>
      </c>
      <c r="C41" s="44" t="s">
        <v>59</v>
      </c>
      <c r="E41" s="45">
        <f>3597341+349189+716612</f>
        <v>4663142</v>
      </c>
      <c r="F41" s="45"/>
      <c r="G41" s="45">
        <v>10796705</v>
      </c>
      <c r="H41" s="45"/>
      <c r="I41" s="45">
        <v>4215931</v>
      </c>
      <c r="J41" s="45"/>
      <c r="K41" s="45">
        <v>5208696</v>
      </c>
      <c r="L41" s="45"/>
      <c r="M41" s="45">
        <f>62757+4312635+39276</f>
        <v>4414668</v>
      </c>
      <c r="N41" s="45"/>
      <c r="O41" s="45">
        <v>153844</v>
      </c>
      <c r="P41" s="45"/>
      <c r="Q41" s="45">
        <v>1019497</v>
      </c>
      <c r="R41" s="45"/>
      <c r="S41" s="45">
        <f t="shared" si="0"/>
        <v>5588009</v>
      </c>
      <c r="T41" s="45"/>
      <c r="U41" s="44">
        <f t="shared" si="1"/>
        <v>0</v>
      </c>
    </row>
    <row r="42" spans="1:22" s="44" customFormat="1" ht="12.75" customHeight="1" x14ac:dyDescent="0.2">
      <c r="A42" s="44" t="s">
        <v>476</v>
      </c>
      <c r="C42" s="44" t="s">
        <v>15</v>
      </c>
      <c r="E42" s="45">
        <f>1300052+2731</f>
        <v>1302783</v>
      </c>
      <c r="F42" s="45"/>
      <c r="G42" s="45">
        <v>2659347</v>
      </c>
      <c r="H42" s="45"/>
      <c r="I42" s="45">
        <v>906432</v>
      </c>
      <c r="J42" s="45"/>
      <c r="K42" s="45">
        <v>1037837</v>
      </c>
      <c r="L42" s="45"/>
      <c r="M42" s="45">
        <f>23297+593271+240565</f>
        <v>857133</v>
      </c>
      <c r="N42" s="45"/>
      <c r="O42" s="45">
        <v>116993</v>
      </c>
      <c r="P42" s="45"/>
      <c r="Q42" s="45">
        <v>647384</v>
      </c>
      <c r="R42" s="45"/>
      <c r="S42" s="45">
        <f t="shared" si="0"/>
        <v>1621510</v>
      </c>
      <c r="T42" s="45"/>
      <c r="U42" s="44">
        <f>+G42-K42-S42</f>
        <v>0</v>
      </c>
    </row>
    <row r="43" spans="1:22" s="44" customFormat="1" ht="12.75" customHeight="1" x14ac:dyDescent="0.2">
      <c r="A43" s="44" t="s">
        <v>504</v>
      </c>
      <c r="B43" s="47"/>
      <c r="C43" s="44" t="s">
        <v>43</v>
      </c>
      <c r="E43" s="45">
        <v>3398200</v>
      </c>
      <c r="F43" s="45"/>
      <c r="G43" s="45">
        <v>5313427</v>
      </c>
      <c r="H43" s="45"/>
      <c r="I43" s="45">
        <v>466621</v>
      </c>
      <c r="J43" s="45"/>
      <c r="K43" s="45">
        <v>1154964</v>
      </c>
      <c r="L43" s="45"/>
      <c r="M43" s="45">
        <f>70186+855905+81476</f>
        <v>1007567</v>
      </c>
      <c r="N43" s="45"/>
      <c r="O43" s="45">
        <v>218153</v>
      </c>
      <c r="P43" s="45"/>
      <c r="Q43" s="45">
        <v>2932743</v>
      </c>
      <c r="R43" s="45"/>
      <c r="S43" s="45">
        <f t="shared" ref="S43" si="3">+Q43+O43+M43</f>
        <v>4158463</v>
      </c>
      <c r="T43" s="45"/>
      <c r="U43" s="44">
        <f t="shared" ref="U43" si="4">+G43-K43-S43</f>
        <v>0</v>
      </c>
    </row>
    <row r="44" spans="1:22" s="44" customFormat="1" ht="12.75" customHeight="1" x14ac:dyDescent="0.2">
      <c r="A44" s="44" t="s">
        <v>60</v>
      </c>
      <c r="C44" s="44" t="s">
        <v>61</v>
      </c>
      <c r="E44" s="45">
        <v>3044241</v>
      </c>
      <c r="F44" s="45"/>
      <c r="G44" s="45">
        <v>6253668</v>
      </c>
      <c r="H44" s="45"/>
      <c r="I44" s="45">
        <v>1391965</v>
      </c>
      <c r="J44" s="45"/>
      <c r="K44" s="45">
        <v>2404527</v>
      </c>
      <c r="L44" s="45"/>
      <c r="M44" s="45">
        <f>125351+1514619+391180</f>
        <v>2031150</v>
      </c>
      <c r="N44" s="45"/>
      <c r="O44" s="45">
        <v>80482</v>
      </c>
      <c r="P44" s="45"/>
      <c r="Q44" s="45">
        <v>1737509</v>
      </c>
      <c r="R44" s="45"/>
      <c r="S44" s="45">
        <f t="shared" si="0"/>
        <v>3849141</v>
      </c>
      <c r="T44" s="45"/>
      <c r="U44" s="44">
        <f t="shared" si="1"/>
        <v>0</v>
      </c>
    </row>
    <row r="45" spans="1:22" s="44" customFormat="1" ht="12.75" hidden="1" customHeight="1" x14ac:dyDescent="0.2">
      <c r="A45" s="44" t="s">
        <v>62</v>
      </c>
      <c r="C45" s="44" t="s">
        <v>15</v>
      </c>
      <c r="E45" s="45">
        <f>17342600+3019</f>
        <v>17345619</v>
      </c>
      <c r="F45" s="45"/>
      <c r="G45" s="45">
        <v>51961572</v>
      </c>
      <c r="H45" s="45"/>
      <c r="I45" s="45">
        <v>21129577</v>
      </c>
      <c r="J45" s="45"/>
      <c r="K45" s="45">
        <v>28931341</v>
      </c>
      <c r="L45" s="45"/>
      <c r="M45" s="45">
        <f>23030231-5020519</f>
        <v>18009712</v>
      </c>
      <c r="N45" s="45"/>
      <c r="O45" s="45">
        <v>0</v>
      </c>
      <c r="P45" s="45"/>
      <c r="Q45" s="45">
        <v>5020519</v>
      </c>
      <c r="R45" s="45"/>
      <c r="S45" s="45">
        <f t="shared" si="0"/>
        <v>23030231</v>
      </c>
      <c r="T45" s="45"/>
      <c r="U45" s="44">
        <f t="shared" si="1"/>
        <v>0</v>
      </c>
      <c r="V45" s="121" t="s">
        <v>503</v>
      </c>
    </row>
    <row r="46" spans="1:22" s="121" customFormat="1" ht="12.75" hidden="1" customHeight="1" x14ac:dyDescent="0.2">
      <c r="A46" s="121" t="s">
        <v>485</v>
      </c>
      <c r="C46" s="121" t="s">
        <v>111</v>
      </c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>
        <f t="shared" si="0"/>
        <v>0</v>
      </c>
      <c r="T46" s="127"/>
      <c r="U46" s="121">
        <f>+G46-K46-S46</f>
        <v>0</v>
      </c>
      <c r="V46" s="121" t="s">
        <v>505</v>
      </c>
    </row>
    <row r="47" spans="1:22" s="44" customFormat="1" ht="12.75" customHeight="1" x14ac:dyDescent="0.2">
      <c r="A47" s="44" t="s">
        <v>63</v>
      </c>
      <c r="C47" s="44" t="s">
        <v>64</v>
      </c>
      <c r="E47" s="45">
        <f>3092051+703995+33570</f>
        <v>3829616</v>
      </c>
      <c r="F47" s="45"/>
      <c r="G47" s="45">
        <v>7189130</v>
      </c>
      <c r="H47" s="45"/>
      <c r="I47" s="45">
        <v>2434606</v>
      </c>
      <c r="J47" s="45"/>
      <c r="K47" s="45">
        <v>3116371</v>
      </c>
      <c r="L47" s="45"/>
      <c r="M47" s="45">
        <f>128863+2543258+174800</f>
        <v>2846921</v>
      </c>
      <c r="N47" s="45"/>
      <c r="O47" s="45">
        <v>15379</v>
      </c>
      <c r="P47" s="45"/>
      <c r="Q47" s="45">
        <v>1210459</v>
      </c>
      <c r="R47" s="45"/>
      <c r="S47" s="45">
        <f t="shared" si="0"/>
        <v>4072759</v>
      </c>
      <c r="T47" s="45"/>
      <c r="U47" s="44">
        <f t="shared" si="1"/>
        <v>0</v>
      </c>
    </row>
    <row r="48" spans="1:22" s="44" customFormat="1" ht="12.75" customHeight="1" x14ac:dyDescent="0.2">
      <c r="A48" s="44" t="s">
        <v>65</v>
      </c>
      <c r="C48" s="44" t="s">
        <v>66</v>
      </c>
      <c r="E48" s="45">
        <v>15649377</v>
      </c>
      <c r="F48" s="45"/>
      <c r="G48" s="45">
        <v>32555253</v>
      </c>
      <c r="H48" s="45"/>
      <c r="I48" s="45">
        <v>13855633</v>
      </c>
      <c r="J48" s="45"/>
      <c r="K48" s="45">
        <v>14744627</v>
      </c>
      <c r="L48" s="45"/>
      <c r="M48" s="45">
        <f>183998+2369702</f>
        <v>2553700</v>
      </c>
      <c r="N48" s="45"/>
      <c r="O48" s="45">
        <v>2297467</v>
      </c>
      <c r="P48" s="45"/>
      <c r="Q48" s="45">
        <v>12959459</v>
      </c>
      <c r="R48" s="45"/>
      <c r="S48" s="45">
        <f t="shared" si="0"/>
        <v>17810626</v>
      </c>
      <c r="T48" s="45"/>
      <c r="U48" s="44">
        <f>+G48-K48-S48</f>
        <v>0</v>
      </c>
    </row>
    <row r="49" spans="1:21" s="44" customFormat="1" ht="12.75" customHeight="1" x14ac:dyDescent="0.2">
      <c r="A49" s="44" t="s">
        <v>67</v>
      </c>
      <c r="C49" s="44" t="s">
        <v>375</v>
      </c>
      <c r="E49" s="45">
        <v>4278454</v>
      </c>
      <c r="F49" s="45"/>
      <c r="G49" s="45">
        <v>7481577</v>
      </c>
      <c r="H49" s="45"/>
      <c r="I49" s="45">
        <v>1893251</v>
      </c>
      <c r="J49" s="45"/>
      <c r="K49" s="45">
        <v>2512189</v>
      </c>
      <c r="L49" s="45"/>
      <c r="M49" s="45">
        <f>313211+1383181+595643</f>
        <v>2292035</v>
      </c>
      <c r="N49" s="45"/>
      <c r="O49" s="45">
        <v>757469</v>
      </c>
      <c r="P49" s="45"/>
      <c r="Q49" s="45">
        <v>1919884</v>
      </c>
      <c r="R49" s="45"/>
      <c r="S49" s="45">
        <f t="shared" si="0"/>
        <v>4969388</v>
      </c>
      <c r="T49" s="45"/>
      <c r="U49" s="44">
        <f t="shared" ref="U49:U63" si="5">+G49-K49-S49</f>
        <v>0</v>
      </c>
    </row>
    <row r="50" spans="1:21" s="44" customFormat="1" ht="12.75" customHeight="1" x14ac:dyDescent="0.2">
      <c r="A50" s="44" t="s">
        <v>68</v>
      </c>
      <c r="C50" s="44" t="s">
        <v>45</v>
      </c>
      <c r="E50" s="45">
        <v>1375294</v>
      </c>
      <c r="F50" s="45"/>
      <c r="G50" s="45">
        <v>4531035</v>
      </c>
      <c r="H50" s="45"/>
      <c r="I50" s="45">
        <v>2554978</v>
      </c>
      <c r="J50" s="45"/>
      <c r="K50" s="45">
        <v>2905142</v>
      </c>
      <c r="L50" s="45"/>
      <c r="M50" s="45">
        <f>85266+748195</f>
        <v>833461</v>
      </c>
      <c r="N50" s="45"/>
      <c r="O50" s="45">
        <v>40986</v>
      </c>
      <c r="P50" s="45"/>
      <c r="Q50" s="45">
        <v>751446</v>
      </c>
      <c r="R50" s="45"/>
      <c r="S50" s="45">
        <f t="shared" si="0"/>
        <v>1625893</v>
      </c>
      <c r="T50" s="45"/>
      <c r="U50" s="44">
        <f t="shared" si="5"/>
        <v>0</v>
      </c>
    </row>
    <row r="51" spans="1:21" s="44" customFormat="1" ht="12.75" customHeight="1" x14ac:dyDescent="0.2">
      <c r="A51" s="44" t="s">
        <v>69</v>
      </c>
      <c r="C51" s="44" t="s">
        <v>70</v>
      </c>
      <c r="E51" s="45">
        <f>6071456+103044+1000</f>
        <v>6175500</v>
      </c>
      <c r="F51" s="45"/>
      <c r="G51" s="45">
        <v>11189677</v>
      </c>
      <c r="H51" s="45"/>
      <c r="I51" s="45">
        <v>5100000</v>
      </c>
      <c r="J51" s="45"/>
      <c r="K51" s="45">
        <v>9370618</v>
      </c>
      <c r="L51" s="45"/>
      <c r="M51" s="45">
        <f>297178+1658904+159667</f>
        <v>2115749</v>
      </c>
      <c r="N51" s="45"/>
      <c r="O51" s="45">
        <v>52029</v>
      </c>
      <c r="P51" s="45"/>
      <c r="Q51" s="45">
        <v>-348719</v>
      </c>
      <c r="R51" s="45"/>
      <c r="S51" s="45">
        <f t="shared" si="0"/>
        <v>1819059</v>
      </c>
      <c r="T51" s="45"/>
      <c r="U51" s="44">
        <f t="shared" si="5"/>
        <v>0</v>
      </c>
    </row>
    <row r="52" spans="1:21" s="44" customFormat="1" ht="12.75" customHeight="1" x14ac:dyDescent="0.2">
      <c r="A52" s="44" t="s">
        <v>71</v>
      </c>
      <c r="C52" s="44" t="s">
        <v>45</v>
      </c>
      <c r="E52" s="45">
        <f>39183000+356742000+205000+49399000</f>
        <v>445529000</v>
      </c>
      <c r="F52" s="45"/>
      <c r="G52" s="45">
        <v>679748000</v>
      </c>
      <c r="H52" s="45"/>
      <c r="I52" s="45">
        <v>157385000</v>
      </c>
      <c r="J52" s="45"/>
      <c r="K52" s="45">
        <v>236347000</v>
      </c>
      <c r="L52" s="45"/>
      <c r="M52" s="45">
        <f>33201000+299321000+5287000</f>
        <v>337809000</v>
      </c>
      <c r="N52" s="45"/>
      <c r="O52" s="45">
        <v>40833000</v>
      </c>
      <c r="P52" s="45"/>
      <c r="Q52" s="45">
        <v>64759000</v>
      </c>
      <c r="R52" s="45"/>
      <c r="S52" s="45">
        <f t="shared" si="0"/>
        <v>443401000</v>
      </c>
      <c r="T52" s="45"/>
      <c r="U52" s="44">
        <f t="shared" si="5"/>
        <v>0</v>
      </c>
    </row>
    <row r="53" spans="1:21" s="44" customFormat="1" ht="12.75" customHeight="1" x14ac:dyDescent="0.2">
      <c r="A53" s="44" t="s">
        <v>463</v>
      </c>
      <c r="C53" s="44" t="s">
        <v>464</v>
      </c>
      <c r="E53" s="45">
        <f>3786948+34835</f>
        <v>3821783</v>
      </c>
      <c r="F53" s="45"/>
      <c r="G53" s="45">
        <v>9145403</v>
      </c>
      <c r="H53" s="45"/>
      <c r="I53" s="45">
        <v>3121708</v>
      </c>
      <c r="J53" s="45"/>
      <c r="K53" s="45">
        <v>3834277</v>
      </c>
      <c r="L53" s="45"/>
      <c r="M53" s="45">
        <f>232681+1218571+2234765</f>
        <v>3686017</v>
      </c>
      <c r="N53" s="45"/>
      <c r="O53" s="45">
        <v>668734</v>
      </c>
      <c r="P53" s="45"/>
      <c r="Q53" s="45">
        <v>956375</v>
      </c>
      <c r="R53" s="45"/>
      <c r="S53" s="45">
        <f t="shared" si="0"/>
        <v>5311126</v>
      </c>
      <c r="T53" s="45"/>
      <c r="U53" s="44">
        <f t="shared" si="5"/>
        <v>0</v>
      </c>
    </row>
    <row r="54" spans="1:21" s="44" customFormat="1" ht="12.75" customHeight="1" x14ac:dyDescent="0.2">
      <c r="A54" s="44" t="s">
        <v>72</v>
      </c>
      <c r="C54" s="44" t="s">
        <v>66</v>
      </c>
      <c r="E54" s="45">
        <v>6024027</v>
      </c>
      <c r="F54" s="45"/>
      <c r="G54" s="45">
        <v>11386510</v>
      </c>
      <c r="H54" s="45"/>
      <c r="I54" s="45">
        <v>4679191</v>
      </c>
      <c r="J54" s="45"/>
      <c r="K54" s="45">
        <v>7023196</v>
      </c>
      <c r="L54" s="45"/>
      <c r="M54" s="45">
        <f>5901+1912706</f>
        <v>1918607</v>
      </c>
      <c r="N54" s="45"/>
      <c r="O54" s="45">
        <v>175556</v>
      </c>
      <c r="P54" s="45"/>
      <c r="Q54" s="45">
        <v>2269151</v>
      </c>
      <c r="R54" s="45"/>
      <c r="S54" s="45">
        <f t="shared" si="0"/>
        <v>4363314</v>
      </c>
      <c r="T54" s="45"/>
      <c r="U54" s="44">
        <f t="shared" si="5"/>
        <v>0</v>
      </c>
    </row>
    <row r="55" spans="1:21" s="44" customFormat="1" ht="12.75" customHeight="1" x14ac:dyDescent="0.2">
      <c r="A55" s="44" t="s">
        <v>342</v>
      </c>
      <c r="C55" s="44" t="s">
        <v>27</v>
      </c>
      <c r="E55" s="45">
        <v>283264000</v>
      </c>
      <c r="F55" s="45"/>
      <c r="G55" s="45">
        <v>707318000</v>
      </c>
      <c r="H55" s="45"/>
      <c r="I55" s="45">
        <v>152032000</v>
      </c>
      <c r="J55" s="45"/>
      <c r="K55" s="45">
        <v>344433000</v>
      </c>
      <c r="L55" s="45"/>
      <c r="M55" s="45">
        <f>1748000+204590000+105624000</f>
        <v>311962000</v>
      </c>
      <c r="N55" s="45"/>
      <c r="O55" s="45">
        <v>12028000</v>
      </c>
      <c r="P55" s="45"/>
      <c r="Q55" s="45">
        <v>38895000</v>
      </c>
      <c r="R55" s="45"/>
      <c r="S55" s="45">
        <f t="shared" si="0"/>
        <v>362885000</v>
      </c>
      <c r="T55" s="45"/>
      <c r="U55" s="44">
        <f t="shared" si="5"/>
        <v>0</v>
      </c>
    </row>
    <row r="56" spans="1:21" s="44" customFormat="1" ht="12.75" customHeight="1" x14ac:dyDescent="0.2">
      <c r="A56" s="44" t="s">
        <v>74</v>
      </c>
      <c r="C56" s="44" t="s">
        <v>27</v>
      </c>
      <c r="E56" s="45">
        <v>14797892</v>
      </c>
      <c r="F56" s="45"/>
      <c r="G56" s="45">
        <v>46595156</v>
      </c>
      <c r="H56" s="45"/>
      <c r="I56" s="45">
        <v>25435060</v>
      </c>
      <c r="J56" s="45"/>
      <c r="K56" s="45">
        <v>30478938</v>
      </c>
      <c r="L56" s="45"/>
      <c r="M56" s="45">
        <f>377849+7363926+1263138</f>
        <v>9004913</v>
      </c>
      <c r="N56" s="45"/>
      <c r="O56" s="45">
        <v>5334476</v>
      </c>
      <c r="P56" s="45"/>
      <c r="Q56" s="45">
        <v>1776829</v>
      </c>
      <c r="R56" s="45"/>
      <c r="S56" s="45">
        <f t="shared" si="0"/>
        <v>16116218</v>
      </c>
      <c r="T56" s="45"/>
      <c r="U56" s="44">
        <f t="shared" si="5"/>
        <v>0</v>
      </c>
    </row>
    <row r="57" spans="1:21" s="44" customFormat="1" ht="12.75" customHeight="1" x14ac:dyDescent="0.2">
      <c r="A57" s="44" t="s">
        <v>75</v>
      </c>
      <c r="C57" s="44" t="s">
        <v>76</v>
      </c>
      <c r="E57" s="45">
        <v>2168326</v>
      </c>
      <c r="F57" s="45"/>
      <c r="G57" s="45">
        <v>3555380</v>
      </c>
      <c r="H57" s="45"/>
      <c r="I57" s="45">
        <v>470054</v>
      </c>
      <c r="J57" s="45"/>
      <c r="K57" s="45">
        <v>2678478</v>
      </c>
      <c r="L57" s="45"/>
      <c r="M57" s="45">
        <f>26825+580415+72654</f>
        <v>679894</v>
      </c>
      <c r="N57" s="45"/>
      <c r="O57" s="45">
        <v>520107</v>
      </c>
      <c r="P57" s="45"/>
      <c r="Q57" s="45">
        <v>-323099</v>
      </c>
      <c r="R57" s="45"/>
      <c r="S57" s="45">
        <f t="shared" si="0"/>
        <v>876902</v>
      </c>
      <c r="T57" s="45"/>
      <c r="U57" s="44">
        <f t="shared" si="5"/>
        <v>0</v>
      </c>
    </row>
    <row r="58" spans="1:21" s="44" customFormat="1" ht="12.75" hidden="1" customHeight="1" x14ac:dyDescent="0.2">
      <c r="A58" s="44" t="s">
        <v>77</v>
      </c>
      <c r="C58" s="44" t="s">
        <v>43</v>
      </c>
      <c r="E58" s="45">
        <f>559909000+613000+8845000+1508000+183376000</f>
        <v>754251000</v>
      </c>
      <c r="F58" s="45"/>
      <c r="G58" s="45">
        <v>819058000</v>
      </c>
      <c r="H58" s="45"/>
      <c r="I58" s="45">
        <v>150539000</v>
      </c>
      <c r="J58" s="45"/>
      <c r="K58" s="45">
        <v>229886000</v>
      </c>
      <c r="L58" s="45"/>
      <c r="M58" s="45">
        <f>305065000+188735000</f>
        <v>493800000</v>
      </c>
      <c r="N58" s="45"/>
      <c r="O58" s="45">
        <v>6953000</v>
      </c>
      <c r="P58" s="45"/>
      <c r="Q58" s="45">
        <v>88419000</v>
      </c>
      <c r="R58" s="45"/>
      <c r="S58" s="45">
        <f t="shared" si="0"/>
        <v>589172000</v>
      </c>
      <c r="T58" s="45"/>
      <c r="U58" s="44">
        <f t="shared" si="5"/>
        <v>0</v>
      </c>
    </row>
    <row r="59" spans="1:21" s="44" customFormat="1" ht="12.75" customHeight="1" x14ac:dyDescent="0.2">
      <c r="A59" s="44" t="s">
        <v>94</v>
      </c>
      <c r="C59" s="44" t="s">
        <v>94</v>
      </c>
      <c r="E59" s="45">
        <v>2528083</v>
      </c>
      <c r="F59" s="45"/>
      <c r="G59" s="45">
        <v>4041168</v>
      </c>
      <c r="H59" s="45"/>
      <c r="I59" s="45">
        <v>892267</v>
      </c>
      <c r="J59" s="45"/>
      <c r="K59" s="45">
        <v>1112825</v>
      </c>
      <c r="L59" s="45"/>
      <c r="M59" s="45">
        <f>161666+1367744+12626</f>
        <v>1542036</v>
      </c>
      <c r="N59" s="45"/>
      <c r="O59" s="45">
        <v>118292</v>
      </c>
      <c r="P59" s="45"/>
      <c r="Q59" s="45">
        <v>1268015</v>
      </c>
      <c r="R59" s="45"/>
      <c r="S59" s="45">
        <f t="shared" si="0"/>
        <v>2928343</v>
      </c>
      <c r="T59" s="45"/>
      <c r="U59" s="44">
        <f>+G59-K59-S59</f>
        <v>0</v>
      </c>
    </row>
    <row r="60" spans="1:21" s="44" customFormat="1" ht="12.75" customHeight="1" x14ac:dyDescent="0.2">
      <c r="A60" s="44" t="s">
        <v>78</v>
      </c>
      <c r="C60" s="44" t="s">
        <v>19</v>
      </c>
      <c r="E60" s="45">
        <f>1852104+18099</f>
        <v>1870203</v>
      </c>
      <c r="F60" s="45"/>
      <c r="G60" s="45">
        <v>6672038</v>
      </c>
      <c r="H60" s="45"/>
      <c r="I60" s="45">
        <v>3906631</v>
      </c>
      <c r="J60" s="45"/>
      <c r="K60" s="45">
        <v>4830841</v>
      </c>
      <c r="L60" s="45"/>
      <c r="M60" s="45">
        <f>115109+637938+46874</f>
        <v>799921</v>
      </c>
      <c r="N60" s="45"/>
      <c r="O60" s="45">
        <v>345329</v>
      </c>
      <c r="P60" s="45"/>
      <c r="Q60" s="45">
        <v>695947</v>
      </c>
      <c r="R60" s="45"/>
      <c r="S60" s="45">
        <f t="shared" si="0"/>
        <v>1841197</v>
      </c>
      <c r="T60" s="45"/>
      <c r="U60" s="44">
        <f t="shared" si="5"/>
        <v>0</v>
      </c>
    </row>
    <row r="61" spans="1:21" s="44" customFormat="1" ht="12.75" customHeight="1" x14ac:dyDescent="0.2">
      <c r="D61" s="3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8" t="s">
        <v>484</v>
      </c>
      <c r="T61" s="45"/>
    </row>
    <row r="62" spans="1:21" s="44" customFormat="1" ht="12.75" customHeight="1" x14ac:dyDescent="0.2">
      <c r="A62" s="44" t="s">
        <v>79</v>
      </c>
      <c r="C62" s="44" t="s">
        <v>80</v>
      </c>
      <c r="E62" s="94">
        <v>1725302</v>
      </c>
      <c r="F62" s="94"/>
      <c r="G62" s="94">
        <v>4501764</v>
      </c>
      <c r="H62" s="94"/>
      <c r="I62" s="94">
        <v>2602018</v>
      </c>
      <c r="J62" s="94"/>
      <c r="K62" s="94">
        <v>2821331</v>
      </c>
      <c r="L62" s="94"/>
      <c r="M62" s="94">
        <f>28492+983654+162938</f>
        <v>1175084</v>
      </c>
      <c r="N62" s="94"/>
      <c r="O62" s="94">
        <v>33020</v>
      </c>
      <c r="P62" s="94"/>
      <c r="Q62" s="94">
        <v>472329</v>
      </c>
      <c r="R62" s="94"/>
      <c r="S62" s="94">
        <f t="shared" si="0"/>
        <v>1680433</v>
      </c>
      <c r="T62" s="45"/>
      <c r="U62" s="44">
        <f t="shared" si="5"/>
        <v>0</v>
      </c>
    </row>
    <row r="63" spans="1:21" s="44" customFormat="1" ht="12.75" customHeight="1" x14ac:dyDescent="0.2">
      <c r="A63" s="44" t="s">
        <v>81</v>
      </c>
      <c r="C63" s="44" t="s">
        <v>81</v>
      </c>
      <c r="E63" s="45">
        <v>2571982</v>
      </c>
      <c r="F63" s="45"/>
      <c r="G63" s="45">
        <v>4570375</v>
      </c>
      <c r="H63" s="45"/>
      <c r="I63" s="45">
        <v>948168</v>
      </c>
      <c r="J63" s="45"/>
      <c r="K63" s="45">
        <v>1895478</v>
      </c>
      <c r="L63" s="45"/>
      <c r="M63" s="45">
        <f>308418+1740860+231861</f>
        <v>2281139</v>
      </c>
      <c r="N63" s="45"/>
      <c r="O63" s="45">
        <v>7346</v>
      </c>
      <c r="P63" s="45"/>
      <c r="Q63" s="45">
        <v>386412</v>
      </c>
      <c r="R63" s="45"/>
      <c r="S63" s="45">
        <f t="shared" si="0"/>
        <v>2674897</v>
      </c>
      <c r="T63" s="45"/>
      <c r="U63" s="44">
        <f t="shared" si="5"/>
        <v>0</v>
      </c>
    </row>
    <row r="64" spans="1:21" s="121" customFormat="1" ht="12.75" hidden="1" customHeight="1" x14ac:dyDescent="0.2">
      <c r="A64" s="122" t="s">
        <v>465</v>
      </c>
      <c r="B64" s="122"/>
      <c r="C64" s="122" t="s">
        <v>57</v>
      </c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>
        <f t="shared" si="0"/>
        <v>0</v>
      </c>
      <c r="T64" s="127"/>
      <c r="U64" s="121">
        <f>+G64-K64-S64</f>
        <v>0</v>
      </c>
    </row>
    <row r="65" spans="1:21" s="44" customFormat="1" ht="12.75" customHeight="1" x14ac:dyDescent="0.2">
      <c r="A65" s="44" t="s">
        <v>82</v>
      </c>
      <c r="C65" s="44" t="s">
        <v>13</v>
      </c>
      <c r="E65" s="45">
        <f>12569608+236310</f>
        <v>12805918</v>
      </c>
      <c r="F65" s="45"/>
      <c r="G65" s="45">
        <v>49778574</v>
      </c>
      <c r="H65" s="45"/>
      <c r="I65" s="45">
        <v>14541026</v>
      </c>
      <c r="J65" s="45"/>
      <c r="K65" s="45">
        <v>28405685</v>
      </c>
      <c r="L65" s="45"/>
      <c r="M65" s="45">
        <f>13762801+4173880+592770</f>
        <v>18529451</v>
      </c>
      <c r="N65" s="45"/>
      <c r="O65" s="45">
        <v>1870114</v>
      </c>
      <c r="P65" s="45"/>
      <c r="Q65" s="45">
        <v>973324</v>
      </c>
      <c r="R65" s="45"/>
      <c r="S65" s="45">
        <f t="shared" si="0"/>
        <v>21372889</v>
      </c>
      <c r="T65" s="45"/>
      <c r="U65" s="44">
        <f t="shared" si="1"/>
        <v>0</v>
      </c>
    </row>
    <row r="66" spans="1:21" s="44" customFormat="1" ht="12.75" customHeight="1" x14ac:dyDescent="0.2">
      <c r="A66" s="44" t="s">
        <v>83</v>
      </c>
      <c r="C66" s="44" t="s">
        <v>66</v>
      </c>
      <c r="E66" s="45">
        <f>73139190+375</f>
        <v>73139565</v>
      </c>
      <c r="F66" s="45"/>
      <c r="G66" s="45">
        <v>190904101</v>
      </c>
      <c r="H66" s="45"/>
      <c r="I66" s="45">
        <v>34069775</v>
      </c>
      <c r="J66" s="45"/>
      <c r="K66" s="45">
        <v>64044352</v>
      </c>
      <c r="L66" s="45"/>
      <c r="M66" s="45">
        <f>9798422+60686969+15599456</f>
        <v>86084847</v>
      </c>
      <c r="N66" s="45"/>
      <c r="O66" s="45">
        <v>11900572</v>
      </c>
      <c r="P66" s="45"/>
      <c r="Q66" s="45">
        <v>28874330</v>
      </c>
      <c r="R66" s="45"/>
      <c r="S66" s="45">
        <f t="shared" si="0"/>
        <v>126859749</v>
      </c>
      <c r="T66" s="45"/>
      <c r="U66" s="44">
        <f>+G66-K66-S66</f>
        <v>0</v>
      </c>
    </row>
    <row r="67" spans="1:21" s="44" customFormat="1" ht="12.75" customHeight="1" x14ac:dyDescent="0.2">
      <c r="A67" s="44" t="s">
        <v>84</v>
      </c>
      <c r="C67" s="44" t="s">
        <v>45</v>
      </c>
      <c r="E67" s="45">
        <v>1818838</v>
      </c>
      <c r="F67" s="45"/>
      <c r="G67" s="45">
        <v>3908474</v>
      </c>
      <c r="H67" s="45"/>
      <c r="I67" s="45">
        <v>1712028</v>
      </c>
      <c r="J67" s="45"/>
      <c r="K67" s="45">
        <v>2306932</v>
      </c>
      <c r="L67" s="45"/>
      <c r="M67" s="45">
        <f>48866+272092+349+108916</f>
        <v>430223</v>
      </c>
      <c r="N67" s="45"/>
      <c r="O67" s="45">
        <v>0</v>
      </c>
      <c r="P67" s="45"/>
      <c r="Q67" s="45">
        <v>1171319</v>
      </c>
      <c r="R67" s="45"/>
      <c r="S67" s="45">
        <f t="shared" si="0"/>
        <v>1601542</v>
      </c>
      <c r="T67" s="45"/>
      <c r="U67" s="44">
        <f t="shared" si="1"/>
        <v>0</v>
      </c>
    </row>
    <row r="68" spans="1:21" s="44" customFormat="1" ht="12.75" customHeight="1" x14ac:dyDescent="0.2">
      <c r="A68" s="44" t="s">
        <v>85</v>
      </c>
      <c r="C68" s="44" t="s">
        <v>85</v>
      </c>
      <c r="E68" s="45">
        <f>6064466+85877+129076</f>
        <v>6279419</v>
      </c>
      <c r="F68" s="45"/>
      <c r="G68" s="45">
        <v>10476867</v>
      </c>
      <c r="H68" s="45"/>
      <c r="I68" s="45">
        <v>743299</v>
      </c>
      <c r="J68" s="45"/>
      <c r="K68" s="45">
        <v>2374130</v>
      </c>
      <c r="L68" s="45"/>
      <c r="M68" s="45">
        <f>23969+4345580+2073285</f>
        <v>6442834</v>
      </c>
      <c r="N68" s="45"/>
      <c r="O68" s="45">
        <v>403861</v>
      </c>
      <c r="P68" s="45"/>
      <c r="Q68" s="45">
        <v>1256042</v>
      </c>
      <c r="R68" s="45"/>
      <c r="S68" s="45">
        <f t="shared" si="0"/>
        <v>8102737</v>
      </c>
      <c r="T68" s="45"/>
      <c r="U68" s="44">
        <f t="shared" si="1"/>
        <v>0</v>
      </c>
    </row>
    <row r="69" spans="1:21" s="44" customFormat="1" ht="12.75" customHeight="1" x14ac:dyDescent="0.2">
      <c r="A69" s="44" t="s">
        <v>86</v>
      </c>
      <c r="C69" s="44" t="s">
        <v>86</v>
      </c>
      <c r="E69" s="45">
        <v>21389425</v>
      </c>
      <c r="F69" s="45"/>
      <c r="G69" s="45">
        <v>35113448</v>
      </c>
      <c r="H69" s="45"/>
      <c r="I69" s="45">
        <v>5854927</v>
      </c>
      <c r="J69" s="45"/>
      <c r="K69" s="45">
        <v>28544746</v>
      </c>
      <c r="L69" s="45"/>
      <c r="M69" s="45">
        <f>6568702+9494428-171094</f>
        <v>15892036</v>
      </c>
      <c r="N69" s="45"/>
      <c r="O69" s="45">
        <v>171094</v>
      </c>
      <c r="P69" s="45"/>
      <c r="Q69" s="45">
        <v>-9494428</v>
      </c>
      <c r="R69" s="45"/>
      <c r="S69" s="45">
        <f t="shared" si="0"/>
        <v>6568702</v>
      </c>
      <c r="T69" s="45"/>
      <c r="U69" s="44">
        <f t="shared" si="1"/>
        <v>0</v>
      </c>
    </row>
    <row r="70" spans="1:21" s="44" customFormat="1" ht="12.75" customHeight="1" x14ac:dyDescent="0.2">
      <c r="A70" s="44" t="s">
        <v>87</v>
      </c>
      <c r="C70" s="44" t="s">
        <v>88</v>
      </c>
      <c r="D70" s="35"/>
      <c r="E70" s="45">
        <v>892402</v>
      </c>
      <c r="F70" s="45"/>
      <c r="G70" s="45">
        <v>2710389</v>
      </c>
      <c r="H70" s="45"/>
      <c r="I70" s="45">
        <v>1132204</v>
      </c>
      <c r="J70" s="45"/>
      <c r="K70" s="45">
        <v>1364496</v>
      </c>
      <c r="L70" s="45"/>
      <c r="M70" s="45">
        <f>64016+311927+220378</f>
        <v>596321</v>
      </c>
      <c r="N70" s="45"/>
      <c r="O70" s="45">
        <v>0</v>
      </c>
      <c r="P70" s="45"/>
      <c r="Q70" s="45">
        <v>749572</v>
      </c>
      <c r="R70" s="45"/>
      <c r="S70" s="45">
        <f t="shared" si="0"/>
        <v>1345893</v>
      </c>
      <c r="T70" s="45"/>
      <c r="U70" s="44">
        <f>+G70-K70-S70</f>
        <v>0</v>
      </c>
    </row>
    <row r="71" spans="1:21" s="44" customFormat="1" ht="12.75" customHeight="1" x14ac:dyDescent="0.2">
      <c r="A71" s="44" t="s">
        <v>394</v>
      </c>
      <c r="C71" s="44" t="s">
        <v>89</v>
      </c>
      <c r="E71" s="45">
        <f>4215915+4375</f>
        <v>4220290</v>
      </c>
      <c r="F71" s="45"/>
      <c r="G71" s="45">
        <v>8722534</v>
      </c>
      <c r="H71" s="45"/>
      <c r="I71" s="45">
        <v>3130235</v>
      </c>
      <c r="J71" s="45"/>
      <c r="K71" s="45">
        <v>3657561</v>
      </c>
      <c r="L71" s="45"/>
      <c r="M71" s="45">
        <f>245515+1439977+1473463</f>
        <v>3158955</v>
      </c>
      <c r="N71" s="45"/>
      <c r="O71" s="45">
        <v>103666</v>
      </c>
      <c r="P71" s="45"/>
      <c r="Q71" s="45">
        <v>1802352</v>
      </c>
      <c r="R71" s="45"/>
      <c r="S71" s="45">
        <f t="shared" ref="S71:S133" si="6">+Q71+O71+M71</f>
        <v>5064973</v>
      </c>
      <c r="T71" s="45"/>
      <c r="U71" s="44">
        <f t="shared" si="1"/>
        <v>0</v>
      </c>
    </row>
    <row r="72" spans="1:21" s="44" customFormat="1" ht="12.75" hidden="1" customHeight="1" x14ac:dyDescent="0.2">
      <c r="A72" s="44" t="s">
        <v>90</v>
      </c>
      <c r="C72" s="44" t="s">
        <v>43</v>
      </c>
      <c r="E72" s="45">
        <f>100968300+1066187</f>
        <v>102034487</v>
      </c>
      <c r="F72" s="45"/>
      <c r="G72" s="45">
        <v>161428017</v>
      </c>
      <c r="H72" s="45"/>
      <c r="I72" s="45">
        <v>23035396</v>
      </c>
      <c r="J72" s="45"/>
      <c r="K72" s="45">
        <v>66355249</v>
      </c>
      <c r="L72" s="45"/>
      <c r="M72" s="45">
        <f>2080288+16163470+51828845</f>
        <v>70072603</v>
      </c>
      <c r="N72" s="45"/>
      <c r="O72" s="45">
        <v>2823620</v>
      </c>
      <c r="P72" s="45"/>
      <c r="Q72" s="45">
        <v>22176545</v>
      </c>
      <c r="R72" s="45"/>
      <c r="S72" s="45">
        <f t="shared" si="6"/>
        <v>95072768</v>
      </c>
      <c r="T72" s="45"/>
      <c r="U72" s="44">
        <f t="shared" si="1"/>
        <v>0</v>
      </c>
    </row>
    <row r="73" spans="1:21" s="44" customFormat="1" ht="12.75" customHeight="1" x14ac:dyDescent="0.2">
      <c r="A73" s="47" t="s">
        <v>488</v>
      </c>
      <c r="B73" s="47"/>
      <c r="C73" s="47" t="s">
        <v>27</v>
      </c>
      <c r="E73" s="45">
        <f>3510682+85</f>
        <v>3510767</v>
      </c>
      <c r="F73" s="45"/>
      <c r="G73" s="45">
        <v>17085909</v>
      </c>
      <c r="H73" s="45"/>
      <c r="I73" s="45">
        <v>10518225</v>
      </c>
      <c r="J73" s="45"/>
      <c r="K73" s="45">
        <v>15009965</v>
      </c>
      <c r="L73" s="45"/>
      <c r="M73" s="45">
        <f>20475+3280860+1333249</f>
        <v>4634584</v>
      </c>
      <c r="N73" s="45"/>
      <c r="O73" s="45">
        <v>106041</v>
      </c>
      <c r="P73" s="45"/>
      <c r="Q73" s="45">
        <v>-2664681</v>
      </c>
      <c r="R73" s="45"/>
      <c r="S73" s="45">
        <f t="shared" si="6"/>
        <v>2075944</v>
      </c>
      <c r="T73" s="45"/>
      <c r="U73" s="44">
        <f t="shared" si="1"/>
        <v>0</v>
      </c>
    </row>
    <row r="74" spans="1:21" s="44" customFormat="1" ht="12.75" customHeight="1" x14ac:dyDescent="0.2">
      <c r="A74" s="44" t="s">
        <v>93</v>
      </c>
      <c r="B74" s="47"/>
      <c r="C74" s="44" t="s">
        <v>94</v>
      </c>
      <c r="E74" s="45">
        <f>667890+1617</f>
        <v>669507</v>
      </c>
      <c r="F74" s="45"/>
      <c r="G74" s="45">
        <v>3920495</v>
      </c>
      <c r="H74" s="45"/>
      <c r="I74" s="45">
        <v>2331793</v>
      </c>
      <c r="J74" s="45"/>
      <c r="K74" s="45">
        <v>2958538</v>
      </c>
      <c r="L74" s="45"/>
      <c r="M74" s="45">
        <f>88618+802500+32571</f>
        <v>923689</v>
      </c>
      <c r="N74" s="45"/>
      <c r="O74" s="45">
        <v>112440</v>
      </c>
      <c r="P74" s="45"/>
      <c r="Q74" s="45">
        <v>-74172</v>
      </c>
      <c r="R74" s="45"/>
      <c r="S74" s="45">
        <f t="shared" si="6"/>
        <v>961957</v>
      </c>
      <c r="T74" s="45"/>
      <c r="U74" s="44">
        <f>+G74-K74-S74</f>
        <v>0</v>
      </c>
    </row>
    <row r="75" spans="1:21" s="46" customFormat="1" ht="12.75" customHeight="1" x14ac:dyDescent="0.2">
      <c r="A75" s="46" t="s">
        <v>95</v>
      </c>
      <c r="C75" s="46" t="s">
        <v>94</v>
      </c>
      <c r="E75" s="45">
        <f>464305+132584</f>
        <v>596889</v>
      </c>
      <c r="F75" s="45"/>
      <c r="G75" s="45">
        <v>5263810</v>
      </c>
      <c r="H75" s="45"/>
      <c r="I75" s="45">
        <v>1304107</v>
      </c>
      <c r="J75" s="45"/>
      <c r="K75" s="45">
        <v>4416090</v>
      </c>
      <c r="L75" s="45"/>
      <c r="M75" s="45">
        <f>1500+22149+7223+32371</f>
        <v>63243</v>
      </c>
      <c r="N75" s="45"/>
      <c r="O75" s="45">
        <v>0</v>
      </c>
      <c r="P75" s="45"/>
      <c r="Q75" s="45">
        <f>3199376-442476-1972423</f>
        <v>784477</v>
      </c>
      <c r="R75" s="45"/>
      <c r="S75" s="45">
        <f t="shared" si="6"/>
        <v>847720</v>
      </c>
      <c r="T75" s="45"/>
      <c r="U75" s="44">
        <f t="shared" ref="U75:U81" si="7">+G75-K75-S75</f>
        <v>0</v>
      </c>
    </row>
    <row r="76" spans="1:21" s="44" customFormat="1" ht="12.75" customHeight="1" x14ac:dyDescent="0.2">
      <c r="A76" s="44" t="s">
        <v>91</v>
      </c>
      <c r="C76" s="44" t="s">
        <v>92</v>
      </c>
      <c r="E76" s="45">
        <f>2332547+10243</f>
        <v>2342790</v>
      </c>
      <c r="F76" s="45"/>
      <c r="G76" s="45">
        <v>10094907</v>
      </c>
      <c r="H76" s="45"/>
      <c r="I76" s="45">
        <v>5809762</v>
      </c>
      <c r="J76" s="45"/>
      <c r="K76" s="45">
        <v>6784836</v>
      </c>
      <c r="L76" s="45"/>
      <c r="M76" s="45">
        <f>210443+2321816</f>
        <v>2532259</v>
      </c>
      <c r="N76" s="45"/>
      <c r="O76" s="45">
        <v>85339</v>
      </c>
      <c r="P76" s="45"/>
      <c r="Q76" s="45">
        <v>692473</v>
      </c>
      <c r="R76" s="45"/>
      <c r="S76" s="45">
        <f t="shared" si="6"/>
        <v>3310071</v>
      </c>
      <c r="T76" s="45"/>
      <c r="U76" s="44">
        <f t="shared" si="7"/>
        <v>0</v>
      </c>
    </row>
    <row r="77" spans="1:21" s="44" customFormat="1" ht="12.75" customHeight="1" x14ac:dyDescent="0.2">
      <c r="A77" s="44" t="s">
        <v>96</v>
      </c>
      <c r="C77" s="44" t="s">
        <v>97</v>
      </c>
      <c r="E77" s="45">
        <f>6312115+20089</f>
        <v>6332204</v>
      </c>
      <c r="F77" s="45"/>
      <c r="G77" s="45">
        <v>8092139</v>
      </c>
      <c r="H77" s="45"/>
      <c r="I77" s="45">
        <v>1136571</v>
      </c>
      <c r="J77" s="45"/>
      <c r="K77" s="45">
        <v>1434217</v>
      </c>
      <c r="L77" s="45"/>
      <c r="M77" s="45">
        <f>13000+4939697</f>
        <v>4952697</v>
      </c>
      <c r="N77" s="45"/>
      <c r="O77" s="45">
        <v>39538</v>
      </c>
      <c r="P77" s="45"/>
      <c r="Q77" s="45">
        <v>1665687</v>
      </c>
      <c r="R77" s="45"/>
      <c r="S77" s="45">
        <f t="shared" si="6"/>
        <v>6657922</v>
      </c>
      <c r="T77" s="45"/>
      <c r="U77" s="44">
        <f t="shared" si="7"/>
        <v>0</v>
      </c>
    </row>
    <row r="78" spans="1:21" s="44" customFormat="1" ht="12.75" customHeight="1" x14ac:dyDescent="0.2">
      <c r="A78" s="44" t="s">
        <v>98</v>
      </c>
      <c r="C78" s="44" t="s">
        <v>17</v>
      </c>
      <c r="E78" s="45">
        <v>7940809</v>
      </c>
      <c r="F78" s="45"/>
      <c r="G78" s="45">
        <v>26866935</v>
      </c>
      <c r="H78" s="45"/>
      <c r="I78" s="45">
        <v>7955423</v>
      </c>
      <c r="J78" s="45"/>
      <c r="K78" s="45">
        <v>16730725</v>
      </c>
      <c r="L78" s="45"/>
      <c r="M78" s="45">
        <f>477122+10820686+3086363</f>
        <v>14384171</v>
      </c>
      <c r="N78" s="45"/>
      <c r="O78" s="45">
        <v>569402</v>
      </c>
      <c r="P78" s="45"/>
      <c r="Q78" s="45">
        <v>-4817363</v>
      </c>
      <c r="R78" s="45"/>
      <c r="S78" s="45">
        <f t="shared" si="6"/>
        <v>10136210</v>
      </c>
      <c r="T78" s="45"/>
      <c r="U78" s="44">
        <f t="shared" si="7"/>
        <v>0</v>
      </c>
    </row>
    <row r="79" spans="1:21" s="44" customFormat="1" ht="12.75" customHeight="1" x14ac:dyDescent="0.2">
      <c r="A79" s="44" t="s">
        <v>99</v>
      </c>
      <c r="C79" s="44" t="s">
        <v>66</v>
      </c>
      <c r="E79" s="45">
        <v>12996186</v>
      </c>
      <c r="F79" s="45"/>
      <c r="G79" s="45">
        <v>17076162</v>
      </c>
      <c r="H79" s="45"/>
      <c r="I79" s="45">
        <v>1854937</v>
      </c>
      <c r="J79" s="45"/>
      <c r="K79" s="45">
        <v>3690566</v>
      </c>
      <c r="L79" s="45"/>
      <c r="M79" s="45">
        <f>122401+2274051+2252816</f>
        <v>4649268</v>
      </c>
      <c r="N79" s="45"/>
      <c r="O79" s="45">
        <v>4340896</v>
      </c>
      <c r="P79" s="45"/>
      <c r="Q79" s="45">
        <v>4395432</v>
      </c>
      <c r="R79" s="45"/>
      <c r="S79" s="45">
        <f t="shared" si="6"/>
        <v>13385596</v>
      </c>
      <c r="T79" s="45"/>
      <c r="U79" s="44">
        <f t="shared" si="7"/>
        <v>0</v>
      </c>
    </row>
    <row r="80" spans="1:21" s="44" customFormat="1" ht="12.75" customHeight="1" x14ac:dyDescent="0.2">
      <c r="A80" s="44" t="s">
        <v>100</v>
      </c>
      <c r="C80" s="44" t="s">
        <v>27</v>
      </c>
      <c r="E80" s="45">
        <f>8704853+7856+50132</f>
        <v>8762841</v>
      </c>
      <c r="F80" s="45"/>
      <c r="G80" s="45">
        <v>43365031</v>
      </c>
      <c r="H80" s="45"/>
      <c r="I80" s="45">
        <v>21252824</v>
      </c>
      <c r="J80" s="45"/>
      <c r="K80" s="45">
        <v>32227345</v>
      </c>
      <c r="L80" s="45"/>
      <c r="M80" s="45">
        <f>2429632+4842255+183472</f>
        <v>7455359</v>
      </c>
      <c r="N80" s="45"/>
      <c r="O80" s="45">
        <v>36008</v>
      </c>
      <c r="P80" s="45"/>
      <c r="Q80" s="45">
        <v>3646319</v>
      </c>
      <c r="R80" s="45"/>
      <c r="S80" s="45">
        <f t="shared" si="6"/>
        <v>11137686</v>
      </c>
      <c r="T80" s="45"/>
      <c r="U80" s="44">
        <f t="shared" si="7"/>
        <v>0</v>
      </c>
    </row>
    <row r="81" spans="1:21" s="44" customFormat="1" ht="12.75" customHeight="1" x14ac:dyDescent="0.2">
      <c r="A81" s="44" t="s">
        <v>101</v>
      </c>
      <c r="C81" s="44" t="s">
        <v>30</v>
      </c>
      <c r="E81" s="45">
        <v>11642162</v>
      </c>
      <c r="F81" s="45"/>
      <c r="G81" s="45">
        <v>30373792</v>
      </c>
      <c r="H81" s="45"/>
      <c r="I81" s="45">
        <v>13424858</v>
      </c>
      <c r="J81" s="45"/>
      <c r="K81" s="45">
        <v>18299240</v>
      </c>
      <c r="L81" s="45"/>
      <c r="M81" s="45">
        <f>3458999+7071041+491291</f>
        <v>11021331</v>
      </c>
      <c r="N81" s="45"/>
      <c r="O81" s="45">
        <v>765751</v>
      </c>
      <c r="P81" s="45"/>
      <c r="Q81" s="45">
        <v>287470</v>
      </c>
      <c r="R81" s="45"/>
      <c r="S81" s="45">
        <f t="shared" si="6"/>
        <v>12074552</v>
      </c>
      <c r="T81" s="45"/>
      <c r="U81" s="44">
        <f t="shared" si="7"/>
        <v>0</v>
      </c>
    </row>
    <row r="82" spans="1:21" s="44" customFormat="1" ht="12.75" customHeight="1" x14ac:dyDescent="0.2">
      <c r="A82" s="44" t="s">
        <v>102</v>
      </c>
      <c r="C82" s="44" t="s">
        <v>103</v>
      </c>
      <c r="E82" s="45">
        <v>28720258</v>
      </c>
      <c r="F82" s="45"/>
      <c r="G82" s="45">
        <v>41790507</v>
      </c>
      <c r="H82" s="45"/>
      <c r="I82" s="45">
        <v>9603563</v>
      </c>
      <c r="J82" s="45"/>
      <c r="K82" s="45">
        <v>15068534</v>
      </c>
      <c r="L82" s="45"/>
      <c r="M82" s="45">
        <v>17004137</v>
      </c>
      <c r="N82" s="45"/>
      <c r="O82" s="45">
        <v>463874</v>
      </c>
      <c r="P82" s="45"/>
      <c r="Q82" s="45">
        <v>9253962</v>
      </c>
      <c r="R82" s="45"/>
      <c r="S82" s="45">
        <f t="shared" si="6"/>
        <v>26721973</v>
      </c>
      <c r="T82" s="45"/>
      <c r="U82" s="44">
        <f t="shared" ref="U82:U149" si="8">+G82-K82-S82</f>
        <v>0</v>
      </c>
    </row>
    <row r="83" spans="1:21" s="44" customFormat="1" ht="12.75" customHeight="1" x14ac:dyDescent="0.2">
      <c r="A83" s="44" t="s">
        <v>104</v>
      </c>
      <c r="C83" s="44" t="s">
        <v>13</v>
      </c>
      <c r="E83" s="45">
        <f>14171614+16265</f>
        <v>14187879</v>
      </c>
      <c r="F83" s="45"/>
      <c r="G83" s="45">
        <v>19356260</v>
      </c>
      <c r="H83" s="45"/>
      <c r="I83" s="45">
        <v>1847510</v>
      </c>
      <c r="J83" s="45"/>
      <c r="K83" s="45">
        <v>3539911</v>
      </c>
      <c r="L83" s="45"/>
      <c r="M83" s="45">
        <f>564788+3818702+78640</f>
        <v>4462130</v>
      </c>
      <c r="N83" s="45"/>
      <c r="O83" s="45">
        <v>266417</v>
      </c>
      <c r="P83" s="45"/>
      <c r="Q83" s="45">
        <v>11087802</v>
      </c>
      <c r="R83" s="45"/>
      <c r="S83" s="45">
        <f t="shared" si="6"/>
        <v>15816349</v>
      </c>
      <c r="T83" s="45"/>
      <c r="U83" s="44">
        <f t="shared" si="8"/>
        <v>0</v>
      </c>
    </row>
    <row r="84" spans="1:21" s="44" customFormat="1" ht="12.75" customHeight="1" x14ac:dyDescent="0.2">
      <c r="A84" s="44" t="s">
        <v>105</v>
      </c>
      <c r="C84" s="44" t="s">
        <v>27</v>
      </c>
      <c r="E84" s="45">
        <f>4075997+320000</f>
        <v>4395997</v>
      </c>
      <c r="F84" s="45"/>
      <c r="G84" s="45">
        <v>13835403</v>
      </c>
      <c r="H84" s="45"/>
      <c r="I84" s="45">
        <v>7304690</v>
      </c>
      <c r="J84" s="45"/>
      <c r="K84" s="45">
        <v>8303489</v>
      </c>
      <c r="L84" s="45"/>
      <c r="M84" s="45">
        <f>440330+1847011+1686651</f>
        <v>3973992</v>
      </c>
      <c r="N84" s="45"/>
      <c r="O84" s="45">
        <v>24301</v>
      </c>
      <c r="P84" s="45"/>
      <c r="Q84" s="45">
        <v>1533621</v>
      </c>
      <c r="R84" s="45"/>
      <c r="S84" s="45">
        <f t="shared" si="6"/>
        <v>5531914</v>
      </c>
      <c r="T84" s="45"/>
      <c r="U84" s="44">
        <f t="shared" si="8"/>
        <v>0</v>
      </c>
    </row>
    <row r="85" spans="1:21" s="44" customFormat="1" ht="12.75" customHeight="1" x14ac:dyDescent="0.2">
      <c r="A85" s="44" t="s">
        <v>106</v>
      </c>
      <c r="C85" s="44" t="s">
        <v>107</v>
      </c>
      <c r="E85" s="45">
        <f>14339469+56904+259700+229985+2602029</f>
        <v>17488087</v>
      </c>
      <c r="F85" s="45"/>
      <c r="G85" s="45">
        <v>27872105</v>
      </c>
      <c r="H85" s="45"/>
      <c r="I85" s="45">
        <v>3838542</v>
      </c>
      <c r="J85" s="45"/>
      <c r="K85" s="45">
        <v>8966580</v>
      </c>
      <c r="L85" s="45"/>
      <c r="M85" s="45">
        <f>1764750+4349207+5764901</f>
        <v>11878858</v>
      </c>
      <c r="N85" s="45"/>
      <c r="O85" s="45">
        <v>1237557</v>
      </c>
      <c r="P85" s="45"/>
      <c r="Q85" s="45">
        <v>5789110</v>
      </c>
      <c r="R85" s="45"/>
      <c r="S85" s="45">
        <f t="shared" si="6"/>
        <v>18905525</v>
      </c>
      <c r="T85" s="45"/>
      <c r="U85" s="44">
        <f t="shared" si="8"/>
        <v>0</v>
      </c>
    </row>
    <row r="86" spans="1:21" s="44" customFormat="1" ht="12.75" customHeight="1" x14ac:dyDescent="0.2">
      <c r="A86" s="44" t="s">
        <v>108</v>
      </c>
      <c r="C86" s="44" t="s">
        <v>45</v>
      </c>
      <c r="E86" s="45">
        <v>12479233</v>
      </c>
      <c r="F86" s="45"/>
      <c r="G86" s="45">
        <v>25698074</v>
      </c>
      <c r="H86" s="45"/>
      <c r="I86" s="45">
        <v>11438064</v>
      </c>
      <c r="J86" s="45"/>
      <c r="K86" s="45">
        <v>16638958</v>
      </c>
      <c r="L86" s="45"/>
      <c r="M86" s="45">
        <f>8288199+22929</f>
        <v>8311128</v>
      </c>
      <c r="N86" s="45"/>
      <c r="O86" s="45">
        <v>318297</v>
      </c>
      <c r="P86" s="45"/>
      <c r="Q86" s="45">
        <v>429691</v>
      </c>
      <c r="R86" s="45"/>
      <c r="S86" s="45">
        <f t="shared" si="6"/>
        <v>9059116</v>
      </c>
      <c r="T86" s="45"/>
      <c r="U86" s="44">
        <f t="shared" si="8"/>
        <v>0</v>
      </c>
    </row>
    <row r="87" spans="1:21" s="44" customFormat="1" ht="12.75" customHeight="1" x14ac:dyDescent="0.2">
      <c r="A87" s="44" t="s">
        <v>109</v>
      </c>
      <c r="C87" s="44" t="s">
        <v>110</v>
      </c>
      <c r="E87" s="45">
        <f>2549542+63798</f>
        <v>2613340</v>
      </c>
      <c r="F87" s="45"/>
      <c r="G87" s="45">
        <v>7473769</v>
      </c>
      <c r="H87" s="45"/>
      <c r="I87" s="45">
        <v>1244391</v>
      </c>
      <c r="J87" s="45"/>
      <c r="K87" s="45">
        <v>2778849</v>
      </c>
      <c r="L87" s="45"/>
      <c r="M87" s="45">
        <f>194979+3470272+375692</f>
        <v>4040943</v>
      </c>
      <c r="N87" s="45"/>
      <c r="O87" s="45">
        <v>484934</v>
      </c>
      <c r="P87" s="45"/>
      <c r="Q87" s="45">
        <v>169043</v>
      </c>
      <c r="R87" s="45"/>
      <c r="S87" s="45">
        <f t="shared" si="6"/>
        <v>4694920</v>
      </c>
      <c r="T87" s="45"/>
      <c r="U87" s="44">
        <f t="shared" si="8"/>
        <v>0</v>
      </c>
    </row>
    <row r="88" spans="1:21" s="44" customFormat="1" ht="12.75" customHeight="1" x14ac:dyDescent="0.2">
      <c r="A88" s="44" t="s">
        <v>43</v>
      </c>
      <c r="C88" s="44" t="s">
        <v>111</v>
      </c>
      <c r="E88" s="45">
        <v>9478573</v>
      </c>
      <c r="F88" s="45"/>
      <c r="G88" s="45">
        <v>14646499</v>
      </c>
      <c r="H88" s="45"/>
      <c r="I88" s="45">
        <v>4228431</v>
      </c>
      <c r="J88" s="45"/>
      <c r="K88" s="45">
        <v>6246067</v>
      </c>
      <c r="L88" s="45"/>
      <c r="M88" s="45">
        <f>1345165+3137877+51662</f>
        <v>4534704</v>
      </c>
      <c r="N88" s="45"/>
      <c r="O88" s="45">
        <v>145969</v>
      </c>
      <c r="P88" s="45"/>
      <c r="Q88" s="45">
        <v>3719759</v>
      </c>
      <c r="R88" s="45"/>
      <c r="S88" s="45">
        <f t="shared" si="6"/>
        <v>8400432</v>
      </c>
      <c r="T88" s="45"/>
      <c r="U88" s="44">
        <f t="shared" si="8"/>
        <v>0</v>
      </c>
    </row>
    <row r="89" spans="1:21" s="44" customFormat="1" ht="12.75" customHeight="1" x14ac:dyDescent="0.2">
      <c r="A89" s="44" t="s">
        <v>112</v>
      </c>
      <c r="C89" s="44" t="s">
        <v>76</v>
      </c>
      <c r="E89" s="45">
        <v>9794277</v>
      </c>
      <c r="F89" s="45"/>
      <c r="G89" s="45">
        <v>14996454</v>
      </c>
      <c r="H89" s="45"/>
      <c r="I89" s="45">
        <v>2331328</v>
      </c>
      <c r="J89" s="45"/>
      <c r="K89" s="45">
        <v>3950723</v>
      </c>
      <c r="L89" s="45"/>
      <c r="M89" s="45">
        <f>66413+2929216+5784462</f>
        <v>8780091</v>
      </c>
      <c r="N89" s="45"/>
      <c r="O89" s="45">
        <v>1713336</v>
      </c>
      <c r="P89" s="45"/>
      <c r="Q89" s="45">
        <v>552304</v>
      </c>
      <c r="R89" s="45"/>
      <c r="S89" s="45">
        <f t="shared" si="6"/>
        <v>11045731</v>
      </c>
      <c r="T89" s="45"/>
      <c r="U89" s="44">
        <f t="shared" si="8"/>
        <v>0</v>
      </c>
    </row>
    <row r="90" spans="1:21" s="44" customFormat="1" ht="12.75" customHeight="1" x14ac:dyDescent="0.2">
      <c r="A90" s="44" t="s">
        <v>113</v>
      </c>
      <c r="C90" s="44" t="s">
        <v>43</v>
      </c>
      <c r="E90" s="45">
        <f>30528055+289775</f>
        <v>30817830</v>
      </c>
      <c r="F90" s="45"/>
      <c r="G90" s="45">
        <v>40910639</v>
      </c>
      <c r="H90" s="45"/>
      <c r="I90" s="45">
        <v>4546316</v>
      </c>
      <c r="J90" s="45"/>
      <c r="K90" s="45">
        <v>8875475</v>
      </c>
      <c r="L90" s="45"/>
      <c r="M90" s="45">
        <f>327330+9653338+2015207</f>
        <v>11995875</v>
      </c>
      <c r="N90" s="45"/>
      <c r="O90" s="45">
        <v>3515864</v>
      </c>
      <c r="P90" s="45"/>
      <c r="Q90" s="45">
        <v>16523425</v>
      </c>
      <c r="R90" s="45"/>
      <c r="S90" s="45">
        <f t="shared" si="6"/>
        <v>32035164</v>
      </c>
      <c r="T90" s="45"/>
      <c r="U90" s="44">
        <f t="shared" si="8"/>
        <v>0</v>
      </c>
    </row>
    <row r="91" spans="1:21" s="44" customFormat="1" ht="12.75" customHeight="1" x14ac:dyDescent="0.2">
      <c r="A91" s="44" t="s">
        <v>490</v>
      </c>
      <c r="C91" s="44" t="s">
        <v>57</v>
      </c>
      <c r="E91" s="45">
        <v>6927665</v>
      </c>
      <c r="F91" s="45"/>
      <c r="G91" s="45">
        <v>11574394</v>
      </c>
      <c r="H91" s="45"/>
      <c r="I91" s="45">
        <v>2031293</v>
      </c>
      <c r="J91" s="45"/>
      <c r="K91" s="45">
        <v>4115645</v>
      </c>
      <c r="L91" s="45"/>
      <c r="M91" s="45">
        <f>121054+2872207</f>
        <v>2993261</v>
      </c>
      <c r="N91" s="45"/>
      <c r="O91" s="45">
        <v>12604</v>
      </c>
      <c r="P91" s="45"/>
      <c r="Q91" s="45">
        <v>4452884</v>
      </c>
      <c r="R91" s="45"/>
      <c r="S91" s="45">
        <f t="shared" si="6"/>
        <v>7458749</v>
      </c>
      <c r="T91" s="45"/>
      <c r="U91" s="44">
        <f>+G91-K91-S91</f>
        <v>0</v>
      </c>
    </row>
    <row r="92" spans="1:21" s="44" customFormat="1" ht="12.75" customHeight="1" x14ac:dyDescent="0.2">
      <c r="A92" s="44" t="s">
        <v>114</v>
      </c>
      <c r="C92" s="44" t="s">
        <v>27</v>
      </c>
      <c r="E92" s="45">
        <f>1218265+183</f>
        <v>1218448</v>
      </c>
      <c r="F92" s="45"/>
      <c r="G92" s="45">
        <v>25862881</v>
      </c>
      <c r="H92" s="45"/>
      <c r="I92" s="45">
        <v>22246520</v>
      </c>
      <c r="J92" s="45"/>
      <c r="K92" s="45">
        <v>28826886</v>
      </c>
      <c r="L92" s="45"/>
      <c r="M92" s="45">
        <f>226325+1830419</f>
        <v>2056744</v>
      </c>
      <c r="N92" s="45"/>
      <c r="O92" s="45">
        <v>0</v>
      </c>
      <c r="P92" s="45"/>
      <c r="Q92" s="45">
        <v>-5020749</v>
      </c>
      <c r="R92" s="45"/>
      <c r="S92" s="45">
        <f t="shared" si="6"/>
        <v>-2964005</v>
      </c>
      <c r="T92" s="45"/>
      <c r="U92" s="44">
        <f>+G92-K92-S92</f>
        <v>0</v>
      </c>
    </row>
    <row r="93" spans="1:21" s="44" customFormat="1" ht="12.75" customHeight="1" x14ac:dyDescent="0.2">
      <c r="A93" s="44" t="s">
        <v>115</v>
      </c>
      <c r="C93" s="44" t="s">
        <v>19</v>
      </c>
      <c r="E93" s="45">
        <f>2314049+134058</f>
        <v>2448107</v>
      </c>
      <c r="F93" s="45"/>
      <c r="G93" s="45">
        <v>5207140</v>
      </c>
      <c r="H93" s="45"/>
      <c r="I93" s="45">
        <v>2158905</v>
      </c>
      <c r="J93" s="45"/>
      <c r="K93" s="45">
        <v>2770065</v>
      </c>
      <c r="L93" s="45"/>
      <c r="M93" s="45">
        <f>118892+754334+35945</f>
        <v>909171</v>
      </c>
      <c r="N93" s="45"/>
      <c r="O93" s="45">
        <v>48307</v>
      </c>
      <c r="P93" s="45"/>
      <c r="Q93" s="45">
        <v>1479597</v>
      </c>
      <c r="R93" s="45"/>
      <c r="S93" s="45">
        <f t="shared" si="6"/>
        <v>2437075</v>
      </c>
      <c r="T93" s="45"/>
      <c r="U93" s="44">
        <f t="shared" si="8"/>
        <v>0</v>
      </c>
    </row>
    <row r="94" spans="1:21" s="44" customFormat="1" ht="12.75" customHeight="1" x14ac:dyDescent="0.2">
      <c r="A94" s="44" t="s">
        <v>116</v>
      </c>
      <c r="C94" s="44" t="s">
        <v>80</v>
      </c>
      <c r="E94" s="45">
        <f>1153265+25866</f>
        <v>1179131</v>
      </c>
      <c r="F94" s="45"/>
      <c r="G94" s="45">
        <v>4985644</v>
      </c>
      <c r="H94" s="45"/>
      <c r="I94" s="45">
        <v>3282902</v>
      </c>
      <c r="J94" s="45"/>
      <c r="K94" s="45">
        <v>3998348</v>
      </c>
      <c r="L94" s="45"/>
      <c r="M94" s="45">
        <f>37366+845597</f>
        <v>882963</v>
      </c>
      <c r="N94" s="45"/>
      <c r="O94" s="45">
        <v>61452</v>
      </c>
      <c r="P94" s="45"/>
      <c r="Q94" s="45">
        <v>42881</v>
      </c>
      <c r="R94" s="45"/>
      <c r="S94" s="45">
        <f t="shared" si="6"/>
        <v>987296</v>
      </c>
      <c r="T94" s="45"/>
      <c r="U94" s="44">
        <f t="shared" si="8"/>
        <v>0</v>
      </c>
    </row>
    <row r="95" spans="1:21" s="44" customFormat="1" ht="12.75" customHeight="1" x14ac:dyDescent="0.2">
      <c r="A95" s="44" t="s">
        <v>117</v>
      </c>
      <c r="C95" s="44" t="s">
        <v>43</v>
      </c>
      <c r="E95" s="45">
        <v>5029100</v>
      </c>
      <c r="F95" s="45"/>
      <c r="G95" s="45">
        <v>9727335</v>
      </c>
      <c r="H95" s="45"/>
      <c r="I95" s="45">
        <v>3051752</v>
      </c>
      <c r="J95" s="45"/>
      <c r="K95" s="45">
        <v>5183458</v>
      </c>
      <c r="L95" s="45"/>
      <c r="M95" s="45">
        <f>4543877-1249920-1596998</f>
        <v>1696959</v>
      </c>
      <c r="N95" s="45"/>
      <c r="O95" s="45">
        <f>37611+1202856+3199+6254</f>
        <v>1249920</v>
      </c>
      <c r="P95" s="45"/>
      <c r="Q95" s="45">
        <v>1596998</v>
      </c>
      <c r="R95" s="45"/>
      <c r="S95" s="45">
        <f t="shared" si="6"/>
        <v>4543877</v>
      </c>
      <c r="T95" s="45"/>
      <c r="U95" s="44">
        <f t="shared" si="8"/>
        <v>0</v>
      </c>
    </row>
    <row r="96" spans="1:21" s="44" customFormat="1" ht="12.75" customHeight="1" x14ac:dyDescent="0.2">
      <c r="A96" s="44" t="s">
        <v>118</v>
      </c>
      <c r="C96" s="44" t="s">
        <v>13</v>
      </c>
      <c r="E96" s="45">
        <v>45964206</v>
      </c>
      <c r="F96" s="45"/>
      <c r="G96" s="45">
        <v>63794113</v>
      </c>
      <c r="H96" s="45"/>
      <c r="I96" s="45">
        <v>5057174</v>
      </c>
      <c r="J96" s="45"/>
      <c r="K96" s="45">
        <v>15487275</v>
      </c>
      <c r="L96" s="45"/>
      <c r="M96" s="45">
        <f>649220+17299888+983311</f>
        <v>18932419</v>
      </c>
      <c r="N96" s="45"/>
      <c r="O96" s="45">
        <v>8181271</v>
      </c>
      <c r="P96" s="45"/>
      <c r="Q96" s="45">
        <v>21193148</v>
      </c>
      <c r="R96" s="45"/>
      <c r="S96" s="45">
        <f t="shared" si="6"/>
        <v>48306838</v>
      </c>
      <c r="T96" s="45"/>
      <c r="U96" s="44">
        <f>+G96-K96-S96</f>
        <v>0</v>
      </c>
    </row>
    <row r="97" spans="1:21" s="44" customFormat="1" ht="12.75" customHeight="1" x14ac:dyDescent="0.2">
      <c r="A97" s="44" t="s">
        <v>120</v>
      </c>
      <c r="C97" s="44" t="s">
        <v>121</v>
      </c>
      <c r="E97" s="45">
        <v>4570331</v>
      </c>
      <c r="F97" s="45"/>
      <c r="G97" s="45">
        <v>8941971</v>
      </c>
      <c r="H97" s="45"/>
      <c r="I97" s="45">
        <v>1038278</v>
      </c>
      <c r="J97" s="45"/>
      <c r="K97" s="45">
        <v>3168213</v>
      </c>
      <c r="L97" s="45"/>
      <c r="M97" s="45">
        <f>179746+1247482+126533</f>
        <v>1553761</v>
      </c>
      <c r="N97" s="45"/>
      <c r="O97" s="45">
        <v>2559370</v>
      </c>
      <c r="P97" s="45"/>
      <c r="Q97" s="45">
        <v>1660627</v>
      </c>
      <c r="R97" s="45"/>
      <c r="S97" s="45">
        <f t="shared" si="6"/>
        <v>5773758</v>
      </c>
      <c r="T97" s="45"/>
      <c r="U97" s="44">
        <f t="shared" si="8"/>
        <v>0</v>
      </c>
    </row>
    <row r="98" spans="1:21" s="44" customFormat="1" ht="12.75" customHeight="1" x14ac:dyDescent="0.2">
      <c r="A98" s="44" t="s">
        <v>122</v>
      </c>
      <c r="C98" s="44" t="s">
        <v>43</v>
      </c>
      <c r="E98" s="45">
        <f>40852393+941781+1249588</f>
        <v>43043762</v>
      </c>
      <c r="F98" s="45"/>
      <c r="G98" s="45">
        <v>59317977</v>
      </c>
      <c r="H98" s="45"/>
      <c r="I98" s="45">
        <v>13618943</v>
      </c>
      <c r="J98" s="45"/>
      <c r="K98" s="45">
        <v>15618441</v>
      </c>
      <c r="L98" s="45"/>
      <c r="M98" s="45">
        <f>520084+12843216+5566525</f>
        <v>18929825</v>
      </c>
      <c r="N98" s="45"/>
      <c r="O98" s="45">
        <v>2997481</v>
      </c>
      <c r="P98" s="45"/>
      <c r="Q98" s="45">
        <v>21772230</v>
      </c>
      <c r="R98" s="45"/>
      <c r="S98" s="45">
        <f t="shared" si="6"/>
        <v>43699536</v>
      </c>
      <c r="T98" s="45"/>
      <c r="U98" s="44">
        <f t="shared" si="8"/>
        <v>0</v>
      </c>
    </row>
    <row r="99" spans="1:21" s="44" customFormat="1" ht="12.75" customHeight="1" x14ac:dyDescent="0.2">
      <c r="A99" s="35" t="s">
        <v>507</v>
      </c>
      <c r="B99" s="51"/>
      <c r="C99" s="35" t="s">
        <v>43</v>
      </c>
      <c r="E99" s="45">
        <f>4024084+22595</f>
        <v>4046679</v>
      </c>
      <c r="F99" s="45"/>
      <c r="G99" s="45">
        <v>6004891</v>
      </c>
      <c r="H99" s="45"/>
      <c r="I99" s="45">
        <v>893673</v>
      </c>
      <c r="J99" s="45"/>
      <c r="K99" s="45">
        <v>1790069</v>
      </c>
      <c r="L99" s="45"/>
      <c r="M99" s="45">
        <f>162950+652527+258483</f>
        <v>1073960</v>
      </c>
      <c r="N99" s="45"/>
      <c r="O99" s="45">
        <v>1742963</v>
      </c>
      <c r="P99" s="45"/>
      <c r="Q99" s="45">
        <v>1397899</v>
      </c>
      <c r="R99" s="45"/>
      <c r="S99" s="45">
        <f t="shared" si="6"/>
        <v>4214822</v>
      </c>
      <c r="T99" s="45"/>
      <c r="U99" s="44">
        <f t="shared" si="8"/>
        <v>0</v>
      </c>
    </row>
    <row r="100" spans="1:21" s="44" customFormat="1" ht="12.75" customHeight="1" x14ac:dyDescent="0.2">
      <c r="A100" s="44" t="s">
        <v>45</v>
      </c>
      <c r="C100" s="44" t="s">
        <v>103</v>
      </c>
      <c r="E100" s="45">
        <v>27857423</v>
      </c>
      <c r="F100" s="45"/>
      <c r="G100" s="45">
        <v>43933519</v>
      </c>
      <c r="H100" s="45"/>
      <c r="I100" s="45">
        <v>11367539</v>
      </c>
      <c r="J100" s="45"/>
      <c r="K100" s="45">
        <v>16403741</v>
      </c>
      <c r="L100" s="45"/>
      <c r="M100" s="45">
        <f>346863+16460329</f>
        <v>16807192</v>
      </c>
      <c r="N100" s="45"/>
      <c r="O100" s="45">
        <v>23388</v>
      </c>
      <c r="P100" s="45"/>
      <c r="Q100" s="45">
        <v>10699198</v>
      </c>
      <c r="R100" s="45"/>
      <c r="S100" s="45">
        <f t="shared" si="6"/>
        <v>27529778</v>
      </c>
      <c r="T100" s="45"/>
      <c r="U100" s="44">
        <f t="shared" si="8"/>
        <v>0</v>
      </c>
    </row>
    <row r="101" spans="1:21" s="44" customFormat="1" ht="12.75" customHeight="1" x14ac:dyDescent="0.2">
      <c r="A101" s="44" t="s">
        <v>123</v>
      </c>
      <c r="C101" s="44" t="s">
        <v>45</v>
      </c>
      <c r="E101" s="45">
        <f>1952201+13440</f>
        <v>1965641</v>
      </c>
      <c r="F101" s="45"/>
      <c r="G101" s="45">
        <v>6514904</v>
      </c>
      <c r="H101" s="45"/>
      <c r="I101" s="45">
        <v>3775645</v>
      </c>
      <c r="J101" s="45"/>
      <c r="K101" s="45">
        <v>4707590</v>
      </c>
      <c r="L101" s="45"/>
      <c r="M101" s="45">
        <f>64743+1026679+13304</f>
        <v>1104726</v>
      </c>
      <c r="N101" s="45"/>
      <c r="O101" s="45">
        <v>456987</v>
      </c>
      <c r="P101" s="45"/>
      <c r="Q101" s="45">
        <v>245601</v>
      </c>
      <c r="R101" s="45"/>
      <c r="S101" s="45">
        <f t="shared" si="6"/>
        <v>1807314</v>
      </c>
      <c r="T101" s="45"/>
      <c r="U101" s="44">
        <f t="shared" si="8"/>
        <v>0</v>
      </c>
    </row>
    <row r="102" spans="1:21" s="44" customFormat="1" ht="12.75" customHeight="1" x14ac:dyDescent="0.2">
      <c r="A102" s="44" t="s">
        <v>124</v>
      </c>
      <c r="C102" s="44" t="s">
        <v>125</v>
      </c>
      <c r="E102" s="45">
        <f>2089836+3704451+33609</f>
        <v>5827896</v>
      </c>
      <c r="F102" s="45"/>
      <c r="G102" s="45">
        <v>8728314</v>
      </c>
      <c r="H102" s="45"/>
      <c r="I102" s="45">
        <v>1857253</v>
      </c>
      <c r="J102" s="45"/>
      <c r="K102" s="45">
        <v>2314499</v>
      </c>
      <c r="L102" s="45"/>
      <c r="M102" s="45">
        <f>196676+959738+1981100</f>
        <v>3137514</v>
      </c>
      <c r="N102" s="45"/>
      <c r="O102" s="45">
        <v>42354</v>
      </c>
      <c r="P102" s="45"/>
      <c r="Q102" s="45">
        <v>3233947</v>
      </c>
      <c r="R102" s="45"/>
      <c r="S102" s="45">
        <f t="shared" si="6"/>
        <v>6413815</v>
      </c>
      <c r="T102" s="45"/>
      <c r="U102" s="44">
        <f t="shared" si="8"/>
        <v>0</v>
      </c>
    </row>
    <row r="103" spans="1:21" s="44" customFormat="1" ht="12.75" customHeight="1" x14ac:dyDescent="0.2">
      <c r="A103" s="44" t="s">
        <v>126</v>
      </c>
      <c r="C103" s="44" t="s">
        <v>27</v>
      </c>
      <c r="E103" s="45">
        <v>9829641</v>
      </c>
      <c r="F103" s="45"/>
      <c r="G103" s="45">
        <v>19798735</v>
      </c>
      <c r="H103" s="45"/>
      <c r="I103" s="45">
        <v>7734790</v>
      </c>
      <c r="J103" s="45"/>
      <c r="K103" s="45">
        <v>8629714</v>
      </c>
      <c r="L103" s="45"/>
      <c r="M103" s="45">
        <f>202392+2018058+812248</f>
        <v>3032698</v>
      </c>
      <c r="N103" s="45"/>
      <c r="O103" s="45">
        <v>64448</v>
      </c>
      <c r="P103" s="45"/>
      <c r="Q103" s="45">
        <v>8071875</v>
      </c>
      <c r="R103" s="45"/>
      <c r="S103" s="45">
        <f t="shared" si="6"/>
        <v>11169021</v>
      </c>
      <c r="T103" s="45"/>
      <c r="U103" s="44">
        <f t="shared" si="8"/>
        <v>0</v>
      </c>
    </row>
    <row r="104" spans="1:21" s="44" customFormat="1" ht="12.75" customHeight="1" x14ac:dyDescent="0.2">
      <c r="A104" s="44" t="s">
        <v>127</v>
      </c>
      <c r="C104" s="44" t="s">
        <v>43</v>
      </c>
      <c r="E104" s="45">
        <f>16955221+127590</f>
        <v>17082811</v>
      </c>
      <c r="F104" s="45"/>
      <c r="G104" s="45">
        <v>27753255</v>
      </c>
      <c r="H104" s="45"/>
      <c r="I104" s="45">
        <v>6366558</v>
      </c>
      <c r="J104" s="45"/>
      <c r="K104" s="45">
        <v>9896309</v>
      </c>
      <c r="L104" s="45"/>
      <c r="M104" s="45">
        <f>28179+8287493+5977904</f>
        <v>14293576</v>
      </c>
      <c r="N104" s="45"/>
      <c r="O104" s="45">
        <v>520519</v>
      </c>
      <c r="P104" s="45"/>
      <c r="Q104" s="45">
        <v>3042851</v>
      </c>
      <c r="R104" s="45"/>
      <c r="S104" s="45">
        <f t="shared" si="6"/>
        <v>17856946</v>
      </c>
      <c r="T104" s="45"/>
      <c r="U104" s="44">
        <f t="shared" si="8"/>
        <v>0</v>
      </c>
    </row>
    <row r="105" spans="1:21" s="44" customFormat="1" ht="12.75" customHeight="1" x14ac:dyDescent="0.2">
      <c r="A105" s="44" t="s">
        <v>128</v>
      </c>
      <c r="C105" s="44" t="s">
        <v>119</v>
      </c>
      <c r="E105" s="45">
        <v>1793567</v>
      </c>
      <c r="F105" s="45"/>
      <c r="G105" s="45">
        <v>3661673</v>
      </c>
      <c r="H105" s="45"/>
      <c r="I105" s="45">
        <v>1096179</v>
      </c>
      <c r="J105" s="45"/>
      <c r="K105" s="45">
        <v>1422270</v>
      </c>
      <c r="L105" s="45"/>
      <c r="M105" s="45">
        <f>134262+1100045</f>
        <v>1234307</v>
      </c>
      <c r="N105" s="45"/>
      <c r="O105" s="45">
        <v>191359</v>
      </c>
      <c r="P105" s="45"/>
      <c r="Q105" s="45">
        <v>813737</v>
      </c>
      <c r="R105" s="45"/>
      <c r="S105" s="45">
        <f t="shared" si="6"/>
        <v>2239403</v>
      </c>
      <c r="T105" s="45"/>
      <c r="U105" s="44">
        <f t="shared" si="8"/>
        <v>0</v>
      </c>
    </row>
    <row r="106" spans="1:21" s="44" customFormat="1" ht="12.75" customHeight="1" x14ac:dyDescent="0.2">
      <c r="A106" s="44" t="s">
        <v>129</v>
      </c>
      <c r="C106" s="44" t="s">
        <v>80</v>
      </c>
      <c r="E106" s="45">
        <f>517920+550</f>
        <v>518470</v>
      </c>
      <c r="F106" s="45"/>
      <c r="G106" s="45">
        <v>2182385</v>
      </c>
      <c r="H106" s="45"/>
      <c r="I106" s="45">
        <v>446655</v>
      </c>
      <c r="J106" s="45"/>
      <c r="K106" s="45">
        <v>904647</v>
      </c>
      <c r="L106" s="45"/>
      <c r="M106" s="45">
        <f>41912+158298+18644</f>
        <v>218854</v>
      </c>
      <c r="N106" s="45"/>
      <c r="O106" s="45">
        <v>696612</v>
      </c>
      <c r="P106" s="45"/>
      <c r="Q106" s="45">
        <v>362272</v>
      </c>
      <c r="R106" s="45"/>
      <c r="S106" s="45">
        <f t="shared" si="6"/>
        <v>1277738</v>
      </c>
      <c r="T106" s="45"/>
      <c r="U106" s="44">
        <f t="shared" si="8"/>
        <v>0</v>
      </c>
    </row>
    <row r="107" spans="1:21" s="44" customFormat="1" ht="12.75" customHeight="1" x14ac:dyDescent="0.2">
      <c r="A107" s="44" t="s">
        <v>130</v>
      </c>
      <c r="C107" s="44" t="s">
        <v>66</v>
      </c>
      <c r="E107" s="45">
        <f>29441356+29933</f>
        <v>29471289</v>
      </c>
      <c r="F107" s="45"/>
      <c r="G107" s="45">
        <v>56054356</v>
      </c>
      <c r="H107" s="45"/>
      <c r="I107" s="45">
        <v>23148081</v>
      </c>
      <c r="J107" s="45"/>
      <c r="K107" s="45">
        <v>35237184</v>
      </c>
      <c r="L107" s="45"/>
      <c r="M107" s="45">
        <f>345787+16849409</f>
        <v>17195196</v>
      </c>
      <c r="N107" s="45"/>
      <c r="O107" s="45">
        <v>686896</v>
      </c>
      <c r="P107" s="45"/>
      <c r="Q107" s="45">
        <v>2935080</v>
      </c>
      <c r="R107" s="45"/>
      <c r="S107" s="45">
        <f t="shared" si="6"/>
        <v>20817172</v>
      </c>
      <c r="T107" s="45"/>
      <c r="U107" s="44">
        <f t="shared" si="8"/>
        <v>0</v>
      </c>
    </row>
    <row r="108" spans="1:21" s="44" customFormat="1" ht="12.75" customHeight="1" x14ac:dyDescent="0.2">
      <c r="A108" s="44" t="s">
        <v>131</v>
      </c>
      <c r="C108" s="44" t="s">
        <v>13</v>
      </c>
      <c r="E108" s="45">
        <f>19705869+19031+2987</f>
        <v>19727887</v>
      </c>
      <c r="F108" s="45"/>
      <c r="G108" s="45">
        <v>36403624</v>
      </c>
      <c r="H108" s="45"/>
      <c r="I108" s="45">
        <v>9624269</v>
      </c>
      <c r="J108" s="45"/>
      <c r="K108" s="45">
        <v>18247767</v>
      </c>
      <c r="L108" s="45"/>
      <c r="M108" s="45">
        <f>396599+979144+8646498</f>
        <v>10022241</v>
      </c>
      <c r="N108" s="45"/>
      <c r="O108" s="45">
        <v>693714</v>
      </c>
      <c r="P108" s="45"/>
      <c r="Q108" s="45">
        <v>7439902</v>
      </c>
      <c r="R108" s="45"/>
      <c r="S108" s="45">
        <f t="shared" si="6"/>
        <v>18155857</v>
      </c>
      <c r="T108" s="45"/>
      <c r="U108" s="44">
        <f t="shared" si="8"/>
        <v>0</v>
      </c>
    </row>
    <row r="109" spans="1:21" s="44" customFormat="1" ht="12.75" customHeight="1" x14ac:dyDescent="0.2">
      <c r="A109" s="44" t="s">
        <v>38</v>
      </c>
      <c r="C109" s="44" t="s">
        <v>132</v>
      </c>
      <c r="E109" s="45">
        <f>3309107+106227</f>
        <v>3415334</v>
      </c>
      <c r="F109" s="45"/>
      <c r="G109" s="45">
        <v>5856413</v>
      </c>
      <c r="H109" s="45"/>
      <c r="I109" s="45">
        <v>1499892</v>
      </c>
      <c r="J109" s="45"/>
      <c r="K109" s="45">
        <v>2465767</v>
      </c>
      <c r="L109" s="45"/>
      <c r="M109" s="45">
        <f>177599+2288478+186194</f>
        <v>2652271</v>
      </c>
      <c r="N109" s="45"/>
      <c r="O109" s="45">
        <v>7679</v>
      </c>
      <c r="P109" s="45"/>
      <c r="Q109" s="45">
        <v>730696</v>
      </c>
      <c r="R109" s="45"/>
      <c r="S109" s="45">
        <f t="shared" si="6"/>
        <v>3390646</v>
      </c>
      <c r="T109" s="45"/>
      <c r="U109" s="44">
        <f t="shared" si="8"/>
        <v>0</v>
      </c>
    </row>
    <row r="110" spans="1:21" s="44" customFormat="1" ht="12.75" customHeight="1" x14ac:dyDescent="0.2">
      <c r="A110" s="44" t="s">
        <v>133</v>
      </c>
      <c r="C110" s="44" t="s">
        <v>27</v>
      </c>
      <c r="E110" s="45">
        <f>13975849+21715</f>
        <v>13997564</v>
      </c>
      <c r="F110" s="45"/>
      <c r="G110" s="45">
        <v>35122028</v>
      </c>
      <c r="H110" s="45"/>
      <c r="I110" s="45">
        <v>5288284</v>
      </c>
      <c r="J110" s="45"/>
      <c r="K110" s="45">
        <v>18846470</v>
      </c>
      <c r="L110" s="45"/>
      <c r="M110" s="45">
        <f>11558982+4415800+203276</f>
        <v>16178058</v>
      </c>
      <c r="N110" s="45"/>
      <c r="O110" s="45">
        <v>1409336</v>
      </c>
      <c r="P110" s="45"/>
      <c r="Q110" s="45">
        <v>-1311836</v>
      </c>
      <c r="R110" s="45"/>
      <c r="S110" s="45">
        <f t="shared" si="6"/>
        <v>16275558</v>
      </c>
      <c r="T110" s="45"/>
      <c r="U110" s="44">
        <f>+G110-K110-S110</f>
        <v>0</v>
      </c>
    </row>
    <row r="111" spans="1:21" s="44" customFormat="1" ht="12.75" customHeight="1" x14ac:dyDescent="0.2">
      <c r="A111" s="44" t="s">
        <v>482</v>
      </c>
      <c r="C111" s="44" t="s">
        <v>45</v>
      </c>
      <c r="E111" s="45">
        <v>16759619</v>
      </c>
      <c r="F111" s="45"/>
      <c r="G111" s="45">
        <v>24088891</v>
      </c>
      <c r="H111" s="45"/>
      <c r="I111" s="45">
        <v>6390295</v>
      </c>
      <c r="J111" s="45"/>
      <c r="K111" s="45">
        <v>7388878</v>
      </c>
      <c r="L111" s="45"/>
      <c r="M111" s="45">
        <f>1371806+160117+4724902</f>
        <v>6256825</v>
      </c>
      <c r="N111" s="45"/>
      <c r="O111" s="45">
        <v>0</v>
      </c>
      <c r="P111" s="45"/>
      <c r="Q111" s="45">
        <v>10443188</v>
      </c>
      <c r="R111" s="45"/>
      <c r="S111" s="45">
        <f t="shared" si="6"/>
        <v>16700013</v>
      </c>
      <c r="T111" s="45"/>
      <c r="U111" s="44">
        <f t="shared" si="8"/>
        <v>0</v>
      </c>
    </row>
    <row r="112" spans="1:21" s="44" customFormat="1" ht="12.75" customHeight="1" x14ac:dyDescent="0.2">
      <c r="A112" s="35" t="s">
        <v>134</v>
      </c>
      <c r="B112" s="55"/>
      <c r="C112" s="35" t="s">
        <v>135</v>
      </c>
      <c r="E112" s="45">
        <v>1756214</v>
      </c>
      <c r="F112" s="45"/>
      <c r="G112" s="45">
        <v>5601353</v>
      </c>
      <c r="H112" s="45"/>
      <c r="I112" s="45">
        <v>3069422</v>
      </c>
      <c r="J112" s="45"/>
      <c r="K112" s="45">
        <v>3365526</v>
      </c>
      <c r="L112" s="45"/>
      <c r="M112" s="45">
        <f>21436+1770922+337595</f>
        <v>2129953</v>
      </c>
      <c r="N112" s="45"/>
      <c r="O112" s="45">
        <v>25253</v>
      </c>
      <c r="P112" s="45"/>
      <c r="Q112" s="45">
        <v>80621</v>
      </c>
      <c r="R112" s="45"/>
      <c r="S112" s="45">
        <f t="shared" si="6"/>
        <v>2235827</v>
      </c>
      <c r="T112" s="45"/>
      <c r="U112" s="44">
        <f t="shared" si="8"/>
        <v>0</v>
      </c>
    </row>
    <row r="113" spans="1:21" s="44" customFormat="1" ht="12.75" customHeight="1" x14ac:dyDescent="0.2">
      <c r="A113" s="44" t="s">
        <v>136</v>
      </c>
      <c r="C113" s="44" t="s">
        <v>136</v>
      </c>
      <c r="E113" s="45">
        <v>5348605</v>
      </c>
      <c r="F113" s="45"/>
      <c r="G113" s="45">
        <v>7328364</v>
      </c>
      <c r="H113" s="45"/>
      <c r="I113" s="45">
        <v>845688</v>
      </c>
      <c r="J113" s="45"/>
      <c r="K113" s="45">
        <v>1690338</v>
      </c>
      <c r="L113" s="45"/>
      <c r="M113" s="45">
        <f>200756+2157061+839145</f>
        <v>3196962</v>
      </c>
      <c r="N113" s="45"/>
      <c r="O113" s="45">
        <v>595657</v>
      </c>
      <c r="P113" s="45"/>
      <c r="Q113" s="45">
        <v>1845407</v>
      </c>
      <c r="R113" s="45"/>
      <c r="S113" s="45">
        <f t="shared" si="6"/>
        <v>5638026</v>
      </c>
      <c r="T113" s="45"/>
      <c r="U113" s="44">
        <f t="shared" si="8"/>
        <v>0</v>
      </c>
    </row>
    <row r="114" spans="1:21" s="44" customFormat="1" ht="12.75" customHeight="1" x14ac:dyDescent="0.2">
      <c r="A114" s="44" t="s">
        <v>137</v>
      </c>
      <c r="C114" s="44" t="s">
        <v>22</v>
      </c>
      <c r="E114" s="45">
        <f>17696766+136214</f>
        <v>17832980</v>
      </c>
      <c r="F114" s="45"/>
      <c r="G114" s="45">
        <v>35723636</v>
      </c>
      <c r="H114" s="45"/>
      <c r="I114" s="45">
        <v>4213470</v>
      </c>
      <c r="J114" s="45"/>
      <c r="K114" s="45">
        <v>18557742</v>
      </c>
      <c r="L114" s="45"/>
      <c r="M114" s="45">
        <f>1429118+5129268+6000683</f>
        <v>12559069</v>
      </c>
      <c r="N114" s="45"/>
      <c r="O114" s="45">
        <v>2863740</v>
      </c>
      <c r="P114" s="45"/>
      <c r="Q114" s="45">
        <v>1743085</v>
      </c>
      <c r="R114" s="45"/>
      <c r="S114" s="45">
        <f t="shared" si="6"/>
        <v>17165894</v>
      </c>
      <c r="T114" s="45"/>
      <c r="U114" s="44">
        <f t="shared" si="8"/>
        <v>0</v>
      </c>
    </row>
    <row r="115" spans="1:21" s="121" customFormat="1" ht="12.75" hidden="1" customHeight="1" x14ac:dyDescent="0.2">
      <c r="A115" s="121" t="s">
        <v>138</v>
      </c>
      <c r="C115" s="121" t="s">
        <v>139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>
        <f t="shared" si="6"/>
        <v>0</v>
      </c>
      <c r="T115" s="127"/>
      <c r="U115" s="121">
        <f t="shared" si="8"/>
        <v>0</v>
      </c>
    </row>
    <row r="116" spans="1:21" s="44" customFormat="1" ht="12.75" customHeight="1" x14ac:dyDescent="0.2"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8" t="s">
        <v>484</v>
      </c>
      <c r="T116" s="45"/>
    </row>
    <row r="117" spans="1:21" s="44" customFormat="1" ht="12.75" customHeight="1" x14ac:dyDescent="0.2">
      <c r="A117" s="44" t="s">
        <v>140</v>
      </c>
      <c r="C117" s="44" t="s">
        <v>66</v>
      </c>
      <c r="E117" s="94">
        <v>61632592</v>
      </c>
      <c r="F117" s="94"/>
      <c r="G117" s="94">
        <v>81362971</v>
      </c>
      <c r="H117" s="94"/>
      <c r="I117" s="94">
        <v>14582794</v>
      </c>
      <c r="J117" s="94"/>
      <c r="K117" s="94">
        <v>18340891</v>
      </c>
      <c r="L117" s="94"/>
      <c r="M117" s="94">
        <f>63022080-40617498</f>
        <v>22404582</v>
      </c>
      <c r="N117" s="94"/>
      <c r="O117" s="94">
        <v>0</v>
      </c>
      <c r="P117" s="94"/>
      <c r="Q117" s="94">
        <v>40617498</v>
      </c>
      <c r="R117" s="94"/>
      <c r="S117" s="94">
        <f t="shared" si="6"/>
        <v>63022080</v>
      </c>
      <c r="T117" s="45"/>
      <c r="U117" s="44">
        <f t="shared" si="8"/>
        <v>0</v>
      </c>
    </row>
    <row r="118" spans="1:21" s="44" customFormat="1" ht="12.75" customHeight="1" x14ac:dyDescent="0.2">
      <c r="A118" s="44" t="s">
        <v>478</v>
      </c>
      <c r="C118" s="44" t="s">
        <v>92</v>
      </c>
      <c r="E118" s="45">
        <v>1632767</v>
      </c>
      <c r="F118" s="45"/>
      <c r="G118" s="45">
        <v>4856945</v>
      </c>
      <c r="H118" s="45"/>
      <c r="I118" s="45">
        <v>2553051</v>
      </c>
      <c r="J118" s="45"/>
      <c r="K118" s="45">
        <v>3207798</v>
      </c>
      <c r="L118" s="45"/>
      <c r="M118" s="45">
        <f>198000+916051+89366</f>
        <v>1203417</v>
      </c>
      <c r="N118" s="45"/>
      <c r="O118" s="45">
        <v>2790</v>
      </c>
      <c r="P118" s="45"/>
      <c r="Q118" s="45">
        <v>442940</v>
      </c>
      <c r="R118" s="45"/>
      <c r="S118" s="45">
        <f t="shared" si="6"/>
        <v>1649147</v>
      </c>
      <c r="T118" s="45"/>
      <c r="U118" s="44">
        <f t="shared" si="8"/>
        <v>0</v>
      </c>
    </row>
    <row r="119" spans="1:21" s="44" customFormat="1" ht="12.75" customHeight="1" x14ac:dyDescent="0.2">
      <c r="A119" s="44" t="s">
        <v>141</v>
      </c>
      <c r="C119" s="44" t="s">
        <v>27</v>
      </c>
      <c r="E119" s="45">
        <f>10506358+528468+778594</f>
        <v>11813420</v>
      </c>
      <c r="F119" s="45"/>
      <c r="G119" s="45">
        <v>43273545</v>
      </c>
      <c r="H119" s="45"/>
      <c r="I119" s="45">
        <v>24116036</v>
      </c>
      <c r="J119" s="45"/>
      <c r="K119" s="45">
        <v>27512666</v>
      </c>
      <c r="L119" s="45"/>
      <c r="M119" s="45">
        <f>802207+5865238+853414</f>
        <v>7520859</v>
      </c>
      <c r="N119" s="45"/>
      <c r="O119" s="45">
        <v>1103061</v>
      </c>
      <c r="P119" s="45"/>
      <c r="Q119" s="45">
        <v>7136959</v>
      </c>
      <c r="R119" s="45"/>
      <c r="S119" s="45">
        <f t="shared" si="6"/>
        <v>15760879</v>
      </c>
      <c r="T119" s="45"/>
      <c r="U119" s="44">
        <f t="shared" si="8"/>
        <v>0</v>
      </c>
    </row>
    <row r="120" spans="1:21" s="44" customFormat="1" ht="12.75" customHeight="1" x14ac:dyDescent="0.2">
      <c r="A120" s="44" t="s">
        <v>142</v>
      </c>
      <c r="C120" s="44" t="s">
        <v>102</v>
      </c>
      <c r="E120" s="45">
        <f>6314864+4590689</f>
        <v>10905553</v>
      </c>
      <c r="F120" s="45"/>
      <c r="G120" s="45">
        <v>24448494</v>
      </c>
      <c r="H120" s="45"/>
      <c r="I120" s="45">
        <v>6312552</v>
      </c>
      <c r="J120" s="45"/>
      <c r="K120" s="45">
        <v>12797415</v>
      </c>
      <c r="L120" s="45"/>
      <c r="M120" s="45">
        <f>3130263+5972886+1000075</f>
        <v>10103224</v>
      </c>
      <c r="N120" s="45"/>
      <c r="O120" s="45">
        <v>430940</v>
      </c>
      <c r="P120" s="45"/>
      <c r="Q120" s="45">
        <v>1116915</v>
      </c>
      <c r="R120" s="45"/>
      <c r="S120" s="45">
        <f t="shared" si="6"/>
        <v>11651079</v>
      </c>
      <c r="T120" s="45"/>
      <c r="U120" s="44">
        <f t="shared" si="8"/>
        <v>0</v>
      </c>
    </row>
    <row r="121" spans="1:21" s="44" customFormat="1" ht="12.75" customHeight="1" x14ac:dyDescent="0.2">
      <c r="A121" s="44" t="s">
        <v>143</v>
      </c>
      <c r="C121" s="44" t="s">
        <v>111</v>
      </c>
      <c r="E121" s="45">
        <v>18464275</v>
      </c>
      <c r="F121" s="45"/>
      <c r="G121" s="45">
        <v>27792594</v>
      </c>
      <c r="H121" s="45"/>
      <c r="I121" s="45">
        <v>7662942</v>
      </c>
      <c r="J121" s="45"/>
      <c r="K121" s="45">
        <v>9543516</v>
      </c>
      <c r="L121" s="45"/>
      <c r="M121" s="45">
        <f>1111874+9490132+3196405</f>
        <v>13798411</v>
      </c>
      <c r="N121" s="45"/>
      <c r="O121" s="45">
        <v>183215</v>
      </c>
      <c r="P121" s="45"/>
      <c r="Q121" s="45">
        <v>4267452</v>
      </c>
      <c r="R121" s="45"/>
      <c r="S121" s="45">
        <f t="shared" si="6"/>
        <v>18249078</v>
      </c>
      <c r="T121" s="45"/>
      <c r="U121" s="44">
        <f>+G121-K121-S121</f>
        <v>0</v>
      </c>
    </row>
    <row r="122" spans="1:21" s="44" customFormat="1" ht="12.75" customHeight="1" x14ac:dyDescent="0.2">
      <c r="A122" s="44" t="s">
        <v>144</v>
      </c>
      <c r="C122" s="44" t="s">
        <v>88</v>
      </c>
      <c r="E122" s="45">
        <v>11120274</v>
      </c>
      <c r="F122" s="45"/>
      <c r="G122" s="45">
        <v>33538722</v>
      </c>
      <c r="H122" s="45"/>
      <c r="I122" s="45">
        <v>18174925</v>
      </c>
      <c r="J122" s="45"/>
      <c r="K122" s="45">
        <v>20384679</v>
      </c>
      <c r="L122" s="45"/>
      <c r="M122" s="45">
        <f>65534+5876073+515635</f>
        <v>6457242</v>
      </c>
      <c r="N122" s="45"/>
      <c r="O122" s="45">
        <v>1093744</v>
      </c>
      <c r="P122" s="45"/>
      <c r="Q122" s="45">
        <v>5603057</v>
      </c>
      <c r="R122" s="45"/>
      <c r="S122" s="45">
        <f t="shared" si="6"/>
        <v>13154043</v>
      </c>
      <c r="T122" s="45"/>
      <c r="U122" s="44">
        <f t="shared" si="8"/>
        <v>0</v>
      </c>
    </row>
    <row r="123" spans="1:21" s="44" customFormat="1" ht="12.75" customHeight="1" x14ac:dyDescent="0.2">
      <c r="A123" s="44" t="s">
        <v>36</v>
      </c>
      <c r="C123" s="44" t="s">
        <v>145</v>
      </c>
      <c r="E123" s="45">
        <f>1706728+65034</f>
        <v>1771762</v>
      </c>
      <c r="F123" s="45"/>
      <c r="G123" s="45">
        <v>3734696</v>
      </c>
      <c r="H123" s="45"/>
      <c r="I123" s="45">
        <v>1106171</v>
      </c>
      <c r="J123" s="45"/>
      <c r="K123" s="45">
        <v>1376337</v>
      </c>
      <c r="L123" s="45"/>
      <c r="M123" s="45">
        <f>386114+585554</f>
        <v>971668</v>
      </c>
      <c r="N123" s="45"/>
      <c r="O123" s="45">
        <v>65833</v>
      </c>
      <c r="P123" s="45"/>
      <c r="Q123" s="45">
        <v>1320858</v>
      </c>
      <c r="R123" s="45"/>
      <c r="S123" s="45">
        <f t="shared" si="6"/>
        <v>2358359</v>
      </c>
      <c r="T123" s="45"/>
      <c r="U123" s="44">
        <f>+G123-K123-S123</f>
        <v>0</v>
      </c>
    </row>
    <row r="124" spans="1:21" s="44" customFormat="1" ht="12.75" customHeight="1" x14ac:dyDescent="0.2">
      <c r="A124" s="44" t="s">
        <v>146</v>
      </c>
      <c r="C124" s="44" t="s">
        <v>147</v>
      </c>
      <c r="E124" s="45">
        <f>3465973+51361</f>
        <v>3517334</v>
      </c>
      <c r="F124" s="45"/>
      <c r="G124" s="45">
        <v>6702403</v>
      </c>
      <c r="H124" s="45"/>
      <c r="I124" s="45">
        <v>2382257</v>
      </c>
      <c r="J124" s="45"/>
      <c r="K124" s="45">
        <v>2906197</v>
      </c>
      <c r="L124" s="45"/>
      <c r="M124" s="45">
        <v>1669081</v>
      </c>
      <c r="N124" s="45"/>
      <c r="O124" s="45">
        <f>27774+872549+58+335138+27493</f>
        <v>1263012</v>
      </c>
      <c r="P124" s="45"/>
      <c r="Q124" s="45">
        <v>864113</v>
      </c>
      <c r="R124" s="45"/>
      <c r="S124" s="45">
        <f t="shared" si="6"/>
        <v>3796206</v>
      </c>
      <c r="T124" s="45"/>
      <c r="U124" s="44">
        <f t="shared" si="8"/>
        <v>0</v>
      </c>
    </row>
    <row r="125" spans="1:21" s="44" customFormat="1" ht="12.75" customHeight="1" x14ac:dyDescent="0.2">
      <c r="A125" s="44" t="s">
        <v>17</v>
      </c>
      <c r="C125" s="44" t="s">
        <v>17</v>
      </c>
      <c r="E125" s="45">
        <f>9952494+100188+270394</f>
        <v>10323076</v>
      </c>
      <c r="F125" s="45"/>
      <c r="G125" s="45">
        <v>48649943</v>
      </c>
      <c r="H125" s="45"/>
      <c r="I125" s="45">
        <v>17044662</v>
      </c>
      <c r="J125" s="45"/>
      <c r="K125" s="45">
        <v>21242915</v>
      </c>
      <c r="L125" s="45"/>
      <c r="M125" s="45">
        <f>15082479+8296959+815854</f>
        <v>24195292</v>
      </c>
      <c r="N125" s="45"/>
      <c r="O125" s="45">
        <v>198749</v>
      </c>
      <c r="P125" s="45"/>
      <c r="Q125" s="45">
        <v>3012987</v>
      </c>
      <c r="R125" s="45"/>
      <c r="S125" s="45">
        <f t="shared" si="6"/>
        <v>27407028</v>
      </c>
      <c r="T125" s="45"/>
      <c r="U125" s="44">
        <f t="shared" si="8"/>
        <v>0</v>
      </c>
    </row>
    <row r="126" spans="1:21" s="44" customFormat="1" ht="12.75" customHeight="1" x14ac:dyDescent="0.2">
      <c r="A126" s="44" t="s">
        <v>148</v>
      </c>
      <c r="C126" s="44" t="s">
        <v>15</v>
      </c>
      <c r="E126" s="45">
        <v>2011211</v>
      </c>
      <c r="F126" s="45"/>
      <c r="G126" s="45">
        <v>3881043</v>
      </c>
      <c r="H126" s="45"/>
      <c r="I126" s="45">
        <v>992720</v>
      </c>
      <c r="J126" s="45"/>
      <c r="K126" s="45">
        <v>1292930</v>
      </c>
      <c r="L126" s="45"/>
      <c r="M126" s="45">
        <f>15982+792526</f>
        <v>808508</v>
      </c>
      <c r="N126" s="45"/>
      <c r="O126" s="45">
        <v>28886</v>
      </c>
      <c r="P126" s="45"/>
      <c r="Q126" s="45">
        <v>1750719</v>
      </c>
      <c r="R126" s="45"/>
      <c r="S126" s="45">
        <f t="shared" si="6"/>
        <v>2588113</v>
      </c>
      <c r="T126" s="45"/>
      <c r="U126" s="44">
        <f t="shared" si="8"/>
        <v>0</v>
      </c>
    </row>
    <row r="127" spans="1:21" s="44" customFormat="1" ht="12.75" customHeight="1" x14ac:dyDescent="0.2">
      <c r="A127" s="44" t="s">
        <v>149</v>
      </c>
      <c r="C127" s="44" t="s">
        <v>45</v>
      </c>
      <c r="E127" s="45">
        <f>2326912+3467+18677</f>
        <v>2349056</v>
      </c>
      <c r="F127" s="45"/>
      <c r="G127" s="45">
        <v>9742597</v>
      </c>
      <c r="H127" s="45"/>
      <c r="I127" s="45">
        <v>3026408</v>
      </c>
      <c r="J127" s="45"/>
      <c r="K127" s="45">
        <v>4261011</v>
      </c>
      <c r="L127" s="45"/>
      <c r="M127" s="45">
        <f>2600937+937726</f>
        <v>3538663</v>
      </c>
      <c r="N127" s="45"/>
      <c r="O127" s="45">
        <v>16986</v>
      </c>
      <c r="P127" s="45"/>
      <c r="Q127" s="45">
        <v>1925937</v>
      </c>
      <c r="R127" s="45"/>
      <c r="S127" s="45">
        <f t="shared" si="6"/>
        <v>5481586</v>
      </c>
      <c r="T127" s="45"/>
      <c r="U127" s="44">
        <f t="shared" si="8"/>
        <v>0</v>
      </c>
    </row>
    <row r="128" spans="1:21" s="44" customFormat="1" ht="12.75" customHeight="1" x14ac:dyDescent="0.2">
      <c r="A128" s="44" t="s">
        <v>150</v>
      </c>
      <c r="C128" s="44" t="s">
        <v>27</v>
      </c>
      <c r="E128" s="45">
        <f>13690234+2128888</f>
        <v>15819122</v>
      </c>
      <c r="F128" s="45"/>
      <c r="G128" s="45">
        <v>28090941</v>
      </c>
      <c r="H128" s="45"/>
      <c r="I128" s="45">
        <v>10120852</v>
      </c>
      <c r="J128" s="45"/>
      <c r="K128" s="45">
        <v>11360958</v>
      </c>
      <c r="L128" s="45"/>
      <c r="M128" s="45">
        <f>244087+5742285+5976114</f>
        <v>11962486</v>
      </c>
      <c r="N128" s="45"/>
      <c r="O128" s="45">
        <v>236152</v>
      </c>
      <c r="P128" s="45"/>
      <c r="Q128" s="45">
        <v>4531345</v>
      </c>
      <c r="R128" s="45"/>
      <c r="S128" s="45">
        <f t="shared" si="6"/>
        <v>16729983</v>
      </c>
      <c r="T128" s="45"/>
      <c r="U128" s="44">
        <f t="shared" si="8"/>
        <v>0</v>
      </c>
    </row>
    <row r="129" spans="1:22" s="44" customFormat="1" ht="12.75" customHeight="1" x14ac:dyDescent="0.2">
      <c r="A129" s="44" t="s">
        <v>151</v>
      </c>
      <c r="C129" s="44" t="s">
        <v>13</v>
      </c>
      <c r="E129" s="45">
        <v>5926386</v>
      </c>
      <c r="F129" s="45"/>
      <c r="G129" s="45">
        <v>12516056</v>
      </c>
      <c r="H129" s="45"/>
      <c r="I129" s="45">
        <v>3168527</v>
      </c>
      <c r="J129" s="45"/>
      <c r="K129" s="45">
        <v>5725050</v>
      </c>
      <c r="L129" s="45"/>
      <c r="M129" s="45">
        <f>102633+823425+1937202</f>
        <v>2863260</v>
      </c>
      <c r="N129" s="45"/>
      <c r="O129" s="45">
        <v>1972867</v>
      </c>
      <c r="P129" s="45"/>
      <c r="Q129" s="45">
        <v>1954879</v>
      </c>
      <c r="R129" s="45"/>
      <c r="S129" s="45">
        <f t="shared" si="6"/>
        <v>6791006</v>
      </c>
      <c r="T129" s="45"/>
      <c r="U129" s="44">
        <f>+G129-K129-S129</f>
        <v>0</v>
      </c>
    </row>
    <row r="130" spans="1:22" s="121" customFormat="1" ht="12.75" hidden="1" customHeight="1" x14ac:dyDescent="0.2">
      <c r="A130" s="121" t="s">
        <v>481</v>
      </c>
      <c r="C130" s="121" t="s">
        <v>45</v>
      </c>
      <c r="E130" s="127">
        <v>2274013</v>
      </c>
      <c r="F130" s="127"/>
      <c r="G130" s="127">
        <v>5695687</v>
      </c>
      <c r="H130" s="127"/>
      <c r="I130" s="127">
        <v>2802219</v>
      </c>
      <c r="J130" s="127"/>
      <c r="K130" s="127">
        <v>3056107</v>
      </c>
      <c r="L130" s="127"/>
      <c r="M130" s="127">
        <f>26968-728743+221222</f>
        <v>-480553</v>
      </c>
      <c r="N130" s="127"/>
      <c r="O130" s="127">
        <v>0</v>
      </c>
      <c r="P130" s="127"/>
      <c r="Q130" s="127">
        <v>2023357</v>
      </c>
      <c r="R130" s="127"/>
      <c r="S130" s="127">
        <f t="shared" si="6"/>
        <v>1542804</v>
      </c>
      <c r="T130" s="130"/>
      <c r="U130" s="121">
        <v>0</v>
      </c>
      <c r="V130" s="121" t="s">
        <v>502</v>
      </c>
    </row>
    <row r="131" spans="1:22" s="44" customFormat="1" ht="12.75" customHeight="1" x14ac:dyDescent="0.2">
      <c r="A131" s="44" t="s">
        <v>152</v>
      </c>
      <c r="C131" s="44" t="s">
        <v>153</v>
      </c>
      <c r="E131" s="45">
        <f>8457566+18326</f>
        <v>8475892</v>
      </c>
      <c r="F131" s="45"/>
      <c r="G131" s="45">
        <v>30905866</v>
      </c>
      <c r="H131" s="45"/>
      <c r="I131" s="45">
        <v>14122298</v>
      </c>
      <c r="J131" s="45"/>
      <c r="K131" s="45">
        <v>18216844</v>
      </c>
      <c r="L131" s="45"/>
      <c r="M131" s="45">
        <f>301646+7167678+1952543</f>
        <v>9421867</v>
      </c>
      <c r="N131" s="45"/>
      <c r="O131" s="45">
        <v>41657</v>
      </c>
      <c r="P131" s="45"/>
      <c r="Q131" s="45">
        <v>3225498</v>
      </c>
      <c r="R131" s="45"/>
      <c r="S131" s="45">
        <f t="shared" si="6"/>
        <v>12689022</v>
      </c>
      <c r="T131" s="48"/>
      <c r="U131" s="44">
        <v>0</v>
      </c>
    </row>
    <row r="132" spans="1:22" s="44" customFormat="1" ht="12.75" customHeight="1" x14ac:dyDescent="0.2">
      <c r="A132" s="44" t="s">
        <v>154</v>
      </c>
      <c r="C132" s="44" t="s">
        <v>27</v>
      </c>
      <c r="E132" s="45">
        <v>436351</v>
      </c>
      <c r="F132" s="45"/>
      <c r="G132" s="45">
        <v>14324044</v>
      </c>
      <c r="H132" s="45"/>
      <c r="I132" s="45">
        <v>11168424</v>
      </c>
      <c r="J132" s="45"/>
      <c r="K132" s="45">
        <v>14192023</v>
      </c>
      <c r="L132" s="45"/>
      <c r="M132" s="45">
        <f>222555+923718+829875</f>
        <v>1976148</v>
      </c>
      <c r="N132" s="45"/>
      <c r="O132" s="45">
        <v>3716</v>
      </c>
      <c r="P132" s="45"/>
      <c r="Q132" s="45">
        <v>-1847843</v>
      </c>
      <c r="R132" s="45"/>
      <c r="S132" s="45">
        <f t="shared" si="6"/>
        <v>132021</v>
      </c>
      <c r="T132" s="45"/>
      <c r="U132" s="44">
        <f t="shared" si="8"/>
        <v>0</v>
      </c>
    </row>
    <row r="133" spans="1:22" s="44" customFormat="1" ht="12.75" customHeight="1" x14ac:dyDescent="0.2">
      <c r="A133" s="44" t="s">
        <v>155</v>
      </c>
      <c r="C133" s="44" t="s">
        <v>40</v>
      </c>
      <c r="E133" s="45">
        <f>8044187+53948+16525+315434</f>
        <v>8430094</v>
      </c>
      <c r="F133" s="45"/>
      <c r="G133" s="45">
        <v>12990733</v>
      </c>
      <c r="H133" s="45"/>
      <c r="I133" s="45">
        <v>2242184</v>
      </c>
      <c r="J133" s="45"/>
      <c r="K133" s="45">
        <v>5293731</v>
      </c>
      <c r="L133" s="45"/>
      <c r="M133" s="45">
        <f>653285+4695476+65529</f>
        <v>5414290</v>
      </c>
      <c r="N133" s="45"/>
      <c r="O133" s="45">
        <v>217097</v>
      </c>
      <c r="P133" s="45"/>
      <c r="Q133" s="45">
        <v>2065615</v>
      </c>
      <c r="R133" s="45"/>
      <c r="S133" s="45">
        <f t="shared" si="6"/>
        <v>7697002</v>
      </c>
      <c r="T133" s="45"/>
      <c r="U133" s="44">
        <f t="shared" si="8"/>
        <v>0</v>
      </c>
    </row>
    <row r="134" spans="1:22" s="44" customFormat="1" ht="12.75" customHeight="1" x14ac:dyDescent="0.2">
      <c r="A134" s="44" t="s">
        <v>156</v>
      </c>
      <c r="C134" s="44" t="s">
        <v>156</v>
      </c>
      <c r="E134" s="45">
        <v>5144953</v>
      </c>
      <c r="F134" s="45"/>
      <c r="G134" s="45">
        <v>16090969</v>
      </c>
      <c r="H134" s="45"/>
      <c r="I134" s="45">
        <v>5965365</v>
      </c>
      <c r="J134" s="45"/>
      <c r="K134" s="45">
        <v>11151309</v>
      </c>
      <c r="L134" s="45"/>
      <c r="M134" s="45">
        <f>1860384+5637420</f>
        <v>7497804</v>
      </c>
      <c r="N134" s="45"/>
      <c r="O134" s="45">
        <v>318977</v>
      </c>
      <c r="P134" s="45"/>
      <c r="Q134" s="45">
        <v>-2877121</v>
      </c>
      <c r="R134" s="45"/>
      <c r="S134" s="45">
        <f t="shared" ref="S134:S198" si="9">+Q134+O134+M134</f>
        <v>4939660</v>
      </c>
      <c r="T134" s="45"/>
      <c r="U134" s="44">
        <f t="shared" si="8"/>
        <v>0</v>
      </c>
    </row>
    <row r="135" spans="1:22" s="44" customFormat="1" ht="12.75" customHeight="1" x14ac:dyDescent="0.2">
      <c r="A135" s="44" t="s">
        <v>157</v>
      </c>
      <c r="C135" s="44" t="s">
        <v>33</v>
      </c>
      <c r="E135" s="45">
        <f>853085+436579+695182</f>
        <v>1984846</v>
      </c>
      <c r="F135" s="45"/>
      <c r="G135" s="45">
        <v>4263191</v>
      </c>
      <c r="H135" s="45"/>
      <c r="I135" s="45">
        <v>1627599</v>
      </c>
      <c r="J135" s="45"/>
      <c r="K135" s="45">
        <v>1955706</v>
      </c>
      <c r="L135" s="45"/>
      <c r="M135" s="45">
        <f>288063+621823+1074333</f>
        <v>1984219</v>
      </c>
      <c r="N135" s="45"/>
      <c r="O135" s="45">
        <v>13558</v>
      </c>
      <c r="P135" s="45"/>
      <c r="Q135" s="45">
        <v>309708</v>
      </c>
      <c r="R135" s="45"/>
      <c r="S135" s="45">
        <f t="shared" si="9"/>
        <v>2307485</v>
      </c>
      <c r="T135" s="45"/>
      <c r="U135" s="44">
        <f t="shared" si="8"/>
        <v>0</v>
      </c>
    </row>
    <row r="136" spans="1:22" s="44" customFormat="1" ht="12.75" customHeight="1" x14ac:dyDescent="0.2">
      <c r="A136" s="44" t="s">
        <v>158</v>
      </c>
      <c r="C136" s="44" t="s">
        <v>159</v>
      </c>
      <c r="E136" s="45">
        <f>27521897+30181</f>
        <v>27552078</v>
      </c>
      <c r="F136" s="45"/>
      <c r="G136" s="45">
        <v>33603796</v>
      </c>
      <c r="H136" s="45"/>
      <c r="I136" s="45">
        <v>4034500</v>
      </c>
      <c r="J136" s="45"/>
      <c r="K136" s="45">
        <v>19010663</v>
      </c>
      <c r="L136" s="45"/>
      <c r="M136" s="45">
        <f>108291+16491462+211986</f>
        <v>16811739</v>
      </c>
      <c r="N136" s="45"/>
      <c r="O136" s="45">
        <v>217818</v>
      </c>
      <c r="P136" s="45"/>
      <c r="Q136" s="45">
        <v>-2436424</v>
      </c>
      <c r="R136" s="45"/>
      <c r="S136" s="45">
        <f t="shared" si="9"/>
        <v>14593133</v>
      </c>
      <c r="T136" s="45"/>
      <c r="U136" s="44">
        <f t="shared" si="8"/>
        <v>0</v>
      </c>
    </row>
    <row r="137" spans="1:22" s="46" customFormat="1" ht="12.75" customHeight="1" x14ac:dyDescent="0.2">
      <c r="A137" s="46" t="s">
        <v>160</v>
      </c>
      <c r="C137" s="46" t="s">
        <v>111</v>
      </c>
      <c r="E137" s="45">
        <f>40844826+1607139</f>
        <v>42451965</v>
      </c>
      <c r="F137" s="45"/>
      <c r="G137" s="45">
        <v>64039361</v>
      </c>
      <c r="H137" s="45"/>
      <c r="I137" s="45">
        <v>12066094</v>
      </c>
      <c r="J137" s="45"/>
      <c r="K137" s="45">
        <v>22093624</v>
      </c>
      <c r="L137" s="45"/>
      <c r="M137" s="45">
        <f>311215+17046879</f>
        <v>17358094</v>
      </c>
      <c r="N137" s="45"/>
      <c r="O137" s="45">
        <v>10426125</v>
      </c>
      <c r="P137" s="45"/>
      <c r="Q137" s="45">
        <v>14161518</v>
      </c>
      <c r="R137" s="45"/>
      <c r="S137" s="45">
        <f t="shared" si="9"/>
        <v>41945737</v>
      </c>
      <c r="T137" s="45"/>
      <c r="U137" s="44">
        <f t="shared" si="8"/>
        <v>0</v>
      </c>
    </row>
    <row r="138" spans="1:22" s="44" customFormat="1" ht="12.75" customHeight="1" x14ac:dyDescent="0.2">
      <c r="A138" s="44" t="s">
        <v>161</v>
      </c>
      <c r="C138" s="44" t="s">
        <v>15</v>
      </c>
      <c r="E138" s="45">
        <f>2791887+121670+22251</f>
        <v>2935808</v>
      </c>
      <c r="F138" s="45"/>
      <c r="G138" s="45">
        <v>14521616</v>
      </c>
      <c r="H138" s="45"/>
      <c r="I138" s="45">
        <v>5741523</v>
      </c>
      <c r="J138" s="45"/>
      <c r="K138" s="45">
        <v>9474384</v>
      </c>
      <c r="L138" s="45"/>
      <c r="M138" s="45">
        <f>179634+5367289+905552</f>
        <v>6452475</v>
      </c>
      <c r="N138" s="45"/>
      <c r="O138" s="45">
        <v>102782</v>
      </c>
      <c r="P138" s="45"/>
      <c r="Q138" s="45">
        <v>-1508025</v>
      </c>
      <c r="R138" s="45"/>
      <c r="S138" s="45">
        <f t="shared" si="9"/>
        <v>5047232</v>
      </c>
      <c r="T138" s="45"/>
      <c r="U138" s="44">
        <f t="shared" si="8"/>
        <v>0</v>
      </c>
    </row>
    <row r="139" spans="1:22" s="44" customFormat="1" ht="12.75" customHeight="1" x14ac:dyDescent="0.2">
      <c r="A139" s="44" t="s">
        <v>162</v>
      </c>
      <c r="C139" s="44" t="s">
        <v>163</v>
      </c>
      <c r="E139" s="45">
        <f>9742333+21744074</f>
        <v>31486407</v>
      </c>
      <c r="F139" s="45"/>
      <c r="G139" s="45">
        <v>44011619</v>
      </c>
      <c r="H139" s="45"/>
      <c r="I139" s="45">
        <v>4013438</v>
      </c>
      <c r="J139" s="45"/>
      <c r="K139" s="45">
        <v>9477663</v>
      </c>
      <c r="L139" s="45"/>
      <c r="M139" s="45">
        <f>185007+22146655+260722</f>
        <v>22592384</v>
      </c>
      <c r="N139" s="45"/>
      <c r="O139" s="45">
        <v>42740</v>
      </c>
      <c r="P139" s="45"/>
      <c r="Q139" s="45">
        <v>11898832</v>
      </c>
      <c r="R139" s="45"/>
      <c r="S139" s="45">
        <f t="shared" si="9"/>
        <v>34533956</v>
      </c>
      <c r="T139" s="45"/>
      <c r="U139" s="44">
        <f t="shared" si="8"/>
        <v>0</v>
      </c>
    </row>
    <row r="140" spans="1:22" s="44" customFormat="1" ht="12.75" customHeight="1" x14ac:dyDescent="0.2">
      <c r="A140" s="44" t="s">
        <v>164</v>
      </c>
      <c r="C140" s="44" t="s">
        <v>27</v>
      </c>
      <c r="E140" s="45">
        <f>1586696+14905366</f>
        <v>16492062</v>
      </c>
      <c r="F140" s="45"/>
      <c r="G140" s="45">
        <v>26789796</v>
      </c>
      <c r="H140" s="45"/>
      <c r="I140" s="45">
        <v>7069366</v>
      </c>
      <c r="J140" s="45"/>
      <c r="K140" s="45">
        <v>8717639</v>
      </c>
      <c r="L140" s="45"/>
      <c r="M140" s="45">
        <f>157205+2281393+6291744</f>
        <v>8730342</v>
      </c>
      <c r="N140" s="45"/>
      <c r="O140" s="45">
        <v>969442</v>
      </c>
      <c r="P140" s="45"/>
      <c r="Q140" s="45">
        <v>8372373</v>
      </c>
      <c r="R140" s="45"/>
      <c r="S140" s="45">
        <f t="shared" si="9"/>
        <v>18072157</v>
      </c>
      <c r="T140" s="45"/>
      <c r="U140" s="44">
        <f t="shared" si="8"/>
        <v>0</v>
      </c>
    </row>
    <row r="141" spans="1:22" s="44" customFormat="1" ht="12.75" customHeight="1" x14ac:dyDescent="0.2">
      <c r="A141" s="44" t="s">
        <v>53</v>
      </c>
      <c r="C141" s="44" t="s">
        <v>53</v>
      </c>
      <c r="E141" s="45">
        <f>47040680+11962</f>
        <v>47052642</v>
      </c>
      <c r="F141" s="45"/>
      <c r="G141" s="45">
        <v>59132365</v>
      </c>
      <c r="H141" s="45"/>
      <c r="I141" s="45">
        <v>4965989</v>
      </c>
      <c r="J141" s="45"/>
      <c r="K141" s="45">
        <v>9105409</v>
      </c>
      <c r="L141" s="45"/>
      <c r="M141" s="45">
        <f>441117+16749852+20365812</f>
        <v>37556781</v>
      </c>
      <c r="N141" s="45"/>
      <c r="O141" s="45">
        <v>2623818</v>
      </c>
      <c r="P141" s="45"/>
      <c r="Q141" s="45">
        <v>9846357</v>
      </c>
      <c r="R141" s="45"/>
      <c r="S141" s="45">
        <f t="shared" si="9"/>
        <v>50026956</v>
      </c>
      <c r="T141" s="45"/>
      <c r="U141" s="44">
        <f t="shared" si="8"/>
        <v>0</v>
      </c>
    </row>
    <row r="142" spans="1:22" s="44" customFormat="1" ht="12.75" customHeight="1" x14ac:dyDescent="0.2">
      <c r="A142" s="44" t="s">
        <v>165</v>
      </c>
      <c r="C142" s="44" t="s">
        <v>92</v>
      </c>
      <c r="E142" s="45">
        <v>25850874</v>
      </c>
      <c r="F142" s="45"/>
      <c r="G142" s="45">
        <v>63959681</v>
      </c>
      <c r="H142" s="45"/>
      <c r="I142" s="45">
        <v>25347409</v>
      </c>
      <c r="J142" s="45"/>
      <c r="K142" s="45">
        <v>31974889</v>
      </c>
      <c r="L142" s="45"/>
      <c r="M142" s="45">
        <f>950706+6664595+1395649</f>
        <v>9010950</v>
      </c>
      <c r="N142" s="45"/>
      <c r="O142" s="45">
        <v>5080438</v>
      </c>
      <c r="P142" s="45"/>
      <c r="Q142" s="45">
        <v>17893404</v>
      </c>
      <c r="R142" s="45"/>
      <c r="S142" s="45">
        <f t="shared" si="9"/>
        <v>31984792</v>
      </c>
      <c r="T142" s="45"/>
      <c r="U142" s="44">
        <f t="shared" si="8"/>
        <v>0</v>
      </c>
    </row>
    <row r="143" spans="1:22" s="44" customFormat="1" ht="12.75" customHeight="1" x14ac:dyDescent="0.2">
      <c r="A143" s="44" t="s">
        <v>166</v>
      </c>
      <c r="C143" s="44" t="s">
        <v>92</v>
      </c>
      <c r="E143" s="45">
        <v>1350184</v>
      </c>
      <c r="F143" s="45"/>
      <c r="G143" s="45">
        <v>5159942</v>
      </c>
      <c r="H143" s="45"/>
      <c r="I143" s="45">
        <v>654712</v>
      </c>
      <c r="J143" s="45"/>
      <c r="K143" s="45">
        <v>3475307</v>
      </c>
      <c r="L143" s="45"/>
      <c r="M143" s="45">
        <f>13394+1481888+42530</f>
        <v>1537812</v>
      </c>
      <c r="N143" s="45"/>
      <c r="O143" s="45">
        <v>44391</v>
      </c>
      <c r="P143" s="45"/>
      <c r="Q143" s="45">
        <v>102432</v>
      </c>
      <c r="R143" s="45"/>
      <c r="S143" s="45">
        <f t="shared" si="9"/>
        <v>1684635</v>
      </c>
      <c r="T143" s="45"/>
      <c r="U143" s="44">
        <f t="shared" si="8"/>
        <v>0</v>
      </c>
    </row>
    <row r="144" spans="1:22" s="44" customFormat="1" ht="12.75" customHeight="1" x14ac:dyDescent="0.2">
      <c r="A144" s="44" t="s">
        <v>167</v>
      </c>
      <c r="C144" s="44" t="s">
        <v>66</v>
      </c>
      <c r="E144" s="45">
        <f>9902161+5430081+111906</f>
        <v>15444148</v>
      </c>
      <c r="F144" s="45"/>
      <c r="G144" s="45">
        <v>27571060</v>
      </c>
      <c r="H144" s="45"/>
      <c r="I144" s="45">
        <v>4450074</v>
      </c>
      <c r="J144" s="45"/>
      <c r="K144" s="45">
        <v>13506086</v>
      </c>
      <c r="L144" s="45"/>
      <c r="M144" s="45">
        <f>4361020+7747080+1838164</f>
        <v>13946264</v>
      </c>
      <c r="N144" s="45"/>
      <c r="O144" s="45">
        <v>75163</v>
      </c>
      <c r="P144" s="45"/>
      <c r="Q144" s="45">
        <v>43547</v>
      </c>
      <c r="R144" s="45"/>
      <c r="S144" s="45">
        <f t="shared" si="9"/>
        <v>14064974</v>
      </c>
      <c r="T144" s="45"/>
      <c r="U144" s="44">
        <f t="shared" si="8"/>
        <v>0</v>
      </c>
    </row>
    <row r="145" spans="1:21" s="44" customFormat="1" ht="12.75" customHeight="1" x14ac:dyDescent="0.2">
      <c r="A145" s="44" t="s">
        <v>168</v>
      </c>
      <c r="C145" s="44" t="s">
        <v>27</v>
      </c>
      <c r="E145" s="45">
        <v>5988156</v>
      </c>
      <c r="F145" s="45"/>
      <c r="G145" s="45">
        <v>15140235</v>
      </c>
      <c r="H145" s="45"/>
      <c r="I145" s="45">
        <v>5290754</v>
      </c>
      <c r="J145" s="45"/>
      <c r="K145" s="45">
        <v>6696896</v>
      </c>
      <c r="L145" s="45"/>
      <c r="M145" s="45">
        <f>332081+1930548+1230419</f>
        <v>3493048</v>
      </c>
      <c r="N145" s="45"/>
      <c r="O145" s="45">
        <v>266188</v>
      </c>
      <c r="P145" s="45"/>
      <c r="Q145" s="45">
        <v>4684103</v>
      </c>
      <c r="R145" s="45"/>
      <c r="S145" s="45">
        <f t="shared" si="9"/>
        <v>8443339</v>
      </c>
      <c r="T145" s="45"/>
      <c r="U145" s="44">
        <f t="shared" si="8"/>
        <v>0</v>
      </c>
    </row>
    <row r="146" spans="1:21" s="44" customFormat="1" ht="12.75" customHeight="1" x14ac:dyDescent="0.2">
      <c r="A146" s="44" t="s">
        <v>169</v>
      </c>
      <c r="C146" s="44" t="s">
        <v>103</v>
      </c>
      <c r="E146" s="45">
        <f>22266995+125541</f>
        <v>22392536</v>
      </c>
      <c r="F146" s="45"/>
      <c r="G146" s="45">
        <v>54852131</v>
      </c>
      <c r="H146" s="45"/>
      <c r="I146" s="45">
        <v>24679152</v>
      </c>
      <c r="J146" s="45"/>
      <c r="K146" s="45">
        <v>30675501</v>
      </c>
      <c r="L146" s="45"/>
      <c r="M146" s="45">
        <f>2526648+12555859+3330751</f>
        <v>18413258</v>
      </c>
      <c r="N146" s="45"/>
      <c r="O146" s="45">
        <v>344239</v>
      </c>
      <c r="P146" s="45"/>
      <c r="Q146" s="45">
        <v>5419133</v>
      </c>
      <c r="R146" s="45"/>
      <c r="S146" s="45">
        <f t="shared" si="9"/>
        <v>24176630</v>
      </c>
      <c r="T146" s="45"/>
      <c r="U146" s="44">
        <f t="shared" si="8"/>
        <v>0</v>
      </c>
    </row>
    <row r="147" spans="1:21" s="44" customFormat="1" ht="12.75" customHeight="1" x14ac:dyDescent="0.2">
      <c r="A147" s="44" t="s">
        <v>170</v>
      </c>
      <c r="C147" s="44" t="s">
        <v>171</v>
      </c>
      <c r="E147" s="45">
        <v>6206051</v>
      </c>
      <c r="F147" s="45"/>
      <c r="G147" s="45">
        <v>9836656</v>
      </c>
      <c r="H147" s="45"/>
      <c r="I147" s="45">
        <v>3343833</v>
      </c>
      <c r="J147" s="45"/>
      <c r="K147" s="45">
        <v>4101754</v>
      </c>
      <c r="L147" s="45"/>
      <c r="M147" s="45">
        <f>1868207+697539</f>
        <v>2565746</v>
      </c>
      <c r="N147" s="45"/>
      <c r="O147" s="45">
        <v>70923</v>
      </c>
      <c r="P147" s="45"/>
      <c r="Q147" s="45">
        <v>3098233</v>
      </c>
      <c r="R147" s="45"/>
      <c r="S147" s="45">
        <f t="shared" si="9"/>
        <v>5734902</v>
      </c>
      <c r="T147" s="45"/>
      <c r="U147" s="44">
        <f t="shared" si="8"/>
        <v>0</v>
      </c>
    </row>
    <row r="148" spans="1:21" s="44" customFormat="1" ht="12.75" customHeight="1" x14ac:dyDescent="0.2">
      <c r="A148" s="44" t="s">
        <v>172</v>
      </c>
      <c r="C148" s="44" t="s">
        <v>103</v>
      </c>
      <c r="E148" s="45">
        <v>8358583</v>
      </c>
      <c r="F148" s="45"/>
      <c r="G148" s="45">
        <v>32161057</v>
      </c>
      <c r="H148" s="45"/>
      <c r="I148" s="45">
        <v>22560177</v>
      </c>
      <c r="J148" s="45"/>
      <c r="K148" s="45">
        <v>23582403</v>
      </c>
      <c r="L148" s="45"/>
      <c r="M148" s="45">
        <f>35000+1865562+47823</f>
        <v>1948385</v>
      </c>
      <c r="N148" s="45"/>
      <c r="O148" s="45">
        <v>348919</v>
      </c>
      <c r="P148" s="45"/>
      <c r="Q148" s="45">
        <v>6281350</v>
      </c>
      <c r="R148" s="45"/>
      <c r="S148" s="45">
        <f t="shared" si="9"/>
        <v>8578654</v>
      </c>
      <c r="T148" s="45"/>
      <c r="U148" s="44">
        <f t="shared" si="8"/>
        <v>0</v>
      </c>
    </row>
    <row r="149" spans="1:21" s="44" customFormat="1" ht="12.75" customHeight="1" x14ac:dyDescent="0.2">
      <c r="A149" s="44" t="s">
        <v>66</v>
      </c>
      <c r="C149" s="44" t="s">
        <v>45</v>
      </c>
      <c r="E149" s="45">
        <f>8475927+19479956</f>
        <v>27955883</v>
      </c>
      <c r="F149" s="45"/>
      <c r="G149" s="45">
        <v>40774892</v>
      </c>
      <c r="H149" s="45"/>
      <c r="I149" s="45">
        <v>9789855</v>
      </c>
      <c r="J149" s="45"/>
      <c r="K149" s="45">
        <v>11699669</v>
      </c>
      <c r="L149" s="45"/>
      <c r="M149" s="45">
        <f>402261+14737416+232456</f>
        <v>15372133</v>
      </c>
      <c r="N149" s="45"/>
      <c r="O149" s="45">
        <v>148421</v>
      </c>
      <c r="P149" s="45"/>
      <c r="Q149" s="45">
        <v>13554669</v>
      </c>
      <c r="R149" s="45"/>
      <c r="S149" s="45">
        <f t="shared" si="9"/>
        <v>29075223</v>
      </c>
      <c r="T149" s="45"/>
      <c r="U149" s="44">
        <f t="shared" si="8"/>
        <v>0</v>
      </c>
    </row>
    <row r="150" spans="1:21" s="44" customFormat="1" ht="12.75" customHeight="1" x14ac:dyDescent="0.2">
      <c r="A150" s="44" t="s">
        <v>173</v>
      </c>
      <c r="C150" s="44" t="s">
        <v>66</v>
      </c>
      <c r="E150" s="45">
        <v>11974943</v>
      </c>
      <c r="F150" s="45"/>
      <c r="G150" s="45">
        <v>16688114</v>
      </c>
      <c r="H150" s="45"/>
      <c r="I150" s="45">
        <v>2362529</v>
      </c>
      <c r="J150" s="45"/>
      <c r="K150" s="45">
        <v>4460263</v>
      </c>
      <c r="L150" s="45"/>
      <c r="M150" s="45">
        <f>12227851-307031-387427-5072293</f>
        <v>6461100</v>
      </c>
      <c r="N150" s="45"/>
      <c r="O150" s="45">
        <f>307031+387427</f>
        <v>694458</v>
      </c>
      <c r="P150" s="45"/>
      <c r="Q150" s="45">
        <v>5072293</v>
      </c>
      <c r="R150" s="45"/>
      <c r="S150" s="45">
        <f t="shared" si="9"/>
        <v>12227851</v>
      </c>
      <c r="T150" s="45"/>
      <c r="U150" s="44">
        <f t="shared" ref="U150:U217" si="10">+G150-K150-S150</f>
        <v>0</v>
      </c>
    </row>
    <row r="151" spans="1:21" s="44" customFormat="1" ht="12.75" customHeight="1" x14ac:dyDescent="0.2">
      <c r="A151" s="44" t="s">
        <v>174</v>
      </c>
      <c r="C151" s="44" t="s">
        <v>45</v>
      </c>
      <c r="E151" s="45">
        <v>492521</v>
      </c>
      <c r="F151" s="45"/>
      <c r="G151" s="45">
        <v>2390537</v>
      </c>
      <c r="H151" s="45"/>
      <c r="I151" s="45">
        <v>1694815</v>
      </c>
      <c r="J151" s="45"/>
      <c r="K151" s="45">
        <v>2021379</v>
      </c>
      <c r="L151" s="45"/>
      <c r="M151" s="45">
        <f>128053+7308</f>
        <v>135361</v>
      </c>
      <c r="N151" s="45"/>
      <c r="O151" s="45">
        <v>7631</v>
      </c>
      <c r="P151" s="45"/>
      <c r="Q151" s="45">
        <v>226166</v>
      </c>
      <c r="R151" s="45"/>
      <c r="S151" s="45">
        <f t="shared" si="9"/>
        <v>369158</v>
      </c>
      <c r="T151" s="45"/>
      <c r="U151" s="44">
        <f t="shared" si="10"/>
        <v>0</v>
      </c>
    </row>
    <row r="152" spans="1:21" s="44" customFormat="1" ht="12.75" customHeight="1" x14ac:dyDescent="0.2">
      <c r="A152" s="44" t="s">
        <v>175</v>
      </c>
      <c r="C152" s="44" t="s">
        <v>176</v>
      </c>
      <c r="E152" s="45">
        <f>2975791+3394492</f>
        <v>6370283</v>
      </c>
      <c r="F152" s="45"/>
      <c r="G152" s="45">
        <v>13453632</v>
      </c>
      <c r="H152" s="45"/>
      <c r="I152" s="45">
        <v>4072752</v>
      </c>
      <c r="J152" s="45"/>
      <c r="K152" s="45">
        <v>5139243</v>
      </c>
      <c r="L152" s="45"/>
      <c r="M152" s="45">
        <f>538768+3125011+101209</f>
        <v>3764988</v>
      </c>
      <c r="N152" s="45"/>
      <c r="O152" s="45">
        <v>374348</v>
      </c>
      <c r="P152" s="45"/>
      <c r="Q152" s="45">
        <v>4175053</v>
      </c>
      <c r="R152" s="45"/>
      <c r="S152" s="45">
        <f t="shared" si="9"/>
        <v>8314389</v>
      </c>
      <c r="T152" s="45"/>
      <c r="U152" s="44">
        <f t="shared" si="10"/>
        <v>0</v>
      </c>
    </row>
    <row r="153" spans="1:21" s="44" customFormat="1" ht="12.75" customHeight="1" x14ac:dyDescent="0.2">
      <c r="A153" s="44" t="s">
        <v>177</v>
      </c>
      <c r="C153" s="44" t="s">
        <v>13</v>
      </c>
      <c r="E153" s="45">
        <v>3415985</v>
      </c>
      <c r="F153" s="45"/>
      <c r="G153" s="45">
        <v>5094959</v>
      </c>
      <c r="H153" s="45"/>
      <c r="I153" s="45">
        <v>1168473</v>
      </c>
      <c r="J153" s="45"/>
      <c r="K153" s="45">
        <v>1275360</v>
      </c>
      <c r="L153" s="45"/>
      <c r="M153" s="45">
        <f>84921+1661926+144937</f>
        <v>1891784</v>
      </c>
      <c r="N153" s="45"/>
      <c r="O153" s="45">
        <v>6293</v>
      </c>
      <c r="P153" s="45"/>
      <c r="Q153" s="45">
        <v>1921522</v>
      </c>
      <c r="R153" s="45"/>
      <c r="S153" s="45">
        <f t="shared" si="9"/>
        <v>3819599</v>
      </c>
      <c r="T153" s="45"/>
      <c r="U153" s="44">
        <f t="shared" si="10"/>
        <v>0</v>
      </c>
    </row>
    <row r="154" spans="1:21" s="44" customFormat="1" ht="12.75" customHeight="1" x14ac:dyDescent="0.2">
      <c r="A154" s="44" t="s">
        <v>178</v>
      </c>
      <c r="C154" s="44" t="s">
        <v>179</v>
      </c>
      <c r="E154" s="45">
        <v>4325252</v>
      </c>
      <c r="F154" s="45"/>
      <c r="G154" s="45">
        <v>6983926</v>
      </c>
      <c r="H154" s="45"/>
      <c r="I154" s="45">
        <v>1444267</v>
      </c>
      <c r="J154" s="45"/>
      <c r="K154" s="45">
        <v>1867779</v>
      </c>
      <c r="L154" s="45"/>
      <c r="M154" s="45">
        <f>1606+2214677+1107969</f>
        <v>3324252</v>
      </c>
      <c r="N154" s="45"/>
      <c r="O154" s="45">
        <v>51560</v>
      </c>
      <c r="P154" s="45"/>
      <c r="Q154" s="45">
        <v>1740335</v>
      </c>
      <c r="R154" s="45"/>
      <c r="S154" s="45">
        <f t="shared" si="9"/>
        <v>5116147</v>
      </c>
      <c r="T154" s="45"/>
      <c r="U154" s="44">
        <f t="shared" si="10"/>
        <v>0</v>
      </c>
    </row>
    <row r="155" spans="1:21" s="44" customFormat="1" ht="12.75" customHeight="1" x14ac:dyDescent="0.2">
      <c r="A155" s="44" t="s">
        <v>180</v>
      </c>
      <c r="C155" s="44" t="s">
        <v>20</v>
      </c>
      <c r="E155" s="45">
        <f>3060523+19949</f>
        <v>3080472</v>
      </c>
      <c r="F155" s="45"/>
      <c r="G155" s="45">
        <v>4508383</v>
      </c>
      <c r="H155" s="45"/>
      <c r="I155" s="45">
        <v>1186376</v>
      </c>
      <c r="J155" s="45"/>
      <c r="K155" s="45">
        <v>1474460</v>
      </c>
      <c r="L155" s="45"/>
      <c r="M155" s="45">
        <f>55259+1522192+13189</f>
        <v>1590640</v>
      </c>
      <c r="N155" s="45"/>
      <c r="O155" s="45">
        <v>18057</v>
      </c>
      <c r="P155" s="45"/>
      <c r="Q155" s="45">
        <v>1425226</v>
      </c>
      <c r="R155" s="45"/>
      <c r="S155" s="45">
        <f t="shared" si="9"/>
        <v>3033923</v>
      </c>
      <c r="T155" s="45"/>
      <c r="U155" s="44">
        <f t="shared" si="10"/>
        <v>0</v>
      </c>
    </row>
    <row r="156" spans="1:21" s="44" customFormat="1" ht="12.75" customHeight="1" x14ac:dyDescent="0.2">
      <c r="A156" s="44" t="s">
        <v>508</v>
      </c>
      <c r="B156" s="47"/>
      <c r="C156" s="44" t="s">
        <v>43</v>
      </c>
      <c r="E156" s="45">
        <f>23151180+43200+221007+82385</f>
        <v>23497772</v>
      </c>
      <c r="F156" s="45"/>
      <c r="G156" s="45">
        <v>34020527</v>
      </c>
      <c r="H156" s="45"/>
      <c r="I156" s="45">
        <v>2018229</v>
      </c>
      <c r="J156" s="45"/>
      <c r="K156" s="45">
        <v>10357083</v>
      </c>
      <c r="L156" s="45"/>
      <c r="M156" s="45">
        <f>400810+7989860+4794929</f>
        <v>13185599</v>
      </c>
      <c r="N156" s="45"/>
      <c r="O156" s="45">
        <v>1284622</v>
      </c>
      <c r="P156" s="45"/>
      <c r="Q156" s="45">
        <v>9193223</v>
      </c>
      <c r="R156" s="45"/>
      <c r="S156" s="45">
        <f t="shared" si="9"/>
        <v>23663444</v>
      </c>
      <c r="T156" s="45"/>
      <c r="U156" s="44">
        <f t="shared" si="10"/>
        <v>0</v>
      </c>
    </row>
    <row r="157" spans="1:21" s="44" customFormat="1" ht="12.75" customHeight="1" x14ac:dyDescent="0.2">
      <c r="A157" s="44" t="s">
        <v>182</v>
      </c>
      <c r="C157" s="44" t="s">
        <v>183</v>
      </c>
      <c r="E157" s="45">
        <f>932510+71634</f>
        <v>1004144</v>
      </c>
      <c r="F157" s="45"/>
      <c r="G157" s="45">
        <v>4609107</v>
      </c>
      <c r="H157" s="45"/>
      <c r="I157" s="45">
        <v>2444614</v>
      </c>
      <c r="J157" s="45"/>
      <c r="K157" s="45">
        <v>3126500</v>
      </c>
      <c r="L157" s="45"/>
      <c r="M157" s="45">
        <f>1482607-326329-6997</f>
        <v>1149281</v>
      </c>
      <c r="N157" s="45"/>
      <c r="O157" s="45">
        <v>326329</v>
      </c>
      <c r="P157" s="45"/>
      <c r="Q157" s="45">
        <v>6997</v>
      </c>
      <c r="R157" s="45"/>
      <c r="S157" s="45">
        <f t="shared" si="9"/>
        <v>1482607</v>
      </c>
      <c r="T157" s="45"/>
      <c r="U157" s="44">
        <f t="shared" si="10"/>
        <v>0</v>
      </c>
    </row>
    <row r="158" spans="1:21" s="44" customFormat="1" ht="12.75" customHeight="1" x14ac:dyDescent="0.2">
      <c r="A158" s="44" t="s">
        <v>487</v>
      </c>
      <c r="C158" s="44" t="s">
        <v>13</v>
      </c>
      <c r="E158" s="45">
        <v>2993763</v>
      </c>
      <c r="F158" s="45"/>
      <c r="G158" s="45">
        <v>7150544</v>
      </c>
      <c r="H158" s="45"/>
      <c r="I158" s="45">
        <v>3534695</v>
      </c>
      <c r="J158" s="45"/>
      <c r="K158" s="45">
        <v>3946374</v>
      </c>
      <c r="L158" s="45"/>
      <c r="M158" s="45">
        <f>1792091+237020</f>
        <v>2029111</v>
      </c>
      <c r="N158" s="45"/>
      <c r="O158" s="45">
        <v>38426</v>
      </c>
      <c r="P158" s="45"/>
      <c r="Q158" s="45">
        <v>1136633</v>
      </c>
      <c r="R158" s="45"/>
      <c r="S158" s="45">
        <f t="shared" si="9"/>
        <v>3204170</v>
      </c>
      <c r="T158" s="45"/>
      <c r="U158" s="44">
        <f>+G158-K158-S158</f>
        <v>0</v>
      </c>
    </row>
    <row r="159" spans="1:21" s="44" customFormat="1" ht="12.75" customHeight="1" x14ac:dyDescent="0.2">
      <c r="A159" s="44" t="s">
        <v>184</v>
      </c>
      <c r="C159" s="44" t="s">
        <v>89</v>
      </c>
      <c r="E159" s="45">
        <f>4192433+93025</f>
        <v>4285458</v>
      </c>
      <c r="F159" s="45"/>
      <c r="G159" s="45">
        <v>11099132</v>
      </c>
      <c r="H159" s="45"/>
      <c r="I159" s="45">
        <v>4897008</v>
      </c>
      <c r="J159" s="45"/>
      <c r="K159" s="45">
        <v>6134096</v>
      </c>
      <c r="L159" s="45"/>
      <c r="M159" s="45">
        <f>28076+3039680+87792</f>
        <v>3155548</v>
      </c>
      <c r="N159" s="45"/>
      <c r="O159" s="45">
        <v>49034</v>
      </c>
      <c r="P159" s="45"/>
      <c r="Q159" s="45">
        <v>1760454</v>
      </c>
      <c r="R159" s="45"/>
      <c r="S159" s="45">
        <f t="shared" si="9"/>
        <v>4965036</v>
      </c>
      <c r="T159" s="45"/>
      <c r="U159" s="44">
        <f t="shared" si="10"/>
        <v>0</v>
      </c>
    </row>
    <row r="160" spans="1:21" s="44" customFormat="1" ht="12.75" customHeight="1" x14ac:dyDescent="0.2">
      <c r="A160" s="44" t="s">
        <v>181</v>
      </c>
      <c r="C160" s="44" t="s">
        <v>125</v>
      </c>
      <c r="E160" s="45">
        <f>8685912+378938+715255+8930+627500+399577</f>
        <v>10816112</v>
      </c>
      <c r="F160" s="45"/>
      <c r="G160" s="45">
        <v>25609772</v>
      </c>
      <c r="H160" s="45"/>
      <c r="I160" s="45">
        <v>6607073</v>
      </c>
      <c r="J160" s="45"/>
      <c r="K160" s="45">
        <v>9016479</v>
      </c>
      <c r="L160" s="45"/>
      <c r="M160" s="45">
        <f>5019291+8042449</f>
        <v>13061740</v>
      </c>
      <c r="N160" s="45"/>
      <c r="O160" s="45">
        <v>534701</v>
      </c>
      <c r="P160" s="45"/>
      <c r="Q160" s="45">
        <v>2996852</v>
      </c>
      <c r="R160" s="45"/>
      <c r="S160" s="45">
        <f t="shared" si="9"/>
        <v>16593293</v>
      </c>
      <c r="T160" s="45"/>
      <c r="U160" s="44">
        <f t="shared" si="10"/>
        <v>0</v>
      </c>
    </row>
    <row r="161" spans="1:21" s="44" customFormat="1" ht="12.75" customHeight="1" x14ac:dyDescent="0.2">
      <c r="A161" s="44" t="s">
        <v>185</v>
      </c>
      <c r="C161" s="44" t="s">
        <v>80</v>
      </c>
      <c r="E161" s="45">
        <v>7299588</v>
      </c>
      <c r="F161" s="45"/>
      <c r="G161" s="45">
        <v>15559658</v>
      </c>
      <c r="H161" s="45"/>
      <c r="I161" s="45">
        <v>2050656</v>
      </c>
      <c r="J161" s="45"/>
      <c r="K161" s="45">
        <v>3804719</v>
      </c>
      <c r="L161" s="45"/>
      <c r="M161" s="45">
        <f>1099829+1885982</f>
        <v>2985811</v>
      </c>
      <c r="N161" s="45"/>
      <c r="O161" s="45">
        <v>3393734</v>
      </c>
      <c r="P161" s="45"/>
      <c r="Q161" s="45">
        <v>5375394</v>
      </c>
      <c r="R161" s="45"/>
      <c r="S161" s="45">
        <f t="shared" si="9"/>
        <v>11754939</v>
      </c>
      <c r="T161" s="45"/>
      <c r="U161" s="44">
        <f t="shared" si="10"/>
        <v>0</v>
      </c>
    </row>
    <row r="162" spans="1:21" s="44" customFormat="1" ht="12.75" customHeight="1" x14ac:dyDescent="0.2">
      <c r="A162" s="44" t="s">
        <v>186</v>
      </c>
      <c r="C162" s="44" t="s">
        <v>15</v>
      </c>
      <c r="E162" s="45">
        <f>8422048+55194+657000</f>
        <v>9134242</v>
      </c>
      <c r="F162" s="45"/>
      <c r="G162" s="45">
        <v>13798943</v>
      </c>
      <c r="H162" s="45"/>
      <c r="I162" s="45">
        <v>1529561</v>
      </c>
      <c r="J162" s="45"/>
      <c r="K162" s="45">
        <v>4467018</v>
      </c>
      <c r="L162" s="45"/>
      <c r="M162" s="45">
        <f>109677+1611177+5045248</f>
        <v>6766102</v>
      </c>
      <c r="N162" s="45"/>
      <c r="O162" s="45">
        <v>2365977</v>
      </c>
      <c r="P162" s="45"/>
      <c r="Q162" s="45">
        <v>199846</v>
      </c>
      <c r="R162" s="45"/>
      <c r="S162" s="45">
        <f t="shared" si="9"/>
        <v>9331925</v>
      </c>
      <c r="T162" s="45"/>
      <c r="U162" s="44">
        <f t="shared" si="10"/>
        <v>0</v>
      </c>
    </row>
    <row r="163" spans="1:21" s="44" customFormat="1" ht="12.75" customHeight="1" x14ac:dyDescent="0.2">
      <c r="A163" s="44" t="s">
        <v>187</v>
      </c>
      <c r="C163" s="44" t="s">
        <v>27</v>
      </c>
      <c r="E163" s="45">
        <v>12241721</v>
      </c>
      <c r="F163" s="45"/>
      <c r="G163" s="45">
        <v>31322392</v>
      </c>
      <c r="H163" s="45"/>
      <c r="I163" s="45">
        <v>12876972</v>
      </c>
      <c r="J163" s="45"/>
      <c r="K163" s="45">
        <v>14183271</v>
      </c>
      <c r="L163" s="45"/>
      <c r="M163" s="45">
        <f>926788+7848577+2791841</f>
        <v>11567206</v>
      </c>
      <c r="N163" s="45"/>
      <c r="O163" s="45">
        <v>875618</v>
      </c>
      <c r="P163" s="45"/>
      <c r="Q163" s="45">
        <v>4696297</v>
      </c>
      <c r="R163" s="45"/>
      <c r="S163" s="45">
        <f t="shared" si="9"/>
        <v>17139121</v>
      </c>
      <c r="T163" s="45"/>
      <c r="U163" s="44">
        <f>+G163-K163-S163</f>
        <v>0</v>
      </c>
    </row>
    <row r="164" spans="1:21" s="44" customFormat="1" ht="12.75" customHeight="1" x14ac:dyDescent="0.2">
      <c r="A164" s="44" t="s">
        <v>189</v>
      </c>
      <c r="C164" s="44" t="s">
        <v>17</v>
      </c>
      <c r="E164" s="45">
        <v>9695301</v>
      </c>
      <c r="F164" s="45"/>
      <c r="G164" s="45">
        <v>21300619</v>
      </c>
      <c r="H164" s="45"/>
      <c r="I164" s="45">
        <v>10130180</v>
      </c>
      <c r="J164" s="45"/>
      <c r="K164" s="45">
        <v>12129073</v>
      </c>
      <c r="L164" s="45"/>
      <c r="M164" s="45">
        <f>45500+3948918+449432</f>
        <v>4443850</v>
      </c>
      <c r="N164" s="45"/>
      <c r="O164" s="45">
        <v>75088</v>
      </c>
      <c r="P164" s="45"/>
      <c r="Q164" s="45">
        <v>4652608</v>
      </c>
      <c r="R164" s="45"/>
      <c r="S164" s="45">
        <f t="shared" si="9"/>
        <v>9171546</v>
      </c>
      <c r="T164" s="45"/>
      <c r="U164" s="44">
        <f t="shared" si="10"/>
        <v>0</v>
      </c>
    </row>
    <row r="165" spans="1:21" s="44" customFormat="1" ht="12.75" customHeight="1" x14ac:dyDescent="0.2">
      <c r="A165" s="44" t="s">
        <v>188</v>
      </c>
      <c r="C165" s="44" t="s">
        <v>27</v>
      </c>
      <c r="E165" s="45">
        <v>16354624</v>
      </c>
      <c r="F165" s="45"/>
      <c r="G165" s="45">
        <v>28608273</v>
      </c>
      <c r="H165" s="45"/>
      <c r="I165" s="45">
        <v>8306813</v>
      </c>
      <c r="J165" s="45"/>
      <c r="K165" s="45">
        <v>10327548</v>
      </c>
      <c r="L165" s="45"/>
      <c r="M165" s="45">
        <f>474805+12571738+2932748</f>
        <v>15979291</v>
      </c>
      <c r="N165" s="45"/>
      <c r="O165" s="45">
        <v>448601</v>
      </c>
      <c r="P165" s="45"/>
      <c r="Q165" s="45">
        <v>1852833</v>
      </c>
      <c r="R165" s="45"/>
      <c r="S165" s="45">
        <f t="shared" si="9"/>
        <v>18280725</v>
      </c>
      <c r="T165" s="45"/>
      <c r="U165" s="44">
        <f t="shared" si="10"/>
        <v>0</v>
      </c>
    </row>
    <row r="166" spans="1:21" s="44" customFormat="1" ht="12.75" customHeight="1" x14ac:dyDescent="0.2">
      <c r="A166" s="44" t="s">
        <v>190</v>
      </c>
      <c r="C166" s="44" t="s">
        <v>47</v>
      </c>
      <c r="E166" s="45">
        <f>2991998+4003866</f>
        <v>6995864</v>
      </c>
      <c r="F166" s="45"/>
      <c r="G166" s="45">
        <v>8986924</v>
      </c>
      <c r="H166" s="45"/>
      <c r="I166" s="45">
        <v>1157930</v>
      </c>
      <c r="J166" s="45"/>
      <c r="K166" s="45">
        <v>1460731</v>
      </c>
      <c r="L166" s="45"/>
      <c r="M166" s="45">
        <f>103083+1240589+4492800</f>
        <v>5836472</v>
      </c>
      <c r="N166" s="45"/>
      <c r="O166" s="45">
        <v>0</v>
      </c>
      <c r="P166" s="45"/>
      <c r="Q166" s="45">
        <v>1689721</v>
      </c>
      <c r="R166" s="45"/>
      <c r="S166" s="45">
        <f t="shared" si="9"/>
        <v>7526193</v>
      </c>
      <c r="T166" s="45"/>
      <c r="U166" s="44">
        <f t="shared" si="10"/>
        <v>0</v>
      </c>
    </row>
    <row r="167" spans="1:21" s="44" customFormat="1" ht="12.75" customHeight="1" x14ac:dyDescent="0.2">
      <c r="A167" s="44" t="s">
        <v>191</v>
      </c>
      <c r="C167" s="44" t="s">
        <v>13</v>
      </c>
      <c r="E167" s="45">
        <f>5601823+25720+280014+5320</f>
        <v>5912877</v>
      </c>
      <c r="F167" s="45"/>
      <c r="G167" s="45">
        <v>11745759</v>
      </c>
      <c r="H167" s="45"/>
      <c r="I167" s="45">
        <v>4353883</v>
      </c>
      <c r="J167" s="45"/>
      <c r="K167" s="45">
        <v>5142951</v>
      </c>
      <c r="L167" s="45"/>
      <c r="M167" s="45">
        <f>580431+2771206+603485</f>
        <v>3955122</v>
      </c>
      <c r="N167" s="45"/>
      <c r="O167" s="45">
        <v>253427</v>
      </c>
      <c r="P167" s="45"/>
      <c r="Q167" s="45">
        <v>2394259</v>
      </c>
      <c r="R167" s="45"/>
      <c r="S167" s="45">
        <f t="shared" si="9"/>
        <v>6602808</v>
      </c>
      <c r="T167" s="45"/>
      <c r="U167" s="44">
        <f t="shared" si="10"/>
        <v>0</v>
      </c>
    </row>
    <row r="168" spans="1:21" s="44" customFormat="1" ht="12.75" customHeight="1" x14ac:dyDescent="0.2"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8" t="s">
        <v>484</v>
      </c>
      <c r="T168" s="45"/>
    </row>
    <row r="169" spans="1:21" s="44" customFormat="1" ht="12.75" customHeight="1" x14ac:dyDescent="0.2">
      <c r="A169" s="44" t="s">
        <v>192</v>
      </c>
      <c r="C169" s="44" t="s">
        <v>38</v>
      </c>
      <c r="E169" s="94">
        <f>9913261+3135+132836</f>
        <v>10049232</v>
      </c>
      <c r="F169" s="94"/>
      <c r="G169" s="94">
        <v>15080795</v>
      </c>
      <c r="H169" s="94"/>
      <c r="I169" s="94">
        <v>804420</v>
      </c>
      <c r="J169" s="94"/>
      <c r="K169" s="94">
        <v>2919565</v>
      </c>
      <c r="L169" s="94"/>
      <c r="M169" s="94">
        <f>12161230-52878-2754420</f>
        <v>9353932</v>
      </c>
      <c r="N169" s="94"/>
      <c r="O169" s="94">
        <v>52878</v>
      </c>
      <c r="P169" s="94"/>
      <c r="Q169" s="94">
        <v>2754420</v>
      </c>
      <c r="R169" s="94"/>
      <c r="S169" s="94">
        <f t="shared" si="9"/>
        <v>12161230</v>
      </c>
      <c r="T169" s="45"/>
      <c r="U169" s="44">
        <f t="shared" si="10"/>
        <v>0</v>
      </c>
    </row>
    <row r="170" spans="1:21" s="44" customFormat="1" ht="12.75" customHeight="1" x14ac:dyDescent="0.2">
      <c r="A170" s="44" t="s">
        <v>193</v>
      </c>
      <c r="C170" s="44" t="s">
        <v>45</v>
      </c>
      <c r="E170" s="45">
        <f>1997516+311283+1195643</f>
        <v>3504442</v>
      </c>
      <c r="F170" s="45"/>
      <c r="G170" s="45">
        <v>12442652</v>
      </c>
      <c r="H170" s="45"/>
      <c r="I170" s="45">
        <v>7517534</v>
      </c>
      <c r="J170" s="45"/>
      <c r="K170" s="45">
        <v>9840624</v>
      </c>
      <c r="L170" s="45"/>
      <c r="M170" s="45">
        <f>2779697+4703</f>
        <v>2784400</v>
      </c>
      <c r="N170" s="45"/>
      <c r="O170" s="45">
        <v>54638</v>
      </c>
      <c r="P170" s="45"/>
      <c r="Q170" s="45">
        <v>-237010</v>
      </c>
      <c r="R170" s="45"/>
      <c r="S170" s="45">
        <f t="shared" si="9"/>
        <v>2602028</v>
      </c>
      <c r="T170" s="45"/>
      <c r="U170" s="44">
        <f t="shared" si="10"/>
        <v>0</v>
      </c>
    </row>
    <row r="171" spans="1:21" s="44" customFormat="1" ht="12.75" customHeight="1" x14ac:dyDescent="0.2">
      <c r="A171" s="44" t="s">
        <v>194</v>
      </c>
      <c r="C171" s="44" t="s">
        <v>66</v>
      </c>
      <c r="E171" s="45">
        <f>10820895+11955</f>
        <v>10832850</v>
      </c>
      <c r="F171" s="45"/>
      <c r="G171" s="45">
        <v>15268277</v>
      </c>
      <c r="H171" s="45"/>
      <c r="I171" s="45">
        <v>3533441</v>
      </c>
      <c r="J171" s="45"/>
      <c r="K171" s="45">
        <v>6985135</v>
      </c>
      <c r="L171" s="45"/>
      <c r="M171" s="45">
        <f>8283142-30378-2309988</f>
        <v>5942776</v>
      </c>
      <c r="N171" s="45"/>
      <c r="O171" s="45">
        <v>30378</v>
      </c>
      <c r="P171" s="45"/>
      <c r="Q171" s="45">
        <v>2309988</v>
      </c>
      <c r="R171" s="45"/>
      <c r="S171" s="45">
        <f t="shared" si="9"/>
        <v>8283142</v>
      </c>
      <c r="T171" s="45"/>
      <c r="U171" s="44">
        <f t="shared" si="10"/>
        <v>0</v>
      </c>
    </row>
    <row r="172" spans="1:21" s="44" customFormat="1" ht="12.75" customHeight="1" x14ac:dyDescent="0.2">
      <c r="A172" s="44" t="s">
        <v>195</v>
      </c>
      <c r="C172" s="44" t="s">
        <v>17</v>
      </c>
      <c r="E172" s="45">
        <f>2958246+10270689</f>
        <v>13228935</v>
      </c>
      <c r="F172" s="45"/>
      <c r="G172" s="45">
        <v>16543430</v>
      </c>
      <c r="H172" s="45"/>
      <c r="I172" s="45">
        <v>1755855</v>
      </c>
      <c r="J172" s="45"/>
      <c r="K172" s="45">
        <v>2564977</v>
      </c>
      <c r="L172" s="45"/>
      <c r="M172" s="45">
        <f>104645+1864008+1988005</f>
        <v>3956658</v>
      </c>
      <c r="N172" s="45"/>
      <c r="O172" s="45">
        <v>248567</v>
      </c>
      <c r="P172" s="45"/>
      <c r="Q172" s="45">
        <v>9773228</v>
      </c>
      <c r="R172" s="45"/>
      <c r="S172" s="45">
        <f t="shared" si="9"/>
        <v>13978453</v>
      </c>
      <c r="T172" s="45"/>
      <c r="U172" s="44">
        <f t="shared" si="10"/>
        <v>0</v>
      </c>
    </row>
    <row r="173" spans="1:21" s="44" customFormat="1" ht="12.75" customHeight="1" x14ac:dyDescent="0.2">
      <c r="A173" s="44" t="s">
        <v>196</v>
      </c>
      <c r="C173" s="44" t="s">
        <v>27</v>
      </c>
      <c r="E173" s="45">
        <v>4067542</v>
      </c>
      <c r="F173" s="45"/>
      <c r="G173" s="45">
        <v>11635084</v>
      </c>
      <c r="H173" s="45"/>
      <c r="I173" s="45">
        <v>6452146</v>
      </c>
      <c r="J173" s="45"/>
      <c r="K173" s="45">
        <v>7120019</v>
      </c>
      <c r="L173" s="45"/>
      <c r="M173" s="45">
        <f>107224+3120812+25000</f>
        <v>3253036</v>
      </c>
      <c r="N173" s="45"/>
      <c r="O173" s="45">
        <v>46748</v>
      </c>
      <c r="P173" s="45"/>
      <c r="Q173" s="45">
        <v>1215281</v>
      </c>
      <c r="R173" s="45"/>
      <c r="S173" s="45">
        <f t="shared" si="9"/>
        <v>4515065</v>
      </c>
      <c r="T173" s="45"/>
      <c r="U173" s="44">
        <f t="shared" si="10"/>
        <v>0</v>
      </c>
    </row>
    <row r="174" spans="1:21" s="44" customFormat="1" ht="12.75" customHeight="1" x14ac:dyDescent="0.2">
      <c r="A174" s="44" t="s">
        <v>402</v>
      </c>
      <c r="C174" s="44" t="s">
        <v>153</v>
      </c>
      <c r="E174" s="45">
        <f>6592217+25191</f>
        <v>6617408</v>
      </c>
      <c r="F174" s="45"/>
      <c r="G174" s="45">
        <v>9293505</v>
      </c>
      <c r="H174" s="45"/>
      <c r="I174" s="45">
        <v>1352323</v>
      </c>
      <c r="J174" s="45"/>
      <c r="K174" s="45">
        <v>2257238</v>
      </c>
      <c r="L174" s="45"/>
      <c r="M174" s="45">
        <f>238950+1222873+1982655</f>
        <v>3444478</v>
      </c>
      <c r="N174" s="45"/>
      <c r="O174" s="45">
        <v>0</v>
      </c>
      <c r="P174" s="45"/>
      <c r="Q174" s="45">
        <v>3591789</v>
      </c>
      <c r="R174" s="45"/>
      <c r="S174" s="45">
        <f t="shared" si="9"/>
        <v>7036267</v>
      </c>
      <c r="T174" s="45"/>
      <c r="U174" s="44">
        <f t="shared" si="10"/>
        <v>0</v>
      </c>
    </row>
    <row r="175" spans="1:21" s="44" customFormat="1" ht="12.75" customHeight="1" x14ac:dyDescent="0.2">
      <c r="A175" s="44" t="s">
        <v>197</v>
      </c>
      <c r="C175" s="44" t="s">
        <v>163</v>
      </c>
      <c r="E175" s="45">
        <f>6411938+30534085</f>
        <v>36946023</v>
      </c>
      <c r="F175" s="45"/>
      <c r="G175" s="45">
        <v>49744628</v>
      </c>
      <c r="H175" s="45"/>
      <c r="I175" s="45">
        <v>7501120</v>
      </c>
      <c r="J175" s="45"/>
      <c r="K175" s="45">
        <v>9186663</v>
      </c>
      <c r="L175" s="45"/>
      <c r="M175" s="45">
        <f>614011+8303845+6345182</f>
        <v>15263038</v>
      </c>
      <c r="N175" s="45"/>
      <c r="O175" s="45">
        <v>307501</v>
      </c>
      <c r="P175" s="45"/>
      <c r="Q175" s="45">
        <v>24987426</v>
      </c>
      <c r="R175" s="45"/>
      <c r="S175" s="45">
        <f t="shared" si="9"/>
        <v>40557965</v>
      </c>
      <c r="T175" s="45"/>
      <c r="U175" s="44">
        <f t="shared" si="10"/>
        <v>0</v>
      </c>
    </row>
    <row r="176" spans="1:21" s="44" customFormat="1" ht="12.75" customHeight="1" x14ac:dyDescent="0.2">
      <c r="A176" s="44" t="s">
        <v>198</v>
      </c>
      <c r="C176" s="44" t="s">
        <v>199</v>
      </c>
      <c r="E176" s="45">
        <v>5827585</v>
      </c>
      <c r="F176" s="45"/>
      <c r="G176" s="45">
        <v>8697454</v>
      </c>
      <c r="H176" s="45"/>
      <c r="I176" s="45">
        <v>1305740</v>
      </c>
      <c r="J176" s="45"/>
      <c r="K176" s="45">
        <v>2818610</v>
      </c>
      <c r="L176" s="45"/>
      <c r="M176" s="45">
        <f>105065+991795+882927</f>
        <v>1979787</v>
      </c>
      <c r="N176" s="45"/>
      <c r="O176" s="45">
        <v>159807</v>
      </c>
      <c r="P176" s="45"/>
      <c r="Q176" s="45">
        <v>3739250</v>
      </c>
      <c r="R176" s="45"/>
      <c r="S176" s="45">
        <f t="shared" si="9"/>
        <v>5878844</v>
      </c>
      <c r="T176" s="45"/>
      <c r="U176" s="44">
        <f t="shared" si="10"/>
        <v>0</v>
      </c>
    </row>
    <row r="177" spans="1:21" s="44" customFormat="1" ht="12.75" customHeight="1" x14ac:dyDescent="0.2">
      <c r="A177" s="44" t="s">
        <v>200</v>
      </c>
      <c r="C177" s="44" t="s">
        <v>103</v>
      </c>
      <c r="E177" s="45">
        <v>12700290</v>
      </c>
      <c r="F177" s="45"/>
      <c r="G177" s="45">
        <v>18913096</v>
      </c>
      <c r="H177" s="45"/>
      <c r="I177" s="45">
        <v>3070648</v>
      </c>
      <c r="J177" s="45"/>
      <c r="K177" s="45">
        <v>5741131</v>
      </c>
      <c r="L177" s="45"/>
      <c r="M177" s="45">
        <f>256412+1283626</f>
        <v>1540038</v>
      </c>
      <c r="N177" s="45"/>
      <c r="O177" s="45">
        <v>4323342</v>
      </c>
      <c r="P177" s="45"/>
      <c r="Q177" s="45">
        <v>7308585</v>
      </c>
      <c r="R177" s="45"/>
      <c r="S177" s="45">
        <f t="shared" si="9"/>
        <v>13171965</v>
      </c>
      <c r="T177" s="45"/>
      <c r="U177" s="44">
        <f t="shared" si="10"/>
        <v>0</v>
      </c>
    </row>
    <row r="178" spans="1:21" s="44" customFormat="1" ht="12.75" customHeight="1" x14ac:dyDescent="0.2">
      <c r="A178" s="44" t="s">
        <v>201</v>
      </c>
      <c r="C178" s="44" t="s">
        <v>92</v>
      </c>
      <c r="E178" s="45">
        <f>9919198+1093605</f>
        <v>11012803</v>
      </c>
      <c r="F178" s="45"/>
      <c r="G178" s="45">
        <v>15663011</v>
      </c>
      <c r="H178" s="45"/>
      <c r="I178" s="45">
        <v>1778433</v>
      </c>
      <c r="J178" s="45"/>
      <c r="K178" s="45">
        <v>4713120</v>
      </c>
      <c r="L178" s="45"/>
      <c r="M178" s="45">
        <f>2104502+3161485+1359464</f>
        <v>6625451</v>
      </c>
      <c r="N178" s="45"/>
      <c r="O178" s="45">
        <v>416777</v>
      </c>
      <c r="P178" s="45"/>
      <c r="Q178" s="45">
        <v>3907663</v>
      </c>
      <c r="R178" s="45"/>
      <c r="S178" s="45">
        <f t="shared" si="9"/>
        <v>10949891</v>
      </c>
      <c r="T178" s="45"/>
      <c r="U178" s="44">
        <f t="shared" si="10"/>
        <v>0</v>
      </c>
    </row>
    <row r="179" spans="1:21" s="44" customFormat="1" ht="12.75" customHeight="1" x14ac:dyDescent="0.2">
      <c r="A179" s="44" t="s">
        <v>202</v>
      </c>
      <c r="C179" s="44" t="s">
        <v>27</v>
      </c>
      <c r="E179" s="45">
        <f>12345820+979293</f>
        <v>13325113</v>
      </c>
      <c r="F179" s="45"/>
      <c r="G179" s="45">
        <v>38225342</v>
      </c>
      <c r="H179" s="45"/>
      <c r="I179" s="45">
        <v>17735765</v>
      </c>
      <c r="J179" s="45"/>
      <c r="K179" s="45">
        <v>23649541</v>
      </c>
      <c r="L179" s="45"/>
      <c r="M179" s="45">
        <f>230505+719253+12605</f>
        <v>962363</v>
      </c>
      <c r="N179" s="45"/>
      <c r="O179" s="45">
        <v>0</v>
      </c>
      <c r="P179" s="45"/>
      <c r="Q179" s="45">
        <f>6205530+4864103+1189338+1354467</f>
        <v>13613438</v>
      </c>
      <c r="R179" s="45"/>
      <c r="S179" s="45">
        <f t="shared" si="9"/>
        <v>14575801</v>
      </c>
      <c r="T179" s="45"/>
      <c r="U179" s="44">
        <f t="shared" si="10"/>
        <v>0</v>
      </c>
    </row>
    <row r="180" spans="1:21" s="44" customFormat="1" ht="12.75" customHeight="1" x14ac:dyDescent="0.2">
      <c r="A180" s="44" t="s">
        <v>203</v>
      </c>
      <c r="C180" s="44" t="s">
        <v>27</v>
      </c>
      <c r="E180" s="45">
        <v>2438106</v>
      </c>
      <c r="F180" s="45"/>
      <c r="G180" s="45">
        <v>14455830</v>
      </c>
      <c r="H180" s="45"/>
      <c r="I180" s="45">
        <v>10505960</v>
      </c>
      <c r="J180" s="45"/>
      <c r="K180" s="45">
        <v>14903897</v>
      </c>
      <c r="L180" s="45"/>
      <c r="M180" s="45">
        <f>188428+791069+252978</f>
        <v>1232475</v>
      </c>
      <c r="N180" s="45"/>
      <c r="O180" s="45">
        <v>9521</v>
      </c>
      <c r="P180" s="45"/>
      <c r="Q180" s="45">
        <v>-1690063</v>
      </c>
      <c r="R180" s="45"/>
      <c r="S180" s="45">
        <f t="shared" si="9"/>
        <v>-448067</v>
      </c>
      <c r="T180" s="45"/>
      <c r="U180" s="44">
        <f t="shared" si="10"/>
        <v>0</v>
      </c>
    </row>
    <row r="181" spans="1:21" s="44" customFormat="1" ht="12.75" customHeight="1" x14ac:dyDescent="0.2">
      <c r="A181" s="44" t="s">
        <v>204</v>
      </c>
      <c r="C181" s="44" t="s">
        <v>125</v>
      </c>
      <c r="E181" s="45">
        <f>5479688+122490</f>
        <v>5602178</v>
      </c>
      <c r="F181" s="45"/>
      <c r="G181" s="45">
        <v>8562396</v>
      </c>
      <c r="H181" s="45"/>
      <c r="I181" s="45">
        <v>1014379</v>
      </c>
      <c r="J181" s="45"/>
      <c r="K181" s="45">
        <v>2302877</v>
      </c>
      <c r="L181" s="45"/>
      <c r="M181" s="45">
        <f>76109+4581579+248731</f>
        <v>4906419</v>
      </c>
      <c r="N181" s="45"/>
      <c r="O181" s="45">
        <v>958541</v>
      </c>
      <c r="P181" s="45"/>
      <c r="Q181" s="45">
        <v>394559</v>
      </c>
      <c r="R181" s="45"/>
      <c r="S181" s="45">
        <f t="shared" si="9"/>
        <v>6259519</v>
      </c>
      <c r="T181" s="45"/>
      <c r="U181" s="44">
        <f t="shared" si="10"/>
        <v>0</v>
      </c>
    </row>
    <row r="182" spans="1:21" s="44" customFormat="1" ht="12.75" customHeight="1" x14ac:dyDescent="0.2">
      <c r="A182" s="44" t="s">
        <v>205</v>
      </c>
      <c r="C182" s="44" t="s">
        <v>27</v>
      </c>
      <c r="E182" s="45">
        <v>3777558</v>
      </c>
      <c r="F182" s="45"/>
      <c r="G182" s="45">
        <v>10222121</v>
      </c>
      <c r="H182" s="45"/>
      <c r="I182" s="45">
        <v>5132416</v>
      </c>
      <c r="J182" s="45"/>
      <c r="K182" s="45">
        <v>6219872</v>
      </c>
      <c r="L182" s="45"/>
      <c r="M182" s="45">
        <f>305668+1399484</f>
        <v>1705152</v>
      </c>
      <c r="N182" s="45"/>
      <c r="O182" s="45">
        <v>182940</v>
      </c>
      <c r="P182" s="45"/>
      <c r="Q182" s="45">
        <v>2114157</v>
      </c>
      <c r="R182" s="45"/>
      <c r="S182" s="45">
        <f t="shared" si="9"/>
        <v>4002249</v>
      </c>
      <c r="T182" s="45"/>
      <c r="U182" s="44">
        <f t="shared" si="10"/>
        <v>0</v>
      </c>
    </row>
    <row r="183" spans="1:21" s="44" customFormat="1" ht="12.75" customHeight="1" x14ac:dyDescent="0.2">
      <c r="A183" s="44" t="s">
        <v>206</v>
      </c>
      <c r="C183" s="44" t="s">
        <v>47</v>
      </c>
      <c r="E183" s="45">
        <f>2624701+6001180+590386</f>
        <v>9216267</v>
      </c>
      <c r="F183" s="45"/>
      <c r="G183" s="45">
        <v>16608156</v>
      </c>
      <c r="H183" s="45"/>
      <c r="I183" s="45">
        <v>4479873</v>
      </c>
      <c r="J183" s="45"/>
      <c r="K183" s="45">
        <v>7276667</v>
      </c>
      <c r="L183" s="45"/>
      <c r="M183" s="45">
        <f>567171+2784142+1237596</f>
        <v>4588909</v>
      </c>
      <c r="N183" s="45"/>
      <c r="O183" s="45">
        <v>163722</v>
      </c>
      <c r="P183" s="45"/>
      <c r="Q183" s="45">
        <v>4578858</v>
      </c>
      <c r="R183" s="45"/>
      <c r="S183" s="45">
        <f t="shared" si="9"/>
        <v>9331489</v>
      </c>
      <c r="T183" s="45"/>
      <c r="U183" s="44">
        <f t="shared" si="10"/>
        <v>0</v>
      </c>
    </row>
    <row r="184" spans="1:21" s="44" customFormat="1" ht="12.75" customHeight="1" x14ac:dyDescent="0.2">
      <c r="A184" s="44" t="s">
        <v>207</v>
      </c>
      <c r="C184" s="44" t="s">
        <v>102</v>
      </c>
      <c r="E184" s="45">
        <f>6197984+430129</f>
        <v>6628113</v>
      </c>
      <c r="F184" s="45"/>
      <c r="G184" s="45">
        <v>11564164</v>
      </c>
      <c r="H184" s="45"/>
      <c r="I184" s="45">
        <v>4077634</v>
      </c>
      <c r="J184" s="45"/>
      <c r="K184" s="45">
        <v>6891548</v>
      </c>
      <c r="L184" s="45"/>
      <c r="M184" s="45">
        <f>584953+1569175+732768</f>
        <v>2886896</v>
      </c>
      <c r="N184" s="45"/>
      <c r="O184" s="45">
        <v>29603</v>
      </c>
      <c r="P184" s="45"/>
      <c r="Q184" s="45">
        <v>1756117</v>
      </c>
      <c r="R184" s="45"/>
      <c r="S184" s="45">
        <f t="shared" si="9"/>
        <v>4672616</v>
      </c>
      <c r="T184" s="45"/>
      <c r="U184" s="44">
        <f>+G184-K184-S184</f>
        <v>0</v>
      </c>
    </row>
    <row r="185" spans="1:21" s="44" customFormat="1" ht="12.75" customHeight="1" x14ac:dyDescent="0.2">
      <c r="A185" s="44" t="s">
        <v>208</v>
      </c>
      <c r="C185" s="44" t="s">
        <v>209</v>
      </c>
      <c r="E185" s="45">
        <f>11261827+3405979</f>
        <v>14667806</v>
      </c>
      <c r="F185" s="45"/>
      <c r="G185" s="45">
        <v>29416064</v>
      </c>
      <c r="H185" s="45"/>
      <c r="I185" s="45">
        <v>2907969</v>
      </c>
      <c r="J185" s="45"/>
      <c r="K185" s="45">
        <v>3609263</v>
      </c>
      <c r="L185" s="45"/>
      <c r="M185" s="45">
        <f>9808382+5233319</f>
        <v>15041701</v>
      </c>
      <c r="N185" s="45"/>
      <c r="O185" s="45">
        <v>3915618</v>
      </c>
      <c r="P185" s="45"/>
      <c r="Q185" s="45">
        <v>6849482</v>
      </c>
      <c r="R185" s="45"/>
      <c r="S185" s="45">
        <f t="shared" si="9"/>
        <v>25806801</v>
      </c>
      <c r="T185" s="45"/>
      <c r="U185" s="44">
        <f>+G185-K185-S185</f>
        <v>0</v>
      </c>
    </row>
    <row r="186" spans="1:21" s="44" customFormat="1" ht="12.75" customHeight="1" x14ac:dyDescent="0.2">
      <c r="A186" s="44" t="s">
        <v>210</v>
      </c>
      <c r="C186" s="44" t="s">
        <v>211</v>
      </c>
      <c r="E186" s="45">
        <f>18845+1932038</f>
        <v>1950883</v>
      </c>
      <c r="F186" s="45"/>
      <c r="G186" s="45">
        <v>5077997</v>
      </c>
      <c r="H186" s="45"/>
      <c r="I186" s="45">
        <v>1788230</v>
      </c>
      <c r="J186" s="45"/>
      <c r="K186" s="45">
        <v>2058893</v>
      </c>
      <c r="L186" s="45"/>
      <c r="M186" s="45">
        <f>49224+1725237</f>
        <v>1774461</v>
      </c>
      <c r="N186" s="45"/>
      <c r="O186" s="45">
        <v>31781</v>
      </c>
      <c r="P186" s="45"/>
      <c r="Q186" s="45">
        <v>1212862</v>
      </c>
      <c r="R186" s="45"/>
      <c r="S186" s="45">
        <f t="shared" si="9"/>
        <v>3019104</v>
      </c>
      <c r="T186" s="45"/>
      <c r="U186" s="44">
        <f>+G186-K186-S186</f>
        <v>0</v>
      </c>
    </row>
    <row r="187" spans="1:21" s="44" customFormat="1" ht="12.75" customHeight="1" x14ac:dyDescent="0.2">
      <c r="A187" s="44" t="s">
        <v>212</v>
      </c>
      <c r="C187" s="44" t="s">
        <v>213</v>
      </c>
      <c r="E187" s="45">
        <f>178041+1998316</f>
        <v>2176357</v>
      </c>
      <c r="F187" s="45"/>
      <c r="G187" s="45">
        <v>11542597</v>
      </c>
      <c r="H187" s="45"/>
      <c r="I187" s="45">
        <v>5243430</v>
      </c>
      <c r="J187" s="45"/>
      <c r="K187" s="45">
        <v>8201882</v>
      </c>
      <c r="L187" s="45"/>
      <c r="M187" s="45">
        <f>104206+4685686+55800</f>
        <v>4845692</v>
      </c>
      <c r="N187" s="45"/>
      <c r="O187" s="45">
        <v>0</v>
      </c>
      <c r="P187" s="45"/>
      <c r="Q187" s="45">
        <v>-1504977</v>
      </c>
      <c r="R187" s="45"/>
      <c r="S187" s="45">
        <f t="shared" si="9"/>
        <v>3340715</v>
      </c>
      <c r="T187" s="45"/>
      <c r="U187" s="44">
        <f t="shared" si="10"/>
        <v>0</v>
      </c>
    </row>
    <row r="188" spans="1:21" s="44" customFormat="1" ht="12.75" hidden="1" customHeight="1" x14ac:dyDescent="0.2">
      <c r="A188" s="44" t="s">
        <v>214</v>
      </c>
      <c r="C188" s="44" t="s">
        <v>86</v>
      </c>
      <c r="E188" s="45">
        <v>8681021</v>
      </c>
      <c r="F188" s="45"/>
      <c r="G188" s="45">
        <v>13207896</v>
      </c>
      <c r="H188" s="45"/>
      <c r="I188" s="45">
        <v>3215161</v>
      </c>
      <c r="J188" s="45"/>
      <c r="K188" s="45">
        <v>4351781</v>
      </c>
      <c r="L188" s="45"/>
      <c r="M188" s="45">
        <f>74671+31508+1668938+200776</f>
        <v>1975893</v>
      </c>
      <c r="N188" s="45"/>
      <c r="O188" s="45">
        <v>593278</v>
      </c>
      <c r="P188" s="45"/>
      <c r="Q188" s="45">
        <v>6286944</v>
      </c>
      <c r="R188" s="45"/>
      <c r="S188" s="45">
        <f t="shared" si="9"/>
        <v>8856115</v>
      </c>
      <c r="T188" s="45"/>
      <c r="U188" s="44">
        <f t="shared" si="10"/>
        <v>0</v>
      </c>
    </row>
    <row r="189" spans="1:21" s="44" customFormat="1" ht="12.75" customHeight="1" x14ac:dyDescent="0.2">
      <c r="A189" s="44" t="s">
        <v>215</v>
      </c>
      <c r="C189" s="44" t="s">
        <v>22</v>
      </c>
      <c r="E189" s="45">
        <f>4954931+469+5190</f>
        <v>4960590</v>
      </c>
      <c r="F189" s="45"/>
      <c r="G189" s="45">
        <v>16546797</v>
      </c>
      <c r="H189" s="45"/>
      <c r="I189" s="45">
        <v>2562469</v>
      </c>
      <c r="J189" s="45"/>
      <c r="K189" s="45">
        <v>3254905</v>
      </c>
      <c r="L189" s="45"/>
      <c r="M189" s="45">
        <f>200828+8347909+1987891</f>
        <v>10536628</v>
      </c>
      <c r="N189" s="45"/>
      <c r="O189" s="45">
        <v>1106144</v>
      </c>
      <c r="P189" s="45"/>
      <c r="Q189" s="45">
        <v>1649120</v>
      </c>
      <c r="R189" s="45"/>
      <c r="S189" s="45">
        <f t="shared" si="9"/>
        <v>13291892</v>
      </c>
      <c r="T189" s="45"/>
      <c r="U189" s="44">
        <f t="shared" si="10"/>
        <v>0</v>
      </c>
    </row>
    <row r="190" spans="1:21" s="44" customFormat="1" ht="12.75" customHeight="1" x14ac:dyDescent="0.2">
      <c r="A190" s="44" t="s">
        <v>216</v>
      </c>
      <c r="C190" s="44" t="s">
        <v>45</v>
      </c>
      <c r="E190" s="45">
        <v>1665794</v>
      </c>
      <c r="F190" s="45"/>
      <c r="G190" s="45">
        <v>6389191</v>
      </c>
      <c r="H190" s="45"/>
      <c r="I190" s="45">
        <v>1981334</v>
      </c>
      <c r="J190" s="45"/>
      <c r="K190" s="45">
        <v>3426942</v>
      </c>
      <c r="L190" s="45"/>
      <c r="M190" s="45">
        <f>1376495+1283484</f>
        <v>2659979</v>
      </c>
      <c r="N190" s="45"/>
      <c r="O190" s="45">
        <v>5104</v>
      </c>
      <c r="P190" s="45"/>
      <c r="Q190" s="45">
        <v>297166</v>
      </c>
      <c r="R190" s="45"/>
      <c r="S190" s="45">
        <f t="shared" si="9"/>
        <v>2962249</v>
      </c>
      <c r="T190" s="45"/>
      <c r="U190" s="44">
        <f t="shared" si="10"/>
        <v>0</v>
      </c>
    </row>
    <row r="191" spans="1:21" s="44" customFormat="1" ht="12.75" customHeight="1" x14ac:dyDescent="0.2">
      <c r="A191" s="44" t="s">
        <v>217</v>
      </c>
      <c r="C191" s="44" t="s">
        <v>43</v>
      </c>
      <c r="E191" s="45">
        <f>6001380+8214092+123480+1294118</f>
        <v>15633070</v>
      </c>
      <c r="F191" s="45"/>
      <c r="G191" s="45">
        <v>21880041</v>
      </c>
      <c r="H191" s="45"/>
      <c r="I191" s="45">
        <v>4455233</v>
      </c>
      <c r="J191" s="45"/>
      <c r="K191" s="45">
        <v>6077258</v>
      </c>
      <c r="L191" s="45"/>
      <c r="M191" s="45">
        <f>265334+4712764+3493802</f>
        <v>8471900</v>
      </c>
      <c r="N191" s="45"/>
      <c r="O191" s="45">
        <v>3691815</v>
      </c>
      <c r="P191" s="45"/>
      <c r="Q191" s="45">
        <v>3639068</v>
      </c>
      <c r="R191" s="45"/>
      <c r="S191" s="45">
        <f t="shared" si="9"/>
        <v>15802783</v>
      </c>
      <c r="T191" s="45"/>
      <c r="U191" s="44">
        <f t="shared" si="10"/>
        <v>0</v>
      </c>
    </row>
    <row r="192" spans="1:21" s="44" customFormat="1" ht="12.75" customHeight="1" x14ac:dyDescent="0.2">
      <c r="A192" s="44" t="s">
        <v>218</v>
      </c>
      <c r="C192" s="44" t="s">
        <v>27</v>
      </c>
      <c r="E192" s="45">
        <f>209029+2263</f>
        <v>211292</v>
      </c>
      <c r="F192" s="45"/>
      <c r="G192" s="45">
        <v>13544964</v>
      </c>
      <c r="H192" s="45"/>
      <c r="I192" s="45">
        <v>10906297</v>
      </c>
      <c r="J192" s="45"/>
      <c r="K192" s="45">
        <v>12967438</v>
      </c>
      <c r="L192" s="45"/>
      <c r="M192" s="45">
        <v>158130</v>
      </c>
      <c r="N192" s="45"/>
      <c r="O192" s="45">
        <v>0</v>
      </c>
      <c r="P192" s="45"/>
      <c r="Q192" s="45">
        <f>719309+448625+74303-822841</f>
        <v>419396</v>
      </c>
      <c r="R192" s="45"/>
      <c r="S192" s="45">
        <f t="shared" si="9"/>
        <v>577526</v>
      </c>
      <c r="T192" s="45"/>
      <c r="U192" s="44">
        <f t="shared" si="10"/>
        <v>0</v>
      </c>
    </row>
    <row r="193" spans="1:22" s="44" customFormat="1" ht="12.75" customHeight="1" x14ac:dyDescent="0.2">
      <c r="A193" s="44" t="s">
        <v>219</v>
      </c>
      <c r="C193" s="44" t="s">
        <v>199</v>
      </c>
      <c r="E193" s="45">
        <f>1879294+2841</f>
        <v>1882135</v>
      </c>
      <c r="F193" s="45"/>
      <c r="G193" s="45">
        <v>3699686</v>
      </c>
      <c r="H193" s="45"/>
      <c r="I193" s="45">
        <v>1259460</v>
      </c>
      <c r="J193" s="45"/>
      <c r="K193" s="45">
        <v>1608145</v>
      </c>
      <c r="L193" s="45"/>
      <c r="M193" s="45">
        <f>36464+1295310+5945</f>
        <v>1337719</v>
      </c>
      <c r="N193" s="45"/>
      <c r="O193" s="45">
        <v>219133</v>
      </c>
      <c r="P193" s="45"/>
      <c r="Q193" s="45">
        <v>534689</v>
      </c>
      <c r="R193" s="45"/>
      <c r="S193" s="45">
        <f t="shared" si="9"/>
        <v>2091541</v>
      </c>
      <c r="T193" s="45"/>
      <c r="U193" s="44">
        <f t="shared" si="10"/>
        <v>0</v>
      </c>
    </row>
    <row r="194" spans="1:22" s="44" customFormat="1" ht="12.75" customHeight="1" x14ac:dyDescent="0.2">
      <c r="A194" s="44" t="s">
        <v>220</v>
      </c>
      <c r="C194" s="44" t="s">
        <v>66</v>
      </c>
      <c r="E194" s="45">
        <f>9837111+278856</f>
        <v>10115967</v>
      </c>
      <c r="F194" s="45"/>
      <c r="G194" s="45">
        <v>15386408</v>
      </c>
      <c r="H194" s="45"/>
      <c r="I194" s="45">
        <v>4656687</v>
      </c>
      <c r="J194" s="45"/>
      <c r="K194" s="45">
        <v>5443079</v>
      </c>
      <c r="L194" s="45"/>
      <c r="M194" s="45">
        <f>109941+1567286+855</f>
        <v>1678082</v>
      </c>
      <c r="N194" s="45"/>
      <c r="O194" s="45">
        <v>138053</v>
      </c>
      <c r="P194" s="45"/>
      <c r="Q194" s="45">
        <v>8127194</v>
      </c>
      <c r="R194" s="45"/>
      <c r="S194" s="45">
        <f t="shared" si="9"/>
        <v>9943329</v>
      </c>
      <c r="T194" s="45"/>
      <c r="U194" s="44">
        <f t="shared" si="10"/>
        <v>0</v>
      </c>
    </row>
    <row r="195" spans="1:22" s="44" customFormat="1" ht="12.75" customHeight="1" x14ac:dyDescent="0.2">
      <c r="A195" s="44" t="s">
        <v>221</v>
      </c>
      <c r="C195" s="44" t="s">
        <v>27</v>
      </c>
      <c r="E195" s="45">
        <v>8941560</v>
      </c>
      <c r="F195" s="45"/>
      <c r="G195" s="45">
        <v>21398330</v>
      </c>
      <c r="H195" s="45"/>
      <c r="I195" s="45">
        <v>9697657</v>
      </c>
      <c r="J195" s="45"/>
      <c r="K195" s="45">
        <v>12257384</v>
      </c>
      <c r="L195" s="45"/>
      <c r="M195" s="45">
        <f>137486+6054235</f>
        <v>6191721</v>
      </c>
      <c r="N195" s="45"/>
      <c r="O195" s="45">
        <v>73625</v>
      </c>
      <c r="P195" s="45"/>
      <c r="Q195" s="45">
        <v>2875600</v>
      </c>
      <c r="R195" s="45"/>
      <c r="S195" s="45">
        <f t="shared" si="9"/>
        <v>9140946</v>
      </c>
      <c r="T195" s="45"/>
      <c r="U195" s="44">
        <f t="shared" si="10"/>
        <v>0</v>
      </c>
    </row>
    <row r="196" spans="1:22" s="44" customFormat="1" ht="12.75" customHeight="1" x14ac:dyDescent="0.2">
      <c r="A196" s="44" t="s">
        <v>222</v>
      </c>
      <c r="C196" s="44" t="s">
        <v>47</v>
      </c>
      <c r="E196" s="45">
        <v>7972610</v>
      </c>
      <c r="F196" s="45"/>
      <c r="G196" s="45">
        <v>12065659</v>
      </c>
      <c r="H196" s="45"/>
      <c r="I196" s="45">
        <v>3281975</v>
      </c>
      <c r="J196" s="45"/>
      <c r="K196" s="45">
        <v>4556665</v>
      </c>
      <c r="L196" s="45"/>
      <c r="M196" s="45">
        <f>7508994-150964-3750103</f>
        <v>3607927</v>
      </c>
      <c r="N196" s="45"/>
      <c r="O196" s="45">
        <v>150964</v>
      </c>
      <c r="P196" s="45"/>
      <c r="Q196" s="45">
        <v>3750103</v>
      </c>
      <c r="R196" s="45"/>
      <c r="S196" s="45">
        <f t="shared" si="9"/>
        <v>7508994</v>
      </c>
      <c r="T196" s="45"/>
      <c r="U196" s="44">
        <f t="shared" si="10"/>
        <v>0</v>
      </c>
    </row>
    <row r="197" spans="1:22" s="44" customFormat="1" ht="12.75" customHeight="1" x14ac:dyDescent="0.2">
      <c r="A197" s="44" t="s">
        <v>223</v>
      </c>
      <c r="C197" s="44" t="s">
        <v>94</v>
      </c>
      <c r="E197" s="45">
        <f>2331491+1330</f>
        <v>2332821</v>
      </c>
      <c r="F197" s="45"/>
      <c r="G197" s="45">
        <v>5810684</v>
      </c>
      <c r="H197" s="45"/>
      <c r="I197" s="45">
        <v>2507745</v>
      </c>
      <c r="J197" s="45"/>
      <c r="K197" s="45">
        <v>3919370</v>
      </c>
      <c r="L197" s="45"/>
      <c r="M197" s="45">
        <f>178511+1019808+183703</f>
        <v>1382022</v>
      </c>
      <c r="N197" s="45"/>
      <c r="O197" s="45">
        <v>114347</v>
      </c>
      <c r="P197" s="45"/>
      <c r="Q197" s="45">
        <v>394945</v>
      </c>
      <c r="R197" s="45"/>
      <c r="S197" s="45">
        <f t="shared" si="9"/>
        <v>1891314</v>
      </c>
      <c r="T197" s="45"/>
      <c r="U197" s="44">
        <f t="shared" si="10"/>
        <v>0</v>
      </c>
    </row>
    <row r="198" spans="1:22" s="44" customFormat="1" ht="12.75" customHeight="1" x14ac:dyDescent="0.2">
      <c r="A198" s="44" t="s">
        <v>76</v>
      </c>
      <c r="C198" s="44" t="s">
        <v>132</v>
      </c>
      <c r="E198" s="45">
        <f>9693024+28566+97873</f>
        <v>9819463</v>
      </c>
      <c r="F198" s="45"/>
      <c r="G198" s="45">
        <v>26035610</v>
      </c>
      <c r="H198" s="45"/>
      <c r="I198" s="45">
        <v>12696531</v>
      </c>
      <c r="J198" s="45"/>
      <c r="K198" s="45">
        <v>20795192</v>
      </c>
      <c r="L198" s="45"/>
      <c r="M198" s="45">
        <f>319219+5308988+42338</f>
        <v>5670545</v>
      </c>
      <c r="N198" s="45"/>
      <c r="O198" s="45">
        <v>281308</v>
      </c>
      <c r="P198" s="45"/>
      <c r="Q198" s="45">
        <v>-711435</v>
      </c>
      <c r="R198" s="45"/>
      <c r="S198" s="45">
        <f t="shared" si="9"/>
        <v>5240418</v>
      </c>
      <c r="T198" s="45"/>
      <c r="U198" s="44">
        <f t="shared" si="10"/>
        <v>0</v>
      </c>
    </row>
    <row r="199" spans="1:22" s="44" customFormat="1" ht="12.75" customHeight="1" x14ac:dyDescent="0.2">
      <c r="A199" s="44" t="s">
        <v>224</v>
      </c>
      <c r="C199" s="44" t="s">
        <v>27</v>
      </c>
      <c r="E199" s="45">
        <v>5143331</v>
      </c>
      <c r="F199" s="45"/>
      <c r="G199" s="45">
        <v>13193733</v>
      </c>
      <c r="H199" s="45"/>
      <c r="I199" s="45">
        <v>6540505</v>
      </c>
      <c r="J199" s="45"/>
      <c r="K199" s="45">
        <v>9507665</v>
      </c>
      <c r="L199" s="45"/>
      <c r="M199" s="45">
        <f>70703+2124659+310980</f>
        <v>2506342</v>
      </c>
      <c r="N199" s="45"/>
      <c r="O199" s="45">
        <v>132753</v>
      </c>
      <c r="P199" s="45"/>
      <c r="Q199" s="45">
        <v>1046973</v>
      </c>
      <c r="R199" s="45"/>
      <c r="S199" s="45">
        <f t="shared" ref="S199:S262" si="11">+Q199+O199+M199</f>
        <v>3686068</v>
      </c>
      <c r="T199" s="45"/>
      <c r="U199" s="44">
        <f t="shared" si="10"/>
        <v>0</v>
      </c>
    </row>
    <row r="200" spans="1:22" s="44" customFormat="1" ht="12.75" customHeight="1" x14ac:dyDescent="0.2">
      <c r="A200" s="44" t="s">
        <v>225</v>
      </c>
      <c r="C200" s="44" t="s">
        <v>27</v>
      </c>
      <c r="E200" s="45">
        <v>34954715</v>
      </c>
      <c r="F200" s="45"/>
      <c r="G200" s="45">
        <v>59656533</v>
      </c>
      <c r="H200" s="45"/>
      <c r="I200" s="45">
        <v>19215267</v>
      </c>
      <c r="J200" s="45"/>
      <c r="K200" s="45">
        <v>21936315</v>
      </c>
      <c r="L200" s="45"/>
      <c r="M200" s="45">
        <f>150924+3623543+16249039</f>
        <v>20023506</v>
      </c>
      <c r="N200" s="45"/>
      <c r="O200" s="45">
        <v>6729633</v>
      </c>
      <c r="P200" s="45"/>
      <c r="Q200" s="45">
        <v>10967079</v>
      </c>
      <c r="R200" s="45"/>
      <c r="S200" s="45">
        <f t="shared" si="11"/>
        <v>37720218</v>
      </c>
      <c r="T200" s="45"/>
      <c r="U200" s="44">
        <f t="shared" si="10"/>
        <v>0</v>
      </c>
    </row>
    <row r="201" spans="1:22" s="44" customFormat="1" ht="12.75" customHeight="1" x14ac:dyDescent="0.2">
      <c r="A201" s="44" t="s">
        <v>226</v>
      </c>
      <c r="C201" s="44" t="s">
        <v>45</v>
      </c>
      <c r="E201" s="45">
        <v>13160020</v>
      </c>
      <c r="F201" s="45"/>
      <c r="G201" s="45">
        <v>21540031</v>
      </c>
      <c r="H201" s="45"/>
      <c r="I201" s="45">
        <v>4633086</v>
      </c>
      <c r="J201" s="45"/>
      <c r="K201" s="45">
        <v>10728856</v>
      </c>
      <c r="L201" s="45"/>
      <c r="M201" s="45">
        <f>190806+5184934+310180</f>
        <v>5685920</v>
      </c>
      <c r="N201" s="45"/>
      <c r="O201" s="45">
        <v>286206</v>
      </c>
      <c r="P201" s="45"/>
      <c r="Q201" s="45">
        <v>4839049</v>
      </c>
      <c r="R201" s="45"/>
      <c r="S201" s="45">
        <f t="shared" si="11"/>
        <v>10811175</v>
      </c>
      <c r="T201" s="45"/>
      <c r="U201" s="44">
        <f t="shared" si="10"/>
        <v>0</v>
      </c>
    </row>
    <row r="202" spans="1:22" s="46" customFormat="1" ht="12.75" customHeight="1" x14ac:dyDescent="0.2">
      <c r="A202" s="46" t="s">
        <v>227</v>
      </c>
      <c r="C202" s="46" t="s">
        <v>17</v>
      </c>
      <c r="E202" s="45">
        <v>1102342</v>
      </c>
      <c r="F202" s="45"/>
      <c r="G202" s="45">
        <v>8535492</v>
      </c>
      <c r="H202" s="45"/>
      <c r="I202" s="45">
        <v>3043018</v>
      </c>
      <c r="J202" s="45"/>
      <c r="K202" s="45">
        <v>6620342</v>
      </c>
      <c r="L202" s="45"/>
      <c r="M202" s="45">
        <f>39005+1318834</f>
        <v>1357839</v>
      </c>
      <c r="N202" s="45"/>
      <c r="O202" s="45">
        <v>137464</v>
      </c>
      <c r="P202" s="45"/>
      <c r="Q202" s="45">
        <v>419847</v>
      </c>
      <c r="R202" s="45"/>
      <c r="S202" s="45">
        <f t="shared" si="11"/>
        <v>1915150</v>
      </c>
      <c r="T202" s="45"/>
      <c r="U202" s="44">
        <f t="shared" si="10"/>
        <v>0</v>
      </c>
    </row>
    <row r="203" spans="1:22" s="44" customFormat="1" ht="12.75" customHeight="1" x14ac:dyDescent="0.2">
      <c r="A203" s="44" t="s">
        <v>228</v>
      </c>
      <c r="C203" s="44" t="s">
        <v>153</v>
      </c>
      <c r="E203" s="45">
        <v>10237777</v>
      </c>
      <c r="F203" s="45"/>
      <c r="G203" s="45">
        <v>12413322</v>
      </c>
      <c r="H203" s="45"/>
      <c r="I203" s="45">
        <v>1245952</v>
      </c>
      <c r="J203" s="45"/>
      <c r="K203" s="45">
        <v>1690760</v>
      </c>
      <c r="L203" s="45"/>
      <c r="M203" s="45">
        <f>200575+9441722</f>
        <v>9642297</v>
      </c>
      <c r="N203" s="45"/>
      <c r="O203" s="45">
        <v>116964</v>
      </c>
      <c r="P203" s="45"/>
      <c r="Q203" s="45">
        <v>963301</v>
      </c>
      <c r="R203" s="45"/>
      <c r="S203" s="45">
        <f t="shared" si="11"/>
        <v>10722562</v>
      </c>
      <c r="T203" s="45"/>
      <c r="U203" s="44">
        <f t="shared" si="10"/>
        <v>0</v>
      </c>
    </row>
    <row r="204" spans="1:22" s="44" customFormat="1" ht="12.75" customHeight="1" x14ac:dyDescent="0.2">
      <c r="A204" s="44" t="s">
        <v>229</v>
      </c>
      <c r="C204" s="44" t="s">
        <v>228</v>
      </c>
      <c r="E204" s="45">
        <f>8735783+6998+649937</f>
        <v>9392718</v>
      </c>
      <c r="F204" s="45"/>
      <c r="G204" s="45">
        <v>16397530</v>
      </c>
      <c r="H204" s="45"/>
      <c r="I204" s="45">
        <v>5043657</v>
      </c>
      <c r="J204" s="45"/>
      <c r="K204" s="45">
        <v>7383783</v>
      </c>
      <c r="L204" s="45"/>
      <c r="M204" s="45">
        <f>184054+2210796+3439021</f>
        <v>5833871</v>
      </c>
      <c r="N204" s="45"/>
      <c r="O204" s="45">
        <v>1545467</v>
      </c>
      <c r="P204" s="45"/>
      <c r="Q204" s="45">
        <v>1634409</v>
      </c>
      <c r="R204" s="45"/>
      <c r="S204" s="45">
        <f t="shared" si="11"/>
        <v>9013747</v>
      </c>
      <c r="T204" s="45"/>
      <c r="U204" s="44">
        <f t="shared" si="10"/>
        <v>0</v>
      </c>
    </row>
    <row r="205" spans="1:22" s="121" customFormat="1" ht="12.75" hidden="1" customHeight="1" x14ac:dyDescent="0.2">
      <c r="A205" s="121" t="s">
        <v>230</v>
      </c>
      <c r="C205" s="121" t="s">
        <v>45</v>
      </c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>
        <f t="shared" si="11"/>
        <v>0</v>
      </c>
      <c r="T205" s="127"/>
      <c r="U205" s="121">
        <f t="shared" si="10"/>
        <v>0</v>
      </c>
      <c r="V205" s="121" t="s">
        <v>509</v>
      </c>
    </row>
    <row r="206" spans="1:22" s="44" customFormat="1" ht="12.75" customHeight="1" x14ac:dyDescent="0.2">
      <c r="A206" s="44" t="s">
        <v>231</v>
      </c>
      <c r="C206" s="44" t="s">
        <v>27</v>
      </c>
      <c r="E206" s="45">
        <f>33831901+98605</f>
        <v>33930506</v>
      </c>
      <c r="F206" s="45"/>
      <c r="G206" s="45">
        <v>51673077</v>
      </c>
      <c r="H206" s="45"/>
      <c r="I206" s="45">
        <v>12837979</v>
      </c>
      <c r="J206" s="45"/>
      <c r="K206" s="45">
        <v>17789743</v>
      </c>
      <c r="L206" s="45"/>
      <c r="M206" s="45">
        <f>732687+9577564+2016512</f>
        <v>12326763</v>
      </c>
      <c r="N206" s="45"/>
      <c r="O206" s="45">
        <v>909960</v>
      </c>
      <c r="P206" s="45"/>
      <c r="Q206" s="45">
        <v>20646611</v>
      </c>
      <c r="R206" s="45"/>
      <c r="S206" s="45">
        <f t="shared" si="11"/>
        <v>33883334</v>
      </c>
      <c r="T206" s="45"/>
      <c r="U206" s="44">
        <f t="shared" si="10"/>
        <v>0</v>
      </c>
    </row>
    <row r="207" spans="1:22" s="44" customFormat="1" ht="12.75" customHeight="1" x14ac:dyDescent="0.2">
      <c r="A207" s="44" t="s">
        <v>232</v>
      </c>
      <c r="C207" s="44" t="s">
        <v>27</v>
      </c>
      <c r="E207" s="45">
        <f>11941913+65099</f>
        <v>12007012</v>
      </c>
      <c r="F207" s="45"/>
      <c r="G207" s="45">
        <v>29561602</v>
      </c>
      <c r="H207" s="45"/>
      <c r="I207" s="45">
        <v>13478463</v>
      </c>
      <c r="J207" s="45"/>
      <c r="K207" s="45">
        <v>34640030</v>
      </c>
      <c r="L207" s="45"/>
      <c r="M207" s="45">
        <f>289398+6707464+2544</f>
        <v>6999406</v>
      </c>
      <c r="N207" s="45"/>
      <c r="O207" s="45">
        <v>112574</v>
      </c>
      <c r="P207" s="45"/>
      <c r="Q207" s="45">
        <v>-12190408</v>
      </c>
      <c r="R207" s="45"/>
      <c r="S207" s="45">
        <f t="shared" si="11"/>
        <v>-5078428</v>
      </c>
      <c r="T207" s="45"/>
      <c r="U207" s="44">
        <f t="shared" si="10"/>
        <v>0</v>
      </c>
    </row>
    <row r="208" spans="1:22" s="44" customFormat="1" ht="12.75" customHeight="1" x14ac:dyDescent="0.2">
      <c r="A208" s="44" t="s">
        <v>233</v>
      </c>
      <c r="C208" s="44" t="s">
        <v>111</v>
      </c>
      <c r="E208" s="45">
        <f>3203764+11203347</f>
        <v>14407111</v>
      </c>
      <c r="F208" s="45"/>
      <c r="G208" s="45">
        <v>25106032</v>
      </c>
      <c r="H208" s="45"/>
      <c r="I208" s="45">
        <v>5711817</v>
      </c>
      <c r="J208" s="45"/>
      <c r="K208" s="45">
        <v>9667894</v>
      </c>
      <c r="L208" s="45"/>
      <c r="M208" s="45">
        <f>224211+6024164</f>
        <v>6248375</v>
      </c>
      <c r="N208" s="45"/>
      <c r="O208" s="45">
        <v>499898</v>
      </c>
      <c r="P208" s="45"/>
      <c r="Q208" s="45">
        <v>8689865</v>
      </c>
      <c r="R208" s="45"/>
      <c r="S208" s="45">
        <f t="shared" si="11"/>
        <v>15438138</v>
      </c>
      <c r="T208" s="45"/>
      <c r="U208" s="44">
        <f>+G208-K208-S208</f>
        <v>0</v>
      </c>
    </row>
    <row r="209" spans="1:22" s="44" customFormat="1" ht="12.75" customHeight="1" x14ac:dyDescent="0.2">
      <c r="A209" s="44" t="s">
        <v>234</v>
      </c>
      <c r="C209" s="44" t="s">
        <v>45</v>
      </c>
      <c r="E209" s="45">
        <f>6358260+174638</f>
        <v>6532898</v>
      </c>
      <c r="F209" s="45"/>
      <c r="G209" s="45">
        <v>13728228</v>
      </c>
      <c r="H209" s="45"/>
      <c r="I209" s="45">
        <v>3431094</v>
      </c>
      <c r="J209" s="45"/>
      <c r="K209" s="45">
        <v>5784983</v>
      </c>
      <c r="L209" s="45"/>
      <c r="M209" s="45">
        <f>825504+1389495+3335</f>
        <v>2218334</v>
      </c>
      <c r="N209" s="45"/>
      <c r="O209" s="45">
        <v>655631</v>
      </c>
      <c r="P209" s="45"/>
      <c r="Q209" s="45">
        <v>5069280</v>
      </c>
      <c r="R209" s="45"/>
      <c r="S209" s="45">
        <f t="shared" si="11"/>
        <v>7943245</v>
      </c>
      <c r="T209" s="45"/>
      <c r="U209" s="44">
        <f>+G209-K209-S209</f>
        <v>0</v>
      </c>
    </row>
    <row r="210" spans="1:22" s="44" customFormat="1" ht="12.75" customHeight="1" x14ac:dyDescent="0.2">
      <c r="A210" s="44" t="s">
        <v>235</v>
      </c>
      <c r="C210" s="44" t="s">
        <v>183</v>
      </c>
      <c r="E210" s="45">
        <f>16027107+798020</f>
        <v>16825127</v>
      </c>
      <c r="F210" s="45"/>
      <c r="G210" s="45">
        <v>54116394</v>
      </c>
      <c r="H210" s="45"/>
      <c r="I210" s="45">
        <v>12495695</v>
      </c>
      <c r="J210" s="45"/>
      <c r="K210" s="45">
        <v>19464619</v>
      </c>
      <c r="L210" s="45"/>
      <c r="M210" s="45">
        <f>917834+27003184+3594857</f>
        <v>31515875</v>
      </c>
      <c r="N210" s="45"/>
      <c r="O210" s="45">
        <v>240883</v>
      </c>
      <c r="P210" s="45"/>
      <c r="Q210" s="45">
        <v>2895017</v>
      </c>
      <c r="R210" s="45"/>
      <c r="S210" s="45">
        <f t="shared" si="11"/>
        <v>34651775</v>
      </c>
      <c r="T210" s="45"/>
      <c r="U210" s="44">
        <f t="shared" si="10"/>
        <v>0</v>
      </c>
    </row>
    <row r="211" spans="1:22" s="44" customFormat="1" ht="12.75" customHeight="1" x14ac:dyDescent="0.2">
      <c r="A211" s="44" t="s">
        <v>236</v>
      </c>
      <c r="C211" s="44" t="s">
        <v>45</v>
      </c>
      <c r="E211" s="45">
        <f>6302347+177007+6303</f>
        <v>6485657</v>
      </c>
      <c r="F211" s="45"/>
      <c r="G211" s="45">
        <v>9006148</v>
      </c>
      <c r="H211" s="45"/>
      <c r="I211" s="45">
        <v>1110451</v>
      </c>
      <c r="J211" s="45"/>
      <c r="K211" s="45">
        <v>2829281</v>
      </c>
      <c r="L211" s="45"/>
      <c r="M211" s="45">
        <f>121706+2158582+151562</f>
        <v>2431850</v>
      </c>
      <c r="N211" s="45"/>
      <c r="O211" s="45">
        <v>25557</v>
      </c>
      <c r="P211" s="45"/>
      <c r="Q211" s="45">
        <v>3719460</v>
      </c>
      <c r="R211" s="45"/>
      <c r="S211" s="45">
        <f t="shared" si="11"/>
        <v>6176867</v>
      </c>
      <c r="T211" s="45"/>
      <c r="U211" s="44">
        <f t="shared" si="10"/>
        <v>0</v>
      </c>
    </row>
    <row r="212" spans="1:22" s="44" customFormat="1" ht="12.75" customHeight="1" x14ac:dyDescent="0.2">
      <c r="A212" s="44" t="s">
        <v>237</v>
      </c>
      <c r="C212" s="44" t="s">
        <v>33</v>
      </c>
      <c r="E212" s="45">
        <f>387622+725</f>
        <v>388347</v>
      </c>
      <c r="F212" s="45"/>
      <c r="G212" s="45">
        <v>3610249</v>
      </c>
      <c r="H212" s="45"/>
      <c r="I212" s="45">
        <v>2027800</v>
      </c>
      <c r="J212" s="45"/>
      <c r="K212" s="45">
        <v>2601927</v>
      </c>
      <c r="L212" s="45"/>
      <c r="M212" s="45">
        <f>151774+895886+68160</f>
        <v>1115820</v>
      </c>
      <c r="N212" s="45"/>
      <c r="O212" s="45">
        <v>0</v>
      </c>
      <c r="P212" s="45"/>
      <c r="Q212" s="45">
        <v>-107498</v>
      </c>
      <c r="R212" s="45"/>
      <c r="S212" s="45">
        <f t="shared" si="11"/>
        <v>1008322</v>
      </c>
      <c r="T212" s="45"/>
      <c r="U212" s="44">
        <f t="shared" si="10"/>
        <v>0</v>
      </c>
    </row>
    <row r="213" spans="1:22" s="44" customFormat="1" ht="12.75" customHeight="1" x14ac:dyDescent="0.2">
      <c r="A213" s="44" t="s">
        <v>238</v>
      </c>
      <c r="C213" s="44" t="s">
        <v>239</v>
      </c>
      <c r="E213" s="45">
        <f>11199708+9371</f>
        <v>11209079</v>
      </c>
      <c r="F213" s="45"/>
      <c r="G213" s="45">
        <v>14803480</v>
      </c>
      <c r="H213" s="45"/>
      <c r="I213" s="45">
        <v>940003</v>
      </c>
      <c r="J213" s="45"/>
      <c r="K213" s="45">
        <v>1824314</v>
      </c>
      <c r="L213" s="45"/>
      <c r="M213" s="45">
        <f>104456+6592955+2590913</f>
        <v>9288324</v>
      </c>
      <c r="N213" s="45"/>
      <c r="O213" s="45">
        <v>2587289</v>
      </c>
      <c r="P213" s="45"/>
      <c r="Q213" s="45">
        <v>1103553</v>
      </c>
      <c r="R213" s="45"/>
      <c r="S213" s="45">
        <f t="shared" si="11"/>
        <v>12979166</v>
      </c>
      <c r="T213" s="45"/>
      <c r="U213" s="44">
        <f t="shared" si="10"/>
        <v>0</v>
      </c>
    </row>
    <row r="214" spans="1:22" s="44" customFormat="1" ht="12.75" customHeight="1" x14ac:dyDescent="0.2">
      <c r="A214" s="44" t="s">
        <v>486</v>
      </c>
      <c r="C214" s="44" t="s">
        <v>249</v>
      </c>
      <c r="E214" s="45">
        <v>4942493</v>
      </c>
      <c r="F214" s="45"/>
      <c r="G214" s="45">
        <v>14231201</v>
      </c>
      <c r="H214" s="45"/>
      <c r="I214" s="45">
        <v>5541947</v>
      </c>
      <c r="J214" s="45"/>
      <c r="K214" s="45">
        <v>9196115</v>
      </c>
      <c r="L214" s="45"/>
      <c r="M214" s="45">
        <f>472577+2138752+2440719</f>
        <v>5052048</v>
      </c>
      <c r="N214" s="45"/>
      <c r="O214" s="45">
        <v>93057</v>
      </c>
      <c r="P214" s="45"/>
      <c r="Q214" s="45">
        <v>-110019</v>
      </c>
      <c r="R214" s="45"/>
      <c r="S214" s="45">
        <f t="shared" si="11"/>
        <v>5035086</v>
      </c>
      <c r="T214" s="45"/>
      <c r="U214" s="44">
        <f>+G214-K214-S214</f>
        <v>0</v>
      </c>
    </row>
    <row r="215" spans="1:22" s="44" customFormat="1" ht="12.75" customHeight="1" x14ac:dyDescent="0.2">
      <c r="A215" s="44" t="s">
        <v>240</v>
      </c>
      <c r="C215" s="44" t="s">
        <v>13</v>
      </c>
      <c r="E215" s="45">
        <v>12113051</v>
      </c>
      <c r="F215" s="45"/>
      <c r="G215" s="45">
        <v>24203851</v>
      </c>
      <c r="H215" s="45"/>
      <c r="I215" s="45">
        <v>2245369</v>
      </c>
      <c r="J215" s="45"/>
      <c r="K215" s="45">
        <v>11796620</v>
      </c>
      <c r="L215" s="45"/>
      <c r="M215" s="45">
        <f>853909+5573548+1493190</f>
        <v>7920647</v>
      </c>
      <c r="N215" s="45"/>
      <c r="O215" s="45">
        <v>3224752</v>
      </c>
      <c r="P215" s="45"/>
      <c r="Q215" s="45">
        <v>1261832</v>
      </c>
      <c r="R215" s="45"/>
      <c r="S215" s="45">
        <f t="shared" si="11"/>
        <v>12407231</v>
      </c>
      <c r="T215" s="45"/>
      <c r="U215" s="44">
        <f t="shared" si="10"/>
        <v>0</v>
      </c>
    </row>
    <row r="216" spans="1:22" s="44" customFormat="1" ht="12.75" customHeight="1" x14ac:dyDescent="0.2">
      <c r="A216" s="44" t="s">
        <v>241</v>
      </c>
      <c r="C216" s="44" t="s">
        <v>22</v>
      </c>
      <c r="E216" s="45">
        <v>5056124</v>
      </c>
      <c r="F216" s="45"/>
      <c r="G216" s="45">
        <v>10600973</v>
      </c>
      <c r="H216" s="45"/>
      <c r="I216" s="45">
        <v>2118413</v>
      </c>
      <c r="J216" s="45"/>
      <c r="K216" s="45">
        <v>3908153</v>
      </c>
      <c r="L216" s="45"/>
      <c r="M216" s="45">
        <f>180458+1756997+1921553</f>
        <v>3859008</v>
      </c>
      <c r="N216" s="45"/>
      <c r="O216" s="45">
        <v>557660</v>
      </c>
      <c r="P216" s="45"/>
      <c r="Q216" s="45">
        <v>2276152</v>
      </c>
      <c r="R216" s="45"/>
      <c r="S216" s="45">
        <f t="shared" si="11"/>
        <v>6692820</v>
      </c>
      <c r="T216" s="45"/>
      <c r="U216" s="44">
        <f t="shared" si="10"/>
        <v>0</v>
      </c>
    </row>
    <row r="217" spans="1:22" s="44" customFormat="1" ht="12.75" customHeight="1" x14ac:dyDescent="0.2">
      <c r="A217" s="44" t="s">
        <v>242</v>
      </c>
      <c r="C217" s="44" t="s">
        <v>27</v>
      </c>
      <c r="E217" s="45">
        <v>22227680</v>
      </c>
      <c r="F217" s="45"/>
      <c r="G217" s="45">
        <v>45526628</v>
      </c>
      <c r="H217" s="45"/>
      <c r="I217" s="45">
        <v>15907421</v>
      </c>
      <c r="J217" s="45"/>
      <c r="K217" s="45">
        <v>27427305</v>
      </c>
      <c r="L217" s="45"/>
      <c r="M217" s="45">
        <f>875553+7100443+3772189</f>
        <v>11748185</v>
      </c>
      <c r="N217" s="45"/>
      <c r="O217" s="45">
        <v>93058</v>
      </c>
      <c r="P217" s="45"/>
      <c r="Q217" s="45">
        <v>6258080</v>
      </c>
      <c r="R217" s="45"/>
      <c r="S217" s="45">
        <f t="shared" si="11"/>
        <v>18099323</v>
      </c>
      <c r="T217" s="45"/>
      <c r="U217" s="44">
        <f t="shared" si="10"/>
        <v>0</v>
      </c>
    </row>
    <row r="218" spans="1:22" s="44" customFormat="1" ht="12.75" customHeight="1" x14ac:dyDescent="0.2">
      <c r="A218" s="44" t="s">
        <v>243</v>
      </c>
      <c r="C218" s="44" t="s">
        <v>163</v>
      </c>
      <c r="E218" s="45">
        <f>2900366+16274100</f>
        <v>19174466</v>
      </c>
      <c r="F218" s="45"/>
      <c r="G218" s="45">
        <v>25620696</v>
      </c>
      <c r="H218" s="45"/>
      <c r="I218" s="45">
        <v>3978265</v>
      </c>
      <c r="J218" s="45"/>
      <c r="K218" s="45">
        <v>4735184</v>
      </c>
      <c r="L218" s="45"/>
      <c r="M218" s="45">
        <f>757924+1384731+14376248</f>
        <v>16518903</v>
      </c>
      <c r="N218" s="45"/>
      <c r="O218" s="45">
        <v>8857</v>
      </c>
      <c r="P218" s="45"/>
      <c r="Q218" s="45">
        <v>4357752</v>
      </c>
      <c r="R218" s="45"/>
      <c r="S218" s="45">
        <f t="shared" si="11"/>
        <v>20885512</v>
      </c>
      <c r="T218" s="45"/>
      <c r="U218" s="44">
        <f t="shared" ref="U218:U262" si="12">+G218-K218-S218</f>
        <v>0</v>
      </c>
    </row>
    <row r="219" spans="1:22" s="44" customFormat="1" ht="12.75" customHeight="1" x14ac:dyDescent="0.2"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8" t="s">
        <v>484</v>
      </c>
      <c r="T219" s="45"/>
    </row>
    <row r="220" spans="1:22" s="44" customFormat="1" ht="12.75" customHeight="1" x14ac:dyDescent="0.2">
      <c r="A220" s="44" t="s">
        <v>244</v>
      </c>
      <c r="C220" s="44" t="s">
        <v>13</v>
      </c>
      <c r="E220" s="94">
        <v>5934773</v>
      </c>
      <c r="F220" s="94"/>
      <c r="G220" s="94">
        <v>12667397</v>
      </c>
      <c r="H220" s="94"/>
      <c r="I220" s="94">
        <v>2299723</v>
      </c>
      <c r="J220" s="94"/>
      <c r="K220" s="94">
        <v>5769322</v>
      </c>
      <c r="L220" s="94"/>
      <c r="M220" s="94">
        <f>177994+1199294</f>
        <v>1377288</v>
      </c>
      <c r="N220" s="94"/>
      <c r="O220" s="94">
        <v>304353</v>
      </c>
      <c r="P220" s="94"/>
      <c r="Q220" s="94">
        <v>5216434</v>
      </c>
      <c r="R220" s="94"/>
      <c r="S220" s="94">
        <f t="shared" si="11"/>
        <v>6898075</v>
      </c>
      <c r="T220" s="45"/>
      <c r="U220" s="44">
        <f t="shared" si="12"/>
        <v>0</v>
      </c>
    </row>
    <row r="221" spans="1:22" s="44" customFormat="1" ht="12.75" customHeight="1" x14ac:dyDescent="0.2">
      <c r="A221" s="44" t="s">
        <v>245</v>
      </c>
      <c r="C221" s="44" t="s">
        <v>110</v>
      </c>
      <c r="E221" s="45">
        <v>3279271</v>
      </c>
      <c r="F221" s="45"/>
      <c r="G221" s="45">
        <v>8875908</v>
      </c>
      <c r="H221" s="45"/>
      <c r="I221" s="45">
        <v>3149360</v>
      </c>
      <c r="J221" s="45"/>
      <c r="K221" s="45">
        <v>4603264</v>
      </c>
      <c r="L221" s="45"/>
      <c r="M221" s="45">
        <f>164380+1984306+1306250</f>
        <v>3454936</v>
      </c>
      <c r="N221" s="45"/>
      <c r="O221" s="45">
        <v>29860</v>
      </c>
      <c r="P221" s="45"/>
      <c r="Q221" s="45">
        <v>787848</v>
      </c>
      <c r="R221" s="45"/>
      <c r="S221" s="45">
        <f t="shared" si="11"/>
        <v>4272644</v>
      </c>
      <c r="T221" s="45"/>
      <c r="U221" s="44">
        <f t="shared" si="12"/>
        <v>0</v>
      </c>
    </row>
    <row r="222" spans="1:22" s="44" customFormat="1" ht="12.75" customHeight="1" x14ac:dyDescent="0.2">
      <c r="A222" s="44" t="s">
        <v>246</v>
      </c>
      <c r="C222" s="44" t="s">
        <v>209</v>
      </c>
      <c r="E222" s="45">
        <f>3240130+2252062</f>
        <v>5492192</v>
      </c>
      <c r="F222" s="45"/>
      <c r="G222" s="45">
        <v>9440202</v>
      </c>
      <c r="H222" s="45"/>
      <c r="I222" s="45">
        <v>2464743</v>
      </c>
      <c r="J222" s="45"/>
      <c r="K222" s="45">
        <v>3946323</v>
      </c>
      <c r="L222" s="45"/>
      <c r="M222" s="45">
        <f>191213+1626209+73056</f>
        <v>1890478</v>
      </c>
      <c r="N222" s="45"/>
      <c r="O222" s="45">
        <v>182888</v>
      </c>
      <c r="P222" s="45"/>
      <c r="Q222" s="45">
        <v>3420513</v>
      </c>
      <c r="R222" s="45"/>
      <c r="S222" s="45">
        <f t="shared" si="11"/>
        <v>5493879</v>
      </c>
      <c r="T222" s="45"/>
      <c r="U222" s="44">
        <f>+G222-K222-S222</f>
        <v>0</v>
      </c>
    </row>
    <row r="223" spans="1:22" s="121" customFormat="1" ht="12.75" hidden="1" customHeight="1" x14ac:dyDescent="0.2">
      <c r="A223" s="121" t="s">
        <v>247</v>
      </c>
      <c r="C223" s="121" t="s">
        <v>163</v>
      </c>
      <c r="E223" s="127">
        <f>17785000+267000+10000+30215000</f>
        <v>48277000</v>
      </c>
      <c r="F223" s="127"/>
      <c r="G223" s="127">
        <v>249880000</v>
      </c>
      <c r="H223" s="127"/>
      <c r="I223" s="127">
        <v>91601000</v>
      </c>
      <c r="J223" s="127"/>
      <c r="K223" s="127">
        <v>235339000</v>
      </c>
      <c r="L223" s="127"/>
      <c r="M223" s="127">
        <f>3555000+59355000+12542000</f>
        <v>75452000</v>
      </c>
      <c r="N223" s="127"/>
      <c r="O223" s="127">
        <v>0</v>
      </c>
      <c r="P223" s="127"/>
      <c r="Q223" s="127">
        <v>-60911000</v>
      </c>
      <c r="R223" s="127"/>
      <c r="S223" s="127">
        <f>+Q223+O223+M223</f>
        <v>14541000</v>
      </c>
      <c r="T223" s="127"/>
      <c r="U223" s="121">
        <f>+G223-K223-S223</f>
        <v>0</v>
      </c>
      <c r="V223" s="122" t="s">
        <v>513</v>
      </c>
    </row>
    <row r="224" spans="1:22" s="44" customFormat="1" ht="12.75" customHeight="1" x14ac:dyDescent="0.2">
      <c r="A224" s="44" t="s">
        <v>248</v>
      </c>
      <c r="C224" s="44" t="s">
        <v>249</v>
      </c>
      <c r="E224" s="45">
        <v>1390991</v>
      </c>
      <c r="F224" s="45"/>
      <c r="G224" s="45">
        <v>2875495</v>
      </c>
      <c r="H224" s="45"/>
      <c r="I224" s="45">
        <v>1142870</v>
      </c>
      <c r="J224" s="45"/>
      <c r="K224" s="45">
        <v>1245736</v>
      </c>
      <c r="L224" s="45"/>
      <c r="M224" s="45">
        <f>57370+487505+81733</f>
        <v>626608</v>
      </c>
      <c r="N224" s="45"/>
      <c r="O224" s="45">
        <v>200124</v>
      </c>
      <c r="P224" s="45"/>
      <c r="Q224" s="45">
        <v>803027</v>
      </c>
      <c r="R224" s="45"/>
      <c r="S224" s="45">
        <f t="shared" si="11"/>
        <v>1629759</v>
      </c>
      <c r="T224" s="45"/>
      <c r="U224" s="44">
        <f>+G224-K224-S224</f>
        <v>0</v>
      </c>
    </row>
    <row r="225" spans="1:21" s="44" customFormat="1" ht="12.75" customHeight="1" x14ac:dyDescent="0.2">
      <c r="A225" s="44" t="s">
        <v>250</v>
      </c>
      <c r="C225" s="44" t="s">
        <v>103</v>
      </c>
      <c r="E225" s="45">
        <v>3152497</v>
      </c>
      <c r="F225" s="45"/>
      <c r="G225" s="45">
        <v>4478830</v>
      </c>
      <c r="H225" s="45"/>
      <c r="I225" s="45">
        <v>1105190</v>
      </c>
      <c r="J225" s="45"/>
      <c r="K225" s="45">
        <v>1491583</v>
      </c>
      <c r="L225" s="45"/>
      <c r="M225" s="45">
        <f>31990+1064371+673419</f>
        <v>1769780</v>
      </c>
      <c r="N225" s="45"/>
      <c r="O225" s="45">
        <v>29935</v>
      </c>
      <c r="P225" s="45"/>
      <c r="Q225" s="45">
        <v>1187532</v>
      </c>
      <c r="R225" s="45"/>
      <c r="S225" s="45">
        <f t="shared" si="11"/>
        <v>2987247</v>
      </c>
      <c r="T225" s="45"/>
      <c r="U225" s="44">
        <f t="shared" si="12"/>
        <v>0</v>
      </c>
    </row>
    <row r="226" spans="1:21" s="44" customFormat="1" ht="12.75" customHeight="1" x14ac:dyDescent="0.2">
      <c r="A226" s="44" t="s">
        <v>251</v>
      </c>
      <c r="C226" s="44" t="s">
        <v>66</v>
      </c>
      <c r="E226" s="45">
        <v>3176381</v>
      </c>
      <c r="F226" s="45"/>
      <c r="G226" s="45">
        <v>12963307</v>
      </c>
      <c r="H226" s="45"/>
      <c r="I226" s="45">
        <v>8864034</v>
      </c>
      <c r="J226" s="45"/>
      <c r="K226" s="45">
        <v>12046548</v>
      </c>
      <c r="L226" s="45"/>
      <c r="M226" s="45">
        <v>1538308</v>
      </c>
      <c r="N226" s="45"/>
      <c r="O226" s="45">
        <v>327879</v>
      </c>
      <c r="P226" s="45"/>
      <c r="Q226" s="45">
        <v>-949428</v>
      </c>
      <c r="R226" s="45"/>
      <c r="S226" s="45">
        <f t="shared" si="11"/>
        <v>916759</v>
      </c>
      <c r="T226" s="45"/>
      <c r="U226" s="44">
        <f>+G226-K226-S226</f>
        <v>0</v>
      </c>
    </row>
    <row r="227" spans="1:21" s="44" customFormat="1" ht="12.75" customHeight="1" x14ac:dyDescent="0.2">
      <c r="A227" s="44" t="s">
        <v>252</v>
      </c>
      <c r="C227" s="44" t="s">
        <v>209</v>
      </c>
      <c r="E227" s="45">
        <f>52938930+11996</f>
        <v>52950926</v>
      </c>
      <c r="F227" s="45"/>
      <c r="G227" s="45">
        <v>60528663</v>
      </c>
      <c r="H227" s="45"/>
      <c r="I227" s="45">
        <v>3207936</v>
      </c>
      <c r="J227" s="45"/>
      <c r="K227" s="45">
        <v>4428670</v>
      </c>
      <c r="L227" s="45"/>
      <c r="M227" s="45">
        <v>9335271</v>
      </c>
      <c r="N227" s="45"/>
      <c r="O227" s="45">
        <v>496197</v>
      </c>
      <c r="P227" s="45"/>
      <c r="Q227" s="45">
        <v>46268525</v>
      </c>
      <c r="R227" s="45"/>
      <c r="S227" s="45">
        <f t="shared" si="11"/>
        <v>56099993</v>
      </c>
      <c r="T227" s="45"/>
      <c r="U227" s="44">
        <f t="shared" si="12"/>
        <v>0</v>
      </c>
    </row>
    <row r="228" spans="1:21" s="44" customFormat="1" ht="12.75" customHeight="1" x14ac:dyDescent="0.2">
      <c r="A228" s="44" t="s">
        <v>253</v>
      </c>
      <c r="C228" s="44" t="s">
        <v>13</v>
      </c>
      <c r="E228" s="45">
        <f>23866090+11517</f>
        <v>23877607</v>
      </c>
      <c r="F228" s="45"/>
      <c r="G228" s="45">
        <v>30851334</v>
      </c>
      <c r="H228" s="45"/>
      <c r="I228" s="45">
        <v>3058397</v>
      </c>
      <c r="J228" s="45"/>
      <c r="K228" s="45">
        <v>4740134</v>
      </c>
      <c r="L228" s="45"/>
      <c r="M228" s="45">
        <f>235191+3083274+4664523</f>
        <v>7982988</v>
      </c>
      <c r="N228" s="45"/>
      <c r="O228" s="45">
        <v>363095</v>
      </c>
      <c r="P228" s="45"/>
      <c r="Q228" s="45">
        <v>17765117</v>
      </c>
      <c r="R228" s="45"/>
      <c r="S228" s="45">
        <f t="shared" si="11"/>
        <v>26111200</v>
      </c>
      <c r="T228" s="45"/>
      <c r="U228" s="44">
        <f t="shared" si="12"/>
        <v>0</v>
      </c>
    </row>
    <row r="229" spans="1:21" s="44" customFormat="1" ht="12.75" customHeight="1" x14ac:dyDescent="0.2">
      <c r="A229" s="44" t="s">
        <v>254</v>
      </c>
      <c r="C229" s="44" t="s">
        <v>89</v>
      </c>
      <c r="E229" s="45">
        <v>1063127</v>
      </c>
      <c r="F229" s="45"/>
      <c r="G229" s="45">
        <v>3089377</v>
      </c>
      <c r="H229" s="45"/>
      <c r="I229" s="45">
        <v>1579615</v>
      </c>
      <c r="J229" s="45"/>
      <c r="K229" s="45">
        <v>1687130</v>
      </c>
      <c r="L229" s="45"/>
      <c r="M229" s="45">
        <f>43858+879698+88416</f>
        <v>1011972</v>
      </c>
      <c r="N229" s="45"/>
      <c r="O229" s="45">
        <v>0</v>
      </c>
      <c r="P229" s="45"/>
      <c r="Q229" s="45">
        <v>390275</v>
      </c>
      <c r="R229" s="45"/>
      <c r="S229" s="45">
        <f t="shared" si="11"/>
        <v>1402247</v>
      </c>
      <c r="T229" s="45"/>
      <c r="U229" s="44">
        <f t="shared" si="12"/>
        <v>0</v>
      </c>
    </row>
    <row r="230" spans="1:21" s="44" customFormat="1" ht="12.75" customHeight="1" x14ac:dyDescent="0.2">
      <c r="A230" s="44" t="s">
        <v>159</v>
      </c>
      <c r="C230" s="44" t="s">
        <v>66</v>
      </c>
      <c r="E230" s="45">
        <v>2002888</v>
      </c>
      <c r="F230" s="45"/>
      <c r="G230" s="45">
        <v>4718725</v>
      </c>
      <c r="H230" s="45"/>
      <c r="I230" s="45">
        <v>2521233</v>
      </c>
      <c r="J230" s="45"/>
      <c r="K230" s="45">
        <v>3059322</v>
      </c>
      <c r="L230" s="45"/>
      <c r="M230" s="45">
        <f>1659403-3000-504304</f>
        <v>1152099</v>
      </c>
      <c r="N230" s="45"/>
      <c r="O230" s="45">
        <v>3000</v>
      </c>
      <c r="P230" s="45"/>
      <c r="Q230" s="45">
        <v>504304</v>
      </c>
      <c r="R230" s="45"/>
      <c r="S230" s="45">
        <f t="shared" si="11"/>
        <v>1659403</v>
      </c>
      <c r="T230" s="45"/>
      <c r="U230" s="44">
        <f>+G230-K230-S230</f>
        <v>0</v>
      </c>
    </row>
    <row r="231" spans="1:21" s="44" customFormat="1" ht="12.75" customHeight="1" x14ac:dyDescent="0.2">
      <c r="A231" s="44" t="s">
        <v>255</v>
      </c>
      <c r="C231" s="44" t="s">
        <v>27</v>
      </c>
      <c r="E231" s="45">
        <v>2929215</v>
      </c>
      <c r="F231" s="45"/>
      <c r="G231" s="45">
        <v>12374886</v>
      </c>
      <c r="H231" s="45"/>
      <c r="I231" s="45">
        <v>7125196</v>
      </c>
      <c r="J231" s="45"/>
      <c r="K231" s="45">
        <v>8009674</v>
      </c>
      <c r="L231" s="45"/>
      <c r="M231" s="45">
        <f>117197+1390640+436</f>
        <v>1508273</v>
      </c>
      <c r="N231" s="45"/>
      <c r="O231" s="45">
        <v>1231050</v>
      </c>
      <c r="P231" s="45"/>
      <c r="Q231" s="45">
        <v>1625889</v>
      </c>
      <c r="R231" s="45"/>
      <c r="S231" s="45">
        <f t="shared" si="11"/>
        <v>4365212</v>
      </c>
      <c r="T231" s="45"/>
      <c r="U231" s="44">
        <f t="shared" si="12"/>
        <v>0</v>
      </c>
    </row>
    <row r="232" spans="1:21" s="44" customFormat="1" ht="12.75" customHeight="1" x14ac:dyDescent="0.2">
      <c r="A232" s="44" t="s">
        <v>256</v>
      </c>
      <c r="C232" s="44" t="s">
        <v>43</v>
      </c>
      <c r="E232" s="45">
        <v>43979950</v>
      </c>
      <c r="F232" s="45"/>
      <c r="G232" s="45">
        <v>67046337</v>
      </c>
      <c r="H232" s="45"/>
      <c r="I232" s="45">
        <v>17158747</v>
      </c>
      <c r="J232" s="45"/>
      <c r="K232" s="45">
        <v>24722850</v>
      </c>
      <c r="L232" s="45"/>
      <c r="M232" s="45">
        <f>185856+10264402+19001262</f>
        <v>29451520</v>
      </c>
      <c r="N232" s="45"/>
      <c r="O232" s="45">
        <v>0</v>
      </c>
      <c r="P232" s="45"/>
      <c r="Q232" s="45">
        <v>12871967</v>
      </c>
      <c r="R232" s="45"/>
      <c r="S232" s="45">
        <f t="shared" si="11"/>
        <v>42323487</v>
      </c>
      <c r="T232" s="45"/>
      <c r="U232" s="44">
        <f>+G232-K232-S232</f>
        <v>0</v>
      </c>
    </row>
    <row r="233" spans="1:21" s="44" customFormat="1" ht="12.75" customHeight="1" x14ac:dyDescent="0.2">
      <c r="A233" s="44" t="s">
        <v>257</v>
      </c>
      <c r="C233" s="44" t="s">
        <v>258</v>
      </c>
      <c r="E233" s="45">
        <v>1426575</v>
      </c>
      <c r="F233" s="45"/>
      <c r="G233" s="45">
        <v>3753853</v>
      </c>
      <c r="H233" s="45"/>
      <c r="I233" s="45">
        <v>1933529</v>
      </c>
      <c r="J233" s="45"/>
      <c r="K233" s="45">
        <v>2334113</v>
      </c>
      <c r="L233" s="45"/>
      <c r="M233" s="45">
        <f>16092+1007246+4455</f>
        <v>1027793</v>
      </c>
      <c r="N233" s="45"/>
      <c r="O233" s="45">
        <v>75731</v>
      </c>
      <c r="P233" s="45"/>
      <c r="Q233" s="45">
        <v>316216</v>
      </c>
      <c r="R233" s="45"/>
      <c r="S233" s="45">
        <f t="shared" si="11"/>
        <v>1419740</v>
      </c>
      <c r="T233" s="45"/>
      <c r="U233" s="44">
        <f>+G233-K233-S233</f>
        <v>0</v>
      </c>
    </row>
    <row r="234" spans="1:21" s="44" customFormat="1" ht="12.75" customHeight="1" x14ac:dyDescent="0.2">
      <c r="A234" s="44" t="s">
        <v>259</v>
      </c>
      <c r="C234" s="44" t="s">
        <v>343</v>
      </c>
      <c r="E234" s="45">
        <v>3404906</v>
      </c>
      <c r="F234" s="45"/>
      <c r="G234" s="45">
        <v>8273853</v>
      </c>
      <c r="H234" s="45"/>
      <c r="I234" s="45">
        <v>2081632</v>
      </c>
      <c r="J234" s="45"/>
      <c r="K234" s="45">
        <v>3591688</v>
      </c>
      <c r="L234" s="45"/>
      <c r="M234" s="45">
        <f>4682165-2626-244832-2505929-658976</f>
        <v>1269802</v>
      </c>
      <c r="N234" s="45"/>
      <c r="O234" s="45">
        <f>2626+244832+2505929</f>
        <v>2753387</v>
      </c>
      <c r="P234" s="45"/>
      <c r="Q234" s="45">
        <v>658976</v>
      </c>
      <c r="R234" s="45"/>
      <c r="S234" s="45">
        <f t="shared" si="11"/>
        <v>4682165</v>
      </c>
      <c r="T234" s="45"/>
      <c r="U234" s="44">
        <f t="shared" si="12"/>
        <v>0</v>
      </c>
    </row>
    <row r="235" spans="1:21" s="44" customFormat="1" ht="12.75" customHeight="1" x14ac:dyDescent="0.2">
      <c r="A235" s="44" t="s">
        <v>261</v>
      </c>
      <c r="C235" s="44" t="s">
        <v>66</v>
      </c>
      <c r="E235" s="45">
        <f>20085661+33759</f>
        <v>20119420</v>
      </c>
      <c r="F235" s="45"/>
      <c r="G235" s="45">
        <v>28723248</v>
      </c>
      <c r="H235" s="45"/>
      <c r="I235" s="45">
        <v>3698683</v>
      </c>
      <c r="J235" s="45"/>
      <c r="K235" s="45">
        <v>11366870</v>
      </c>
      <c r="L235" s="45"/>
      <c r="M235" s="45">
        <f>3382516+1788921+3811593</f>
        <v>8983030</v>
      </c>
      <c r="N235" s="45"/>
      <c r="O235" s="45">
        <v>1372384</v>
      </c>
      <c r="P235" s="45"/>
      <c r="Q235" s="45">
        <v>7000964</v>
      </c>
      <c r="R235" s="45"/>
      <c r="S235" s="45">
        <f t="shared" si="11"/>
        <v>17356378</v>
      </c>
      <c r="T235" s="45"/>
      <c r="U235" s="44">
        <f t="shared" si="12"/>
        <v>0</v>
      </c>
    </row>
    <row r="236" spans="1:21" s="44" customFormat="1" ht="12.75" customHeight="1" x14ac:dyDescent="0.2">
      <c r="A236" s="44" t="s">
        <v>262</v>
      </c>
      <c r="C236" s="44" t="s">
        <v>132</v>
      </c>
      <c r="E236" s="45">
        <f>4810528+365</f>
        <v>4810893</v>
      </c>
      <c r="F236" s="45"/>
      <c r="G236" s="45">
        <v>10075680</v>
      </c>
      <c r="H236" s="45"/>
      <c r="I236" s="45">
        <v>4222402</v>
      </c>
      <c r="J236" s="45"/>
      <c r="K236" s="45">
        <v>5049380</v>
      </c>
      <c r="L236" s="45"/>
      <c r="M236" s="45">
        <f>42255+24465+216624+33628</f>
        <v>316972</v>
      </c>
      <c r="N236" s="45"/>
      <c r="O236" s="45">
        <v>0</v>
      </c>
      <c r="P236" s="45"/>
      <c r="Q236" s="45">
        <f>-67235+3017684+175632+1583247</f>
        <v>4709328</v>
      </c>
      <c r="R236" s="45"/>
      <c r="S236" s="45">
        <f t="shared" si="11"/>
        <v>5026300</v>
      </c>
      <c r="T236" s="45"/>
      <c r="U236" s="44">
        <f t="shared" si="12"/>
        <v>0</v>
      </c>
    </row>
    <row r="237" spans="1:21" s="44" customFormat="1" ht="12.75" customHeight="1" x14ac:dyDescent="0.2">
      <c r="A237" s="44" t="s">
        <v>512</v>
      </c>
      <c r="B237" s="47"/>
      <c r="C237" s="44" t="s">
        <v>45</v>
      </c>
      <c r="E237" s="45">
        <v>16759619</v>
      </c>
      <c r="F237" s="45"/>
      <c r="G237" s="45">
        <v>24088891</v>
      </c>
      <c r="H237" s="45"/>
      <c r="I237" s="45">
        <v>6390295</v>
      </c>
      <c r="J237" s="45"/>
      <c r="K237" s="45">
        <v>7388878</v>
      </c>
      <c r="L237" s="45"/>
      <c r="M237" s="45">
        <f>1371806+160117+4724902</f>
        <v>6256825</v>
      </c>
      <c r="N237" s="45"/>
      <c r="O237" s="45">
        <v>0</v>
      </c>
      <c r="P237" s="45"/>
      <c r="Q237" s="45">
        <v>10443188</v>
      </c>
      <c r="R237" s="45"/>
      <c r="S237" s="45">
        <f t="shared" si="11"/>
        <v>16700013</v>
      </c>
      <c r="T237" s="45"/>
      <c r="U237" s="44">
        <f t="shared" si="12"/>
        <v>0</v>
      </c>
    </row>
    <row r="238" spans="1:21" s="44" customFormat="1" ht="12.75" customHeight="1" x14ac:dyDescent="0.2">
      <c r="A238" s="44" t="s">
        <v>263</v>
      </c>
      <c r="C238" s="44" t="s">
        <v>53</v>
      </c>
      <c r="E238" s="45">
        <f>16970328+4967+128+2061</f>
        <v>16977484</v>
      </c>
      <c r="F238" s="45"/>
      <c r="G238" s="45">
        <v>28325465</v>
      </c>
      <c r="H238" s="45"/>
      <c r="I238" s="45">
        <v>2946449</v>
      </c>
      <c r="J238" s="45"/>
      <c r="K238" s="45">
        <v>6748521</v>
      </c>
      <c r="L238" s="45"/>
      <c r="M238" s="45">
        <f>21576944-499554-2045882</f>
        <v>19031508</v>
      </c>
      <c r="N238" s="45"/>
      <c r="O238" s="45">
        <v>499554</v>
      </c>
      <c r="P238" s="45"/>
      <c r="Q238" s="45">
        <v>2045882</v>
      </c>
      <c r="R238" s="45"/>
      <c r="S238" s="45">
        <f t="shared" si="11"/>
        <v>21576944</v>
      </c>
      <c r="T238" s="45"/>
      <c r="U238" s="44">
        <f t="shared" si="12"/>
        <v>0</v>
      </c>
    </row>
    <row r="239" spans="1:21" s="44" customFormat="1" ht="12.75" customHeight="1" x14ac:dyDescent="0.2">
      <c r="A239" s="44" t="s">
        <v>264</v>
      </c>
      <c r="C239" s="44" t="s">
        <v>239</v>
      </c>
      <c r="E239" s="45">
        <f>5647217+5263</f>
        <v>5652480</v>
      </c>
      <c r="F239" s="45"/>
      <c r="G239" s="45">
        <v>8332561</v>
      </c>
      <c r="H239" s="45"/>
      <c r="I239" s="45">
        <v>1963317</v>
      </c>
      <c r="J239" s="45"/>
      <c r="K239" s="45">
        <v>2300814</v>
      </c>
      <c r="L239" s="45"/>
      <c r="M239" s="45">
        <f>79977+2973110</f>
        <v>3053087</v>
      </c>
      <c r="N239" s="45"/>
      <c r="O239" s="45">
        <v>942785</v>
      </c>
      <c r="P239" s="45"/>
      <c r="Q239" s="45">
        <v>2035875</v>
      </c>
      <c r="R239" s="45"/>
      <c r="S239" s="45">
        <f t="shared" si="11"/>
        <v>6031747</v>
      </c>
      <c r="T239" s="45"/>
      <c r="U239" s="44">
        <f t="shared" si="12"/>
        <v>0</v>
      </c>
    </row>
    <row r="240" spans="1:21" s="44" customFormat="1" ht="12.75" customHeight="1" x14ac:dyDescent="0.2">
      <c r="A240" s="44" t="s">
        <v>111</v>
      </c>
      <c r="C240" s="44" t="s">
        <v>80</v>
      </c>
      <c r="E240" s="45">
        <f>6979241+692804</f>
        <v>7672045</v>
      </c>
      <c r="F240" s="45"/>
      <c r="G240" s="45">
        <v>26675814</v>
      </c>
      <c r="H240" s="45"/>
      <c r="I240" s="45">
        <v>5569969</v>
      </c>
      <c r="J240" s="45"/>
      <c r="K240" s="45">
        <v>8112949</v>
      </c>
      <c r="L240" s="45"/>
      <c r="M240" s="45">
        <f>18041+13659790</f>
        <v>13677831</v>
      </c>
      <c r="N240" s="45"/>
      <c r="O240" s="45">
        <v>74882</v>
      </c>
      <c r="P240" s="45"/>
      <c r="Q240" s="45">
        <v>4810152</v>
      </c>
      <c r="R240" s="45"/>
      <c r="S240" s="45">
        <f t="shared" si="11"/>
        <v>18562865</v>
      </c>
      <c r="T240" s="45"/>
      <c r="U240" s="44">
        <f t="shared" si="12"/>
        <v>0</v>
      </c>
    </row>
    <row r="241" spans="1:21" s="44" customFormat="1" ht="12.75" customHeight="1" x14ac:dyDescent="0.2">
      <c r="A241" s="44" t="s">
        <v>265</v>
      </c>
      <c r="C241" s="44" t="s">
        <v>27</v>
      </c>
      <c r="E241" s="45">
        <v>8209539</v>
      </c>
      <c r="F241" s="45"/>
      <c r="G241" s="45">
        <v>15491036</v>
      </c>
      <c r="H241" s="45"/>
      <c r="I241" s="45">
        <v>4133132</v>
      </c>
      <c r="J241" s="45"/>
      <c r="K241" s="45">
        <v>12668507</v>
      </c>
      <c r="L241" s="45"/>
      <c r="M241" s="45">
        <f>373140+4394852+232940</f>
        <v>5000932</v>
      </c>
      <c r="N241" s="45"/>
      <c r="O241" s="45">
        <v>600805</v>
      </c>
      <c r="P241" s="45"/>
      <c r="Q241" s="45">
        <v>-2779208</v>
      </c>
      <c r="R241" s="45"/>
      <c r="S241" s="45">
        <f t="shared" si="11"/>
        <v>2822529</v>
      </c>
      <c r="T241" s="45"/>
      <c r="U241" s="44">
        <f>+G241-K241-S241</f>
        <v>0</v>
      </c>
    </row>
    <row r="242" spans="1:21" s="44" customFormat="1" ht="12.75" customHeight="1" x14ac:dyDescent="0.2">
      <c r="A242" s="44" t="s">
        <v>514</v>
      </c>
      <c r="C242" s="47" t="s">
        <v>451</v>
      </c>
      <c r="E242" s="45">
        <f>3399605+48998</f>
        <v>3448603</v>
      </c>
      <c r="F242" s="45"/>
      <c r="G242" s="45">
        <v>8359051</v>
      </c>
      <c r="H242" s="45"/>
      <c r="I242" s="45">
        <v>3703847</v>
      </c>
      <c r="J242" s="45"/>
      <c r="K242" s="45">
        <v>4560999</v>
      </c>
      <c r="L242" s="45"/>
      <c r="M242" s="45">
        <f>54347+2856876+31438</f>
        <v>2942661</v>
      </c>
      <c r="N242" s="45"/>
      <c r="O242" s="45">
        <v>209</v>
      </c>
      <c r="P242" s="45"/>
      <c r="Q242" s="45">
        <v>855182</v>
      </c>
      <c r="R242" s="45"/>
      <c r="S242" s="45">
        <f t="shared" si="11"/>
        <v>3798052</v>
      </c>
      <c r="T242" s="45"/>
      <c r="U242" s="44">
        <f t="shared" si="12"/>
        <v>0</v>
      </c>
    </row>
    <row r="243" spans="1:21" s="44" customFormat="1" ht="12.75" customHeight="1" x14ac:dyDescent="0.2">
      <c r="A243" s="44" t="s">
        <v>515</v>
      </c>
      <c r="B243" s="47"/>
      <c r="C243" s="44" t="s">
        <v>163</v>
      </c>
      <c r="E243" s="45">
        <v>1543080</v>
      </c>
      <c r="F243" s="45"/>
      <c r="G243" s="45">
        <v>3287268</v>
      </c>
      <c r="H243" s="45"/>
      <c r="I243" s="45">
        <v>1159493</v>
      </c>
      <c r="J243" s="45"/>
      <c r="K243" s="45">
        <v>1485445</v>
      </c>
      <c r="L243" s="45"/>
      <c r="M243" s="45">
        <f>64480+582556</f>
        <v>647036</v>
      </c>
      <c r="N243" s="45"/>
      <c r="O243" s="45">
        <v>67227</v>
      </c>
      <c r="P243" s="45"/>
      <c r="Q243" s="45">
        <v>1087560</v>
      </c>
      <c r="R243" s="45"/>
      <c r="S243" s="45">
        <f t="shared" si="11"/>
        <v>1801823</v>
      </c>
      <c r="T243" s="45"/>
      <c r="U243" s="44">
        <f t="shared" si="12"/>
        <v>0</v>
      </c>
    </row>
    <row r="244" spans="1:21" s="44" customFormat="1" ht="12.75" customHeight="1" x14ac:dyDescent="0.2">
      <c r="A244" s="44" t="s">
        <v>266</v>
      </c>
      <c r="C244" s="44" t="s">
        <v>267</v>
      </c>
      <c r="E244" s="45">
        <f>2140986+934350+112412+373848</f>
        <v>3561596</v>
      </c>
      <c r="F244" s="45"/>
      <c r="G244" s="45">
        <v>5062998</v>
      </c>
      <c r="H244" s="45"/>
      <c r="I244" s="45">
        <v>623879</v>
      </c>
      <c r="J244" s="45"/>
      <c r="K244" s="45">
        <v>876857</v>
      </c>
      <c r="L244" s="45"/>
      <c r="M244" s="45">
        <f>438783+1082747+2094015</f>
        <v>3615545</v>
      </c>
      <c r="N244" s="45"/>
      <c r="O244" s="45">
        <v>78077</v>
      </c>
      <c r="P244" s="45"/>
      <c r="Q244" s="45">
        <v>492519</v>
      </c>
      <c r="R244" s="45"/>
      <c r="S244" s="45">
        <f t="shared" si="11"/>
        <v>4186141</v>
      </c>
      <c r="T244" s="45"/>
      <c r="U244" s="44">
        <f t="shared" si="12"/>
        <v>0</v>
      </c>
    </row>
    <row r="245" spans="1:21" s="44" customFormat="1" ht="12.75" customHeight="1" x14ac:dyDescent="0.2">
      <c r="A245" s="44" t="s">
        <v>268</v>
      </c>
      <c r="C245" s="44" t="s">
        <v>269</v>
      </c>
      <c r="E245" s="45">
        <v>1025739</v>
      </c>
      <c r="F245" s="45"/>
      <c r="G245" s="45">
        <v>2518781</v>
      </c>
      <c r="H245" s="45"/>
      <c r="I245" s="45">
        <v>1246064</v>
      </c>
      <c r="J245" s="45"/>
      <c r="K245" s="45">
        <v>1346837</v>
      </c>
      <c r="L245" s="45"/>
      <c r="M245" s="45">
        <f>7139+753871</f>
        <v>761010</v>
      </c>
      <c r="N245" s="45"/>
      <c r="O245" s="45">
        <v>11363</v>
      </c>
      <c r="P245" s="45"/>
      <c r="Q245" s="45">
        <v>399571</v>
      </c>
      <c r="R245" s="45"/>
      <c r="S245" s="45">
        <f t="shared" si="11"/>
        <v>1171944</v>
      </c>
      <c r="T245" s="45"/>
      <c r="U245" s="44">
        <f t="shared" si="12"/>
        <v>0</v>
      </c>
    </row>
    <row r="246" spans="1:21" s="44" customFormat="1" ht="12.75" customHeight="1" x14ac:dyDescent="0.2">
      <c r="A246" s="44" t="s">
        <v>270</v>
      </c>
      <c r="C246" s="44" t="s">
        <v>136</v>
      </c>
      <c r="E246" s="45">
        <v>4084563</v>
      </c>
      <c r="F246" s="45"/>
      <c r="G246" s="45">
        <v>6021053</v>
      </c>
      <c r="H246" s="45"/>
      <c r="I246" s="45">
        <v>649143</v>
      </c>
      <c r="J246" s="45"/>
      <c r="K246" s="45">
        <v>1534605</v>
      </c>
      <c r="L246" s="45"/>
      <c r="M246" s="45">
        <f>204347+553876+781559+46771+59650+2859347</f>
        <v>4505550</v>
      </c>
      <c r="N246" s="45"/>
      <c r="O246" s="45"/>
      <c r="P246" s="45"/>
      <c r="Q246" s="45">
        <v>-19102</v>
      </c>
      <c r="R246" s="45"/>
      <c r="S246" s="45">
        <f t="shared" si="11"/>
        <v>4486448</v>
      </c>
      <c r="T246" s="45"/>
      <c r="U246" s="44">
        <f>+G246-K246-S246</f>
        <v>0</v>
      </c>
    </row>
    <row r="247" spans="1:21" s="44" customFormat="1" ht="12.75" customHeight="1" x14ac:dyDescent="0.2">
      <c r="A247" s="44" t="s">
        <v>271</v>
      </c>
      <c r="C247" s="44" t="s">
        <v>66</v>
      </c>
      <c r="E247" s="45">
        <v>3716188</v>
      </c>
      <c r="F247" s="45"/>
      <c r="G247" s="45">
        <v>7497264</v>
      </c>
      <c r="H247" s="45"/>
      <c r="I247" s="45">
        <v>1948436</v>
      </c>
      <c r="J247" s="45"/>
      <c r="K247" s="45">
        <v>4664199</v>
      </c>
      <c r="L247" s="45"/>
      <c r="M247" s="45">
        <v>1349344</v>
      </c>
      <c r="N247" s="45"/>
      <c r="O247" s="45">
        <v>26858</v>
      </c>
      <c r="P247" s="45"/>
      <c r="Q247" s="45">
        <v>1456863</v>
      </c>
      <c r="R247" s="45"/>
      <c r="S247" s="45">
        <f t="shared" si="11"/>
        <v>2833065</v>
      </c>
      <c r="T247" s="45"/>
      <c r="U247" s="44">
        <f t="shared" si="12"/>
        <v>0</v>
      </c>
    </row>
    <row r="248" spans="1:21" s="44" customFormat="1" ht="12.75" customHeight="1" x14ac:dyDescent="0.2">
      <c r="A248" s="44" t="s">
        <v>272</v>
      </c>
      <c r="C248" s="44" t="s">
        <v>43</v>
      </c>
      <c r="E248" s="45">
        <f>50136917+174884</f>
        <v>50311801</v>
      </c>
      <c r="F248" s="45"/>
      <c r="G248" s="45">
        <v>90369379</v>
      </c>
      <c r="H248" s="45"/>
      <c r="I248" s="45">
        <v>20858269</v>
      </c>
      <c r="J248" s="45"/>
      <c r="K248" s="45">
        <v>37936417</v>
      </c>
      <c r="L248" s="45"/>
      <c r="M248" s="45">
        <f>12276771+10275285+9492698</f>
        <v>32044754</v>
      </c>
      <c r="N248" s="45"/>
      <c r="O248" s="45">
        <v>2064334</v>
      </c>
      <c r="P248" s="45"/>
      <c r="Q248" s="45">
        <v>18323874</v>
      </c>
      <c r="R248" s="45"/>
      <c r="S248" s="45">
        <f t="shared" si="11"/>
        <v>52432962</v>
      </c>
      <c r="T248" s="45"/>
      <c r="U248" s="44">
        <f t="shared" si="12"/>
        <v>0</v>
      </c>
    </row>
    <row r="249" spans="1:21" s="44" customFormat="1" ht="12.75" customHeight="1" x14ac:dyDescent="0.2">
      <c r="A249" s="44" t="s">
        <v>273</v>
      </c>
      <c r="C249" s="44" t="s">
        <v>27</v>
      </c>
      <c r="E249" s="45">
        <f>62439193+764535+518802</f>
        <v>63722530</v>
      </c>
      <c r="F249" s="45"/>
      <c r="G249" s="45">
        <v>94162788</v>
      </c>
      <c r="H249" s="45"/>
      <c r="I249" s="45">
        <v>20793351</v>
      </c>
      <c r="J249" s="45"/>
      <c r="K249" s="45">
        <v>28064463</v>
      </c>
      <c r="L249" s="45"/>
      <c r="M249" s="45">
        <f>1594575+29859235+1375836</f>
        <v>32829646</v>
      </c>
      <c r="N249" s="45"/>
      <c r="O249" s="45">
        <v>12606454</v>
      </c>
      <c r="P249" s="45"/>
      <c r="Q249" s="45">
        <v>20662225</v>
      </c>
      <c r="R249" s="45"/>
      <c r="S249" s="45">
        <f t="shared" si="11"/>
        <v>66098325</v>
      </c>
      <c r="T249" s="45"/>
      <c r="U249" s="44">
        <f t="shared" si="12"/>
        <v>0</v>
      </c>
    </row>
    <row r="250" spans="1:21" s="44" customFormat="1" ht="12.75" customHeight="1" x14ac:dyDescent="0.2">
      <c r="A250" s="44" t="s">
        <v>274</v>
      </c>
      <c r="C250" s="44" t="s">
        <v>43</v>
      </c>
      <c r="E250" s="45">
        <f>13317794+120880</f>
        <v>13438674</v>
      </c>
      <c r="F250" s="45"/>
      <c r="G250" s="45">
        <v>17481786</v>
      </c>
      <c r="H250" s="45"/>
      <c r="I250" s="45">
        <v>1292113</v>
      </c>
      <c r="J250" s="45"/>
      <c r="K250" s="45">
        <v>4050303</v>
      </c>
      <c r="L250" s="45"/>
      <c r="M250" s="45">
        <f>254861+3473501+4666410</f>
        <v>8394772</v>
      </c>
      <c r="N250" s="45"/>
      <c r="O250" s="45">
        <v>322478</v>
      </c>
      <c r="P250" s="45"/>
      <c r="Q250" s="45">
        <v>4714233</v>
      </c>
      <c r="R250" s="45"/>
      <c r="S250" s="45">
        <f t="shared" si="11"/>
        <v>13431483</v>
      </c>
      <c r="T250" s="45"/>
      <c r="U250" s="44">
        <f t="shared" si="12"/>
        <v>0</v>
      </c>
    </row>
    <row r="251" spans="1:21" s="44" customFormat="1" ht="12.75" customHeight="1" x14ac:dyDescent="0.2">
      <c r="A251" s="44" t="s">
        <v>275</v>
      </c>
      <c r="C251" s="44" t="s">
        <v>92</v>
      </c>
      <c r="E251" s="45">
        <f>7243982+966+3500000</f>
        <v>10744948</v>
      </c>
      <c r="F251" s="45"/>
      <c r="G251" s="45">
        <v>16672874</v>
      </c>
      <c r="H251" s="45"/>
      <c r="I251" s="45">
        <v>3483606</v>
      </c>
      <c r="J251" s="45"/>
      <c r="K251" s="45">
        <v>4820471</v>
      </c>
      <c r="L251" s="45"/>
      <c r="M251" s="45">
        <f>112313+481575+892351</f>
        <v>1486239</v>
      </c>
      <c r="N251" s="45"/>
      <c r="O251" s="45">
        <v>25126</v>
      </c>
      <c r="P251" s="45"/>
      <c r="Q251" s="45">
        <v>10341038</v>
      </c>
      <c r="R251" s="45"/>
      <c r="S251" s="45">
        <f t="shared" si="11"/>
        <v>11852403</v>
      </c>
      <c r="T251" s="45"/>
      <c r="U251" s="44">
        <f t="shared" si="12"/>
        <v>0</v>
      </c>
    </row>
    <row r="252" spans="1:21" s="44" customFormat="1" ht="12.75" customHeight="1" x14ac:dyDescent="0.2">
      <c r="A252" s="44" t="s">
        <v>276</v>
      </c>
      <c r="C252" s="44" t="s">
        <v>38</v>
      </c>
      <c r="E252" s="45">
        <v>6101054</v>
      </c>
      <c r="F252" s="45"/>
      <c r="G252" s="45">
        <v>8145353</v>
      </c>
      <c r="H252" s="45"/>
      <c r="I252" s="45">
        <v>550019</v>
      </c>
      <c r="J252" s="45"/>
      <c r="K252" s="45">
        <v>1693550</v>
      </c>
      <c r="L252" s="45"/>
      <c r="M252" s="45">
        <f>1651723+2416898+153003</f>
        <v>4221624</v>
      </c>
      <c r="N252" s="45"/>
      <c r="O252" s="45">
        <v>584753</v>
      </c>
      <c r="P252" s="45"/>
      <c r="Q252" s="45">
        <v>1645426</v>
      </c>
      <c r="R252" s="45"/>
      <c r="S252" s="45">
        <f t="shared" si="11"/>
        <v>6451803</v>
      </c>
      <c r="T252" s="45"/>
      <c r="U252" s="44">
        <f t="shared" si="12"/>
        <v>0</v>
      </c>
    </row>
    <row r="253" spans="1:21" s="44" customFormat="1" ht="12.75" customHeight="1" x14ac:dyDescent="0.2">
      <c r="A253" s="44" t="s">
        <v>277</v>
      </c>
      <c r="C253" s="44" t="s">
        <v>92</v>
      </c>
      <c r="E253" s="45">
        <v>14803614</v>
      </c>
      <c r="F253" s="45"/>
      <c r="G253" s="45">
        <v>32161207</v>
      </c>
      <c r="H253" s="45"/>
      <c r="I253" s="45">
        <v>8304934</v>
      </c>
      <c r="J253" s="45"/>
      <c r="K253" s="45">
        <v>19055740</v>
      </c>
      <c r="L253" s="45"/>
      <c r="M253" s="45">
        <f>1860215+7165950+314038</f>
        <v>9340203</v>
      </c>
      <c r="N253" s="45"/>
      <c r="O253" s="45">
        <v>2018544</v>
      </c>
      <c r="P253" s="45"/>
      <c r="Q253" s="45">
        <v>1746720</v>
      </c>
      <c r="R253" s="45"/>
      <c r="S253" s="45">
        <f t="shared" si="11"/>
        <v>13105467</v>
      </c>
      <c r="T253" s="45"/>
      <c r="U253" s="44">
        <f t="shared" si="12"/>
        <v>0</v>
      </c>
    </row>
    <row r="254" spans="1:21" s="44" customFormat="1" ht="12.75" customHeight="1" x14ac:dyDescent="0.2">
      <c r="A254" s="44" t="s">
        <v>278</v>
      </c>
      <c r="C254" s="44" t="s">
        <v>92</v>
      </c>
      <c r="E254" s="45">
        <f>2484795+28416</f>
        <v>2513211</v>
      </c>
      <c r="F254" s="45"/>
      <c r="G254" s="45">
        <v>6862235</v>
      </c>
      <c r="H254" s="45"/>
      <c r="I254" s="45">
        <v>3668817</v>
      </c>
      <c r="J254" s="45"/>
      <c r="K254" s="45">
        <v>4506974</v>
      </c>
      <c r="L254" s="45"/>
      <c r="M254" s="45">
        <f>119487+950074+401046</f>
        <v>1470607</v>
      </c>
      <c r="N254" s="45"/>
      <c r="O254" s="45">
        <v>38444</v>
      </c>
      <c r="P254" s="45"/>
      <c r="Q254" s="45">
        <v>846210</v>
      </c>
      <c r="R254" s="45"/>
      <c r="S254" s="45">
        <f t="shared" si="11"/>
        <v>2355261</v>
      </c>
      <c r="T254" s="45"/>
      <c r="U254" s="44">
        <f t="shared" si="12"/>
        <v>0</v>
      </c>
    </row>
    <row r="255" spans="1:21" s="44" customFormat="1" ht="12.75" customHeight="1" x14ac:dyDescent="0.2">
      <c r="A255" s="44" t="s">
        <v>279</v>
      </c>
      <c r="C255" s="44" t="s">
        <v>92</v>
      </c>
      <c r="E255" s="45">
        <v>6087068</v>
      </c>
      <c r="F255" s="45"/>
      <c r="G255" s="45">
        <v>13652803</v>
      </c>
      <c r="H255" s="45"/>
      <c r="I255" s="45">
        <v>6848936</v>
      </c>
      <c r="J255" s="45"/>
      <c r="K255" s="45">
        <v>7888723</v>
      </c>
      <c r="L255" s="45"/>
      <c r="M255" s="45">
        <f>35285+3998806+163416</f>
        <v>4197507</v>
      </c>
      <c r="N255" s="45"/>
      <c r="O255" s="45">
        <v>101610</v>
      </c>
      <c r="P255" s="45"/>
      <c r="Q255" s="45">
        <v>1464963</v>
      </c>
      <c r="R255" s="45"/>
      <c r="S255" s="45">
        <f t="shared" si="11"/>
        <v>5764080</v>
      </c>
      <c r="T255" s="45"/>
      <c r="U255" s="44">
        <f t="shared" si="12"/>
        <v>0</v>
      </c>
    </row>
    <row r="256" spans="1:21" s="44" customFormat="1" ht="12.75" customHeight="1" x14ac:dyDescent="0.2">
      <c r="A256" s="44" t="s">
        <v>280</v>
      </c>
      <c r="C256" s="44" t="s">
        <v>281</v>
      </c>
      <c r="E256" s="45">
        <v>5271581</v>
      </c>
      <c r="F256" s="45"/>
      <c r="G256" s="45">
        <v>9387055</v>
      </c>
      <c r="H256" s="45"/>
      <c r="I256" s="45">
        <v>2489842</v>
      </c>
      <c r="J256" s="45"/>
      <c r="K256" s="45">
        <v>4423973</v>
      </c>
      <c r="L256" s="45"/>
      <c r="M256" s="45">
        <f>35000+160776+94651+620251+521126+10373+889498+4129</f>
        <v>2335804</v>
      </c>
      <c r="N256" s="45"/>
      <c r="O256" s="45">
        <v>172661</v>
      </c>
      <c r="P256" s="45"/>
      <c r="Q256" s="45">
        <v>2454617</v>
      </c>
      <c r="R256" s="45"/>
      <c r="S256" s="45">
        <f t="shared" si="11"/>
        <v>4963082</v>
      </c>
      <c r="T256" s="45"/>
      <c r="U256" s="44">
        <f t="shared" si="12"/>
        <v>0</v>
      </c>
    </row>
    <row r="257" spans="1:21" s="44" customFormat="1" ht="12.75" customHeight="1" x14ac:dyDescent="0.2">
      <c r="A257" s="44" t="s">
        <v>282</v>
      </c>
      <c r="C257" s="44" t="s">
        <v>199</v>
      </c>
      <c r="E257" s="45">
        <v>16440645</v>
      </c>
      <c r="F257" s="45"/>
      <c r="G257" s="45">
        <v>26451255</v>
      </c>
      <c r="H257" s="45"/>
      <c r="I257" s="45">
        <v>7891105</v>
      </c>
      <c r="J257" s="45"/>
      <c r="K257" s="45">
        <v>10094639</v>
      </c>
      <c r="L257" s="45"/>
      <c r="M257" s="45">
        <f>344145+3809465+148494</f>
        <v>4302104</v>
      </c>
      <c r="N257" s="45"/>
      <c r="O257" s="45">
        <v>3239525</v>
      </c>
      <c r="P257" s="45"/>
      <c r="Q257" s="45">
        <v>8814987</v>
      </c>
      <c r="R257" s="45"/>
      <c r="S257" s="45">
        <f t="shared" si="11"/>
        <v>16356616</v>
      </c>
      <c r="T257" s="45"/>
      <c r="U257" s="44">
        <f t="shared" si="12"/>
        <v>0</v>
      </c>
    </row>
    <row r="258" spans="1:21" s="44" customFormat="1" ht="12.75" customHeight="1" x14ac:dyDescent="0.2">
      <c r="A258" s="44" t="s">
        <v>283</v>
      </c>
      <c r="C258" s="44" t="s">
        <v>43</v>
      </c>
      <c r="E258" s="45">
        <f>12745008+992+418437</f>
        <v>13164437</v>
      </c>
      <c r="F258" s="45"/>
      <c r="G258" s="45">
        <v>21486427</v>
      </c>
      <c r="H258" s="45"/>
      <c r="I258" s="45">
        <v>4673261</v>
      </c>
      <c r="J258" s="45"/>
      <c r="K258" s="45">
        <v>8367700</v>
      </c>
      <c r="L258" s="45"/>
      <c r="M258" s="45">
        <f>296200+2130399+6054491</f>
        <v>8481090</v>
      </c>
      <c r="N258" s="45"/>
      <c r="O258" s="45">
        <v>21489</v>
      </c>
      <c r="P258" s="45"/>
      <c r="Q258" s="45">
        <v>4616148</v>
      </c>
      <c r="R258" s="45"/>
      <c r="S258" s="45">
        <f t="shared" si="11"/>
        <v>13118727</v>
      </c>
      <c r="T258" s="45"/>
      <c r="U258" s="44">
        <f t="shared" si="12"/>
        <v>0</v>
      </c>
    </row>
    <row r="259" spans="1:21" s="44" customFormat="1" ht="12.75" customHeight="1" x14ac:dyDescent="0.2">
      <c r="A259" s="44" t="s">
        <v>284</v>
      </c>
      <c r="C259" s="44" t="s">
        <v>45</v>
      </c>
      <c r="E259" s="45">
        <v>4881491</v>
      </c>
      <c r="F259" s="45"/>
      <c r="G259" s="45">
        <v>10404736</v>
      </c>
      <c r="H259" s="45"/>
      <c r="I259" s="45">
        <v>3819665</v>
      </c>
      <c r="J259" s="45"/>
      <c r="K259" s="45">
        <v>4820322</v>
      </c>
      <c r="L259" s="45"/>
      <c r="M259" s="45">
        <f>41328+939876+2187414</f>
        <v>3168618</v>
      </c>
      <c r="N259" s="45"/>
      <c r="O259" s="45">
        <v>220772</v>
      </c>
      <c r="P259" s="45"/>
      <c r="Q259" s="45">
        <v>2195024</v>
      </c>
      <c r="R259" s="45"/>
      <c r="S259" s="45">
        <f t="shared" si="11"/>
        <v>5584414</v>
      </c>
      <c r="T259" s="45"/>
      <c r="U259" s="44">
        <f t="shared" si="12"/>
        <v>0</v>
      </c>
    </row>
    <row r="260" spans="1:21" s="44" customFormat="1" ht="12.75" customHeight="1" x14ac:dyDescent="0.2">
      <c r="A260" s="44" t="s">
        <v>285</v>
      </c>
      <c r="C260" s="44" t="s">
        <v>30</v>
      </c>
      <c r="E260" s="45">
        <f>3612262+4820796</f>
        <v>8433058</v>
      </c>
      <c r="F260" s="45"/>
      <c r="G260" s="45">
        <v>15264248</v>
      </c>
      <c r="H260" s="45"/>
      <c r="I260" s="45">
        <v>3650723</v>
      </c>
      <c r="J260" s="45"/>
      <c r="K260" s="45">
        <v>4891770</v>
      </c>
      <c r="L260" s="45"/>
      <c r="M260" s="45">
        <f>24706+174901+6042733+117026</f>
        <v>6359366</v>
      </c>
      <c r="N260" s="45"/>
      <c r="O260" s="45">
        <v>2141008</v>
      </c>
      <c r="P260" s="45"/>
      <c r="Q260" s="45">
        <v>1872104</v>
      </c>
      <c r="R260" s="45"/>
      <c r="S260" s="45">
        <f t="shared" si="11"/>
        <v>10372478</v>
      </c>
      <c r="T260" s="45"/>
      <c r="U260" s="44">
        <f t="shared" si="12"/>
        <v>0</v>
      </c>
    </row>
    <row r="261" spans="1:21" s="121" customFormat="1" ht="12.75" customHeight="1" x14ac:dyDescent="0.2">
      <c r="A261" s="44" t="s">
        <v>286</v>
      </c>
      <c r="B261" s="44"/>
      <c r="C261" s="44" t="s">
        <v>61</v>
      </c>
      <c r="D261" s="44"/>
      <c r="E261" s="45">
        <f>7013024+304770</f>
        <v>7317794</v>
      </c>
      <c r="F261" s="45"/>
      <c r="G261" s="45">
        <v>35134975</v>
      </c>
      <c r="H261" s="45"/>
      <c r="I261" s="45">
        <v>14308395</v>
      </c>
      <c r="J261" s="45"/>
      <c r="K261" s="45">
        <v>34486759</v>
      </c>
      <c r="L261" s="45"/>
      <c r="M261" s="45">
        <f>3053221+7853077+185997</f>
        <v>11092295</v>
      </c>
      <c r="N261" s="45"/>
      <c r="O261" s="45">
        <v>355489</v>
      </c>
      <c r="P261" s="45"/>
      <c r="Q261" s="45">
        <v>-10799568</v>
      </c>
      <c r="R261" s="45"/>
      <c r="S261" s="45">
        <f t="shared" si="11"/>
        <v>648216</v>
      </c>
      <c r="T261" s="127"/>
      <c r="U261" s="121">
        <f t="shared" si="12"/>
        <v>0</v>
      </c>
    </row>
    <row r="262" spans="1:21" s="44" customFormat="1" ht="12.75" customHeight="1" x14ac:dyDescent="0.2">
      <c r="A262" s="44" t="s">
        <v>287</v>
      </c>
      <c r="C262" s="44" t="s">
        <v>288</v>
      </c>
      <c r="E262" s="45">
        <f>5807462+22244+6002</f>
        <v>5835708</v>
      </c>
      <c r="F262" s="45"/>
      <c r="G262" s="45">
        <v>14047778</v>
      </c>
      <c r="H262" s="45"/>
      <c r="I262" s="45">
        <v>4736567</v>
      </c>
      <c r="J262" s="45"/>
      <c r="K262" s="45">
        <v>6759105</v>
      </c>
      <c r="L262" s="45"/>
      <c r="M262" s="45">
        <f>891690+3714802+125625</f>
        <v>4732117</v>
      </c>
      <c r="N262" s="45"/>
      <c r="O262" s="45">
        <v>50610</v>
      </c>
      <c r="P262" s="45"/>
      <c r="Q262" s="45">
        <v>2505946</v>
      </c>
      <c r="R262" s="45"/>
      <c r="S262" s="45">
        <f t="shared" si="11"/>
        <v>7288673</v>
      </c>
      <c r="T262" s="45"/>
      <c r="U262" s="44">
        <f t="shared" si="12"/>
        <v>0</v>
      </c>
    </row>
    <row r="263" spans="1:21" s="44" customFormat="1" ht="12.75" customHeight="1" x14ac:dyDescent="0.2"/>
    <row r="264" spans="1:21" s="44" customFormat="1" ht="12.75" customHeight="1" x14ac:dyDescent="0.2"/>
    <row r="265" spans="1:21" s="44" customFormat="1" ht="12.75" customHeight="1" x14ac:dyDescent="0.2">
      <c r="B265" s="51"/>
    </row>
    <row r="266" spans="1:21" s="44" customFormat="1" ht="12.75" customHeight="1" x14ac:dyDescent="0.2">
      <c r="B266" s="51"/>
    </row>
    <row r="267" spans="1:21" s="44" customFormat="1" ht="12.75" customHeight="1" x14ac:dyDescent="0.2">
      <c r="B267" s="51"/>
    </row>
    <row r="268" spans="1:21" s="44" customFormat="1" ht="12.75" customHeight="1" x14ac:dyDescent="0.2">
      <c r="B268" s="51"/>
    </row>
    <row r="269" spans="1:21" s="44" customFormat="1" ht="12.75" customHeight="1" x14ac:dyDescent="0.2">
      <c r="B269" s="51"/>
    </row>
    <row r="270" spans="1:21" s="44" customFormat="1" ht="12.75" customHeight="1" x14ac:dyDescent="0.2">
      <c r="B270" s="51"/>
    </row>
    <row r="271" spans="1:21" s="44" customFormat="1" ht="12.75" customHeight="1" x14ac:dyDescent="0.2">
      <c r="B271" s="51"/>
    </row>
    <row r="272" spans="1:21" s="44" customFormat="1" ht="12.75" customHeight="1" x14ac:dyDescent="0.2">
      <c r="B272" s="51"/>
    </row>
    <row r="273" spans="2:2" s="44" customFormat="1" ht="12.75" customHeight="1" x14ac:dyDescent="0.2">
      <c r="B273" s="51"/>
    </row>
    <row r="274" spans="2:2" s="44" customFormat="1" ht="12.75" customHeight="1" x14ac:dyDescent="0.2">
      <c r="B274" s="51"/>
    </row>
    <row r="275" spans="2:2" s="44" customFormat="1" ht="12.75" customHeight="1" x14ac:dyDescent="0.2">
      <c r="B275" s="51"/>
    </row>
    <row r="276" spans="2:2" s="44" customFormat="1" ht="12.75" customHeight="1" x14ac:dyDescent="0.2">
      <c r="B276" s="51"/>
    </row>
    <row r="277" spans="2:2" s="44" customFormat="1" ht="12.75" customHeight="1" x14ac:dyDescent="0.2">
      <c r="B277" s="51"/>
    </row>
    <row r="278" spans="2:2" s="44" customFormat="1" ht="12.75" customHeight="1" x14ac:dyDescent="0.2">
      <c r="B278" s="51"/>
    </row>
    <row r="279" spans="2:2" s="44" customFormat="1" ht="12.75" customHeight="1" x14ac:dyDescent="0.2">
      <c r="B279" s="51"/>
    </row>
    <row r="280" spans="2:2" s="44" customFormat="1" ht="12.75" customHeight="1" x14ac:dyDescent="0.2">
      <c r="B280" s="51"/>
    </row>
    <row r="281" spans="2:2" s="44" customFormat="1" ht="12.75" customHeight="1" x14ac:dyDescent="0.2">
      <c r="B281" s="51"/>
    </row>
    <row r="282" spans="2:2" s="44" customFormat="1" ht="12.75" customHeight="1" x14ac:dyDescent="0.2">
      <c r="B282" s="51"/>
    </row>
    <row r="283" spans="2:2" s="44" customFormat="1" ht="12.75" customHeight="1" x14ac:dyDescent="0.2">
      <c r="B283" s="51"/>
    </row>
    <row r="284" spans="2:2" s="44" customFormat="1" ht="12.75" customHeight="1" x14ac:dyDescent="0.2">
      <c r="B284" s="51"/>
    </row>
    <row r="285" spans="2:2" s="44" customFormat="1" ht="12.75" customHeight="1" x14ac:dyDescent="0.2">
      <c r="B285" s="51"/>
    </row>
    <row r="286" spans="2:2" s="44" customFormat="1" ht="12.75" customHeight="1" x14ac:dyDescent="0.2">
      <c r="B286" s="51"/>
    </row>
    <row r="287" spans="2:2" s="44" customFormat="1" ht="12.75" customHeight="1" x14ac:dyDescent="0.2">
      <c r="B287" s="51"/>
    </row>
    <row r="288" spans="2:2" s="44" customFormat="1" ht="12.75" customHeight="1" x14ac:dyDescent="0.2">
      <c r="B288" s="51"/>
    </row>
    <row r="289" spans="2:2" s="44" customFormat="1" ht="12.75" customHeight="1" x14ac:dyDescent="0.2">
      <c r="B289" s="51"/>
    </row>
    <row r="290" spans="2:2" s="44" customFormat="1" ht="12.75" customHeight="1" x14ac:dyDescent="0.2">
      <c r="B290" s="51"/>
    </row>
    <row r="291" spans="2:2" s="44" customFormat="1" ht="12.75" customHeight="1" x14ac:dyDescent="0.2">
      <c r="B291" s="51"/>
    </row>
    <row r="292" spans="2:2" s="44" customFormat="1" ht="12.75" customHeight="1" x14ac:dyDescent="0.2">
      <c r="B292" s="51"/>
    </row>
    <row r="293" spans="2:2" s="44" customFormat="1" ht="12.75" customHeight="1" x14ac:dyDescent="0.2">
      <c r="B293" s="51"/>
    </row>
    <row r="294" spans="2:2" s="44" customFormat="1" ht="12.75" customHeight="1" x14ac:dyDescent="0.2">
      <c r="B294" s="51"/>
    </row>
    <row r="295" spans="2:2" s="44" customFormat="1" ht="12.75" customHeight="1" x14ac:dyDescent="0.2">
      <c r="B295" s="51"/>
    </row>
    <row r="296" spans="2:2" s="44" customFormat="1" ht="12.75" customHeight="1" x14ac:dyDescent="0.2">
      <c r="B296" s="51"/>
    </row>
    <row r="297" spans="2:2" s="44" customFormat="1" ht="12.75" customHeight="1" x14ac:dyDescent="0.2">
      <c r="B297" s="51"/>
    </row>
    <row r="298" spans="2:2" s="44" customFormat="1" ht="12.75" customHeight="1" x14ac:dyDescent="0.2">
      <c r="B298" s="51"/>
    </row>
    <row r="299" spans="2:2" s="44" customFormat="1" ht="12.75" customHeight="1" x14ac:dyDescent="0.2">
      <c r="B299" s="51"/>
    </row>
    <row r="300" spans="2:2" s="44" customFormat="1" ht="12.75" customHeight="1" x14ac:dyDescent="0.2">
      <c r="B300" s="51"/>
    </row>
    <row r="301" spans="2:2" s="44" customFormat="1" ht="12.75" customHeight="1" x14ac:dyDescent="0.2">
      <c r="B301" s="51"/>
    </row>
    <row r="302" spans="2:2" s="44" customFormat="1" ht="12.75" customHeight="1" x14ac:dyDescent="0.2">
      <c r="B302" s="51"/>
    </row>
    <row r="303" spans="2:2" s="44" customFormat="1" ht="12.75" customHeight="1" x14ac:dyDescent="0.2">
      <c r="B303" s="51"/>
    </row>
    <row r="304" spans="2:2" s="44" customFormat="1" ht="12.75" customHeight="1" x14ac:dyDescent="0.2">
      <c r="B304" s="51"/>
    </row>
    <row r="305" spans="2:2" s="44" customFormat="1" ht="12.75" customHeight="1" x14ac:dyDescent="0.2">
      <c r="B305" s="51"/>
    </row>
    <row r="306" spans="2:2" s="44" customFormat="1" ht="12.75" customHeight="1" x14ac:dyDescent="0.2">
      <c r="B306" s="51"/>
    </row>
    <row r="307" spans="2:2" s="44" customFormat="1" ht="12.75" customHeight="1" x14ac:dyDescent="0.2">
      <c r="B307" s="51"/>
    </row>
    <row r="308" spans="2:2" s="44" customFormat="1" ht="12.75" customHeight="1" x14ac:dyDescent="0.2">
      <c r="B308" s="51"/>
    </row>
    <row r="309" spans="2:2" s="44" customFormat="1" ht="12.75" customHeight="1" x14ac:dyDescent="0.2">
      <c r="B309" s="51"/>
    </row>
    <row r="310" spans="2:2" s="44" customFormat="1" ht="12.75" customHeight="1" x14ac:dyDescent="0.2">
      <c r="B310" s="51"/>
    </row>
    <row r="311" spans="2:2" s="44" customFormat="1" ht="12.75" customHeight="1" x14ac:dyDescent="0.2">
      <c r="B311" s="51"/>
    </row>
    <row r="312" spans="2:2" s="44" customFormat="1" ht="12.75" customHeight="1" x14ac:dyDescent="0.2">
      <c r="B312" s="51"/>
    </row>
    <row r="313" spans="2:2" s="44" customFormat="1" ht="12.75" customHeight="1" x14ac:dyDescent="0.2">
      <c r="B313" s="51"/>
    </row>
    <row r="314" spans="2:2" s="44" customFormat="1" ht="12.75" customHeight="1" x14ac:dyDescent="0.2">
      <c r="B314" s="51"/>
    </row>
    <row r="315" spans="2:2" s="44" customFormat="1" ht="12.75" customHeight="1" x14ac:dyDescent="0.2">
      <c r="B315" s="51"/>
    </row>
    <row r="316" spans="2:2" s="44" customFormat="1" ht="12.75" customHeight="1" x14ac:dyDescent="0.2">
      <c r="B316" s="51"/>
    </row>
    <row r="317" spans="2:2" s="44" customFormat="1" ht="12.75" customHeight="1" x14ac:dyDescent="0.2">
      <c r="B317" s="51"/>
    </row>
  </sheetData>
  <phoneticPr fontId="4" type="noConversion"/>
  <pageMargins left="0.75" right="0.75" top="0.5" bottom="0.5" header="0" footer="0.25"/>
  <pageSetup scale="91" firstPageNumber="42" pageOrder="overThenDown" orientation="portrait" useFirstPageNumber="1" r:id="rId1"/>
  <headerFooter alignWithMargins="0">
    <oddFooter>&amp;C&amp;"Times New Roman,Regular"&amp;11&amp;P</oddFooter>
  </headerFooter>
  <rowBreaks count="4" manualBreakCount="4">
    <brk id="61" max="18" man="1"/>
    <brk id="116" max="18" man="1"/>
    <brk id="168" max="18" man="1"/>
    <brk id="219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2"/>
  <sheetViews>
    <sheetView view="pageBreakPreview" zoomScale="90" zoomScaleNormal="100" zoomScaleSheetLayoutView="9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defaultColWidth="9.140625" defaultRowHeight="12.75" customHeight="1" x14ac:dyDescent="0.2"/>
  <cols>
    <col min="1" max="1" width="20.5703125" style="17" customWidth="1"/>
    <col min="2" max="2" width="1.7109375" customWidth="1"/>
    <col min="3" max="3" width="14.5703125" style="17" customWidth="1"/>
    <col min="4" max="4" width="1.7109375" style="10" customWidth="1"/>
    <col min="5" max="5" width="12.28515625" style="17" customWidth="1"/>
    <col min="6" max="6" width="1.7109375" style="17" customWidth="1"/>
    <col min="7" max="7" width="12.28515625" style="17" customWidth="1"/>
    <col min="8" max="8" width="1.7109375" style="17" customWidth="1"/>
    <col min="9" max="9" width="12.28515625" style="17" customWidth="1"/>
    <col min="10" max="10" width="1.7109375" style="17" customWidth="1"/>
    <col min="11" max="11" width="12.28515625" style="17" customWidth="1"/>
    <col min="12" max="12" width="1.7109375" style="17" customWidth="1"/>
    <col min="13" max="13" width="12.28515625" style="17" customWidth="1"/>
    <col min="14" max="14" width="1.7109375" style="17" customWidth="1"/>
    <col min="15" max="15" width="12.28515625" style="17" customWidth="1"/>
    <col min="16" max="16" width="1.7109375" style="17" customWidth="1"/>
    <col min="17" max="17" width="12.28515625" style="17" customWidth="1"/>
    <col min="18" max="18" width="1.7109375" style="17" customWidth="1"/>
    <col min="19" max="19" width="12.28515625" style="2" customWidth="1"/>
    <col min="20" max="20" width="1.7109375" style="17" customWidth="1"/>
    <col min="21" max="21" width="12.28515625" style="32" customWidth="1"/>
    <col min="22" max="22" width="2.5703125" style="10" customWidth="1"/>
    <col min="23" max="23" width="12.28515625" style="10" customWidth="1"/>
    <col min="24" max="25" width="9.28515625" style="10" bestFit="1" customWidth="1"/>
    <col min="26" max="16384" width="9.140625" style="10"/>
  </cols>
  <sheetData>
    <row r="1" spans="1:24" s="31" customFormat="1" ht="12.75" customHeight="1" x14ac:dyDescent="0.2">
      <c r="A1" s="23" t="s">
        <v>387</v>
      </c>
      <c r="C1" s="23"/>
      <c r="D1" s="10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9"/>
      <c r="T1" s="23"/>
      <c r="U1" s="73"/>
      <c r="V1" s="24"/>
    </row>
    <row r="2" spans="1:24" s="31" customFormat="1" ht="12.75" customHeight="1" x14ac:dyDescent="0.2">
      <c r="A2" s="23" t="s">
        <v>501</v>
      </c>
      <c r="C2" s="23"/>
      <c r="D2" s="10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9"/>
      <c r="T2" s="23"/>
      <c r="U2" s="73"/>
      <c r="V2" s="24"/>
    </row>
    <row r="3" spans="1:24" s="17" customFormat="1" ht="12.75" customHeight="1" x14ac:dyDescent="0.2">
      <c r="A3" s="24" t="s">
        <v>289</v>
      </c>
      <c r="C3" s="11"/>
      <c r="D3" s="10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37"/>
      <c r="V3" s="11"/>
    </row>
    <row r="4" spans="1:24" s="17" customFormat="1" ht="12.75" customHeight="1" x14ac:dyDescent="0.2">
      <c r="A4" s="22" t="s">
        <v>484</v>
      </c>
      <c r="C4" s="11"/>
      <c r="D4" s="10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5"/>
      <c r="T4" s="11"/>
      <c r="U4" s="37"/>
      <c r="V4" s="11"/>
    </row>
    <row r="6" spans="1:24" s="30" customFormat="1" ht="12.75" customHeight="1" x14ac:dyDescent="0.2">
      <c r="A6" s="23"/>
      <c r="C6" s="25"/>
      <c r="D6" s="12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6"/>
      <c r="T6" s="25"/>
      <c r="U6" s="37"/>
      <c r="V6" s="25"/>
      <c r="W6" s="30" t="s">
        <v>294</v>
      </c>
    </row>
    <row r="7" spans="1:24" s="30" customFormat="1" ht="12.75" customHeight="1" x14ac:dyDescent="0.2">
      <c r="A7" s="25"/>
      <c r="C7" s="25"/>
      <c r="D7" s="25"/>
      <c r="E7" s="25" t="s">
        <v>293</v>
      </c>
      <c r="F7" s="25"/>
      <c r="G7" s="25" t="s">
        <v>326</v>
      </c>
      <c r="H7" s="25"/>
      <c r="I7" s="25" t="s">
        <v>294</v>
      </c>
      <c r="J7" s="25"/>
      <c r="K7" s="25" t="s">
        <v>292</v>
      </c>
      <c r="L7" s="25"/>
      <c r="M7" s="25" t="s">
        <v>327</v>
      </c>
      <c r="N7" s="25"/>
      <c r="O7" s="25" t="s">
        <v>328</v>
      </c>
      <c r="P7" s="25"/>
      <c r="Q7" s="25" t="s">
        <v>329</v>
      </c>
      <c r="R7" s="25"/>
      <c r="S7" s="6" t="s">
        <v>330</v>
      </c>
      <c r="T7" s="25"/>
      <c r="U7" s="6" t="s">
        <v>6</v>
      </c>
      <c r="V7" s="25"/>
      <c r="W7" s="30" t="s">
        <v>434</v>
      </c>
    </row>
    <row r="8" spans="1:24" s="98" customFormat="1" ht="12.75" customHeight="1" x14ac:dyDescent="0.2">
      <c r="A8" s="100" t="s">
        <v>8</v>
      </c>
      <c r="C8" s="100" t="s">
        <v>9</v>
      </c>
      <c r="D8" s="26"/>
      <c r="E8" s="100" t="s">
        <v>423</v>
      </c>
      <c r="F8" s="26"/>
      <c r="G8" s="100" t="s">
        <v>299</v>
      </c>
      <c r="H8" s="26"/>
      <c r="I8" s="100" t="s">
        <v>299</v>
      </c>
      <c r="J8" s="26"/>
      <c r="K8" s="100" t="s">
        <v>297</v>
      </c>
      <c r="L8" s="26"/>
      <c r="M8" s="100" t="s">
        <v>331</v>
      </c>
      <c r="N8" s="26"/>
      <c r="O8" s="100" t="s">
        <v>332</v>
      </c>
      <c r="P8" s="26"/>
      <c r="Q8" s="100" t="s">
        <v>401</v>
      </c>
      <c r="R8" s="26"/>
      <c r="S8" s="78" t="s">
        <v>323</v>
      </c>
      <c r="T8" s="26"/>
      <c r="U8" s="78" t="s">
        <v>302</v>
      </c>
      <c r="V8" s="26"/>
      <c r="W8" s="99" t="s">
        <v>435</v>
      </c>
    </row>
    <row r="9" spans="1:24" s="98" customFormat="1" ht="12.75" customHeight="1" x14ac:dyDescent="0.2">
      <c r="A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8"/>
      <c r="T9" s="26"/>
      <c r="U9" s="53"/>
      <c r="V9" s="26"/>
    </row>
    <row r="10" spans="1:24" s="46" customFormat="1" ht="12.75" hidden="1" customHeight="1" x14ac:dyDescent="0.2">
      <c r="A10" s="44" t="s">
        <v>12</v>
      </c>
      <c r="B10" s="49"/>
      <c r="C10" s="44" t="s">
        <v>13</v>
      </c>
      <c r="D10" s="35"/>
      <c r="E10" s="94">
        <v>15924550</v>
      </c>
      <c r="F10" s="94"/>
      <c r="G10" s="94">
        <v>79063709</v>
      </c>
      <c r="H10" s="94"/>
      <c r="I10" s="94">
        <v>0</v>
      </c>
      <c r="J10" s="94"/>
      <c r="K10" s="94">
        <v>17598716</v>
      </c>
      <c r="L10" s="94"/>
      <c r="M10" s="94">
        <f>32228+83112</f>
        <v>115340</v>
      </c>
      <c r="N10" s="94"/>
      <c r="O10" s="94">
        <v>60579</v>
      </c>
      <c r="P10" s="94"/>
      <c r="Q10" s="94">
        <v>5914001</v>
      </c>
      <c r="R10" s="94"/>
      <c r="S10" s="46">
        <f>U10-E10-G10-K10-M10-O10-Q10-I10</f>
        <v>27155795</v>
      </c>
      <c r="T10" s="94"/>
      <c r="U10" s="94">
        <v>145832690</v>
      </c>
      <c r="V10" s="64"/>
      <c r="W10" s="46">
        <v>558143</v>
      </c>
    </row>
    <row r="11" spans="1:24" s="46" customFormat="1" ht="12.75" customHeight="1" x14ac:dyDescent="0.2">
      <c r="A11" s="44" t="s">
        <v>14</v>
      </c>
      <c r="B11" s="49"/>
      <c r="C11" s="44" t="s">
        <v>15</v>
      </c>
      <c r="D11" s="35"/>
      <c r="E11" s="94">
        <v>808876</v>
      </c>
      <c r="F11" s="94"/>
      <c r="G11" s="94">
        <v>8046213</v>
      </c>
      <c r="H11" s="94"/>
      <c r="I11" s="94">
        <v>0</v>
      </c>
      <c r="J11" s="94"/>
      <c r="K11" s="94">
        <v>251838</v>
      </c>
      <c r="L11" s="94"/>
      <c r="M11" s="94">
        <v>1114381</v>
      </c>
      <c r="N11" s="94"/>
      <c r="O11" s="94">
        <v>0</v>
      </c>
      <c r="P11" s="94"/>
      <c r="Q11" s="94">
        <v>282747</v>
      </c>
      <c r="R11" s="94"/>
      <c r="S11" s="46">
        <f t="shared" ref="S11:S66" si="0">U11-E11-G11-K11-M11-O11-Q11-I11</f>
        <v>666647</v>
      </c>
      <c r="T11" s="94"/>
      <c r="U11" s="94">
        <v>11170702</v>
      </c>
      <c r="V11" s="64"/>
      <c r="W11" s="46">
        <v>0</v>
      </c>
    </row>
    <row r="12" spans="1:24" s="49" customFormat="1" ht="12.75" customHeight="1" x14ac:dyDescent="0.2">
      <c r="A12" s="44" t="s">
        <v>16</v>
      </c>
      <c r="C12" s="44" t="s">
        <v>17</v>
      </c>
      <c r="D12" s="35"/>
      <c r="E12" s="45">
        <v>848115</v>
      </c>
      <c r="F12" s="45"/>
      <c r="G12" s="45">
        <v>3187736</v>
      </c>
      <c r="H12" s="45"/>
      <c r="I12" s="45">
        <v>0</v>
      </c>
      <c r="J12" s="45"/>
      <c r="K12" s="45">
        <v>83951</v>
      </c>
      <c r="L12" s="45"/>
      <c r="M12" s="45">
        <v>642303</v>
      </c>
      <c r="N12" s="45"/>
      <c r="O12" s="45">
        <v>0</v>
      </c>
      <c r="P12" s="45"/>
      <c r="Q12" s="45">
        <f>149227+52287</f>
        <v>201514</v>
      </c>
      <c r="R12" s="45"/>
      <c r="S12" s="44">
        <f t="shared" si="0"/>
        <v>134726</v>
      </c>
      <c r="T12" s="45"/>
      <c r="U12" s="45">
        <v>5098345</v>
      </c>
      <c r="V12" s="35"/>
      <c r="W12" s="45">
        <v>0</v>
      </c>
    </row>
    <row r="13" spans="1:24" s="49" customFormat="1" ht="12.75" customHeight="1" x14ac:dyDescent="0.2">
      <c r="A13" s="44" t="s">
        <v>18</v>
      </c>
      <c r="C13" s="44" t="s">
        <v>18</v>
      </c>
      <c r="D13" s="35"/>
      <c r="E13" s="45">
        <v>659663</v>
      </c>
      <c r="F13" s="45"/>
      <c r="G13" s="45">
        <v>6783825</v>
      </c>
      <c r="H13" s="45"/>
      <c r="I13" s="45">
        <v>0</v>
      </c>
      <c r="J13" s="45"/>
      <c r="K13" s="45">
        <v>1757057</v>
      </c>
      <c r="L13" s="45"/>
      <c r="M13" s="45">
        <v>1623263</v>
      </c>
      <c r="N13" s="45"/>
      <c r="O13" s="45">
        <v>0</v>
      </c>
      <c r="P13" s="45"/>
      <c r="Q13" s="45">
        <f>28051+654071</f>
        <v>682122</v>
      </c>
      <c r="R13" s="45"/>
      <c r="S13" s="44">
        <f t="shared" si="0"/>
        <v>213584</v>
      </c>
      <c r="T13" s="45"/>
      <c r="U13" s="45">
        <v>11719514</v>
      </c>
      <c r="V13" s="35"/>
      <c r="W13" s="45">
        <v>0</v>
      </c>
    </row>
    <row r="14" spans="1:24" s="129" customFormat="1" ht="12.75" hidden="1" customHeight="1" x14ac:dyDescent="0.2">
      <c r="A14" s="121" t="s">
        <v>19</v>
      </c>
      <c r="C14" s="121" t="s">
        <v>19</v>
      </c>
      <c r="D14" s="126"/>
      <c r="E14" s="127">
        <v>954610</v>
      </c>
      <c r="F14" s="127"/>
      <c r="G14" s="127">
        <v>5418239</v>
      </c>
      <c r="H14" s="127"/>
      <c r="I14" s="127">
        <v>196277</v>
      </c>
      <c r="J14" s="127"/>
      <c r="K14" s="127">
        <v>202503</v>
      </c>
      <c r="L14" s="127"/>
      <c r="M14" s="127">
        <v>1507618</v>
      </c>
      <c r="N14" s="127"/>
      <c r="O14" s="127">
        <v>0</v>
      </c>
      <c r="P14" s="127"/>
      <c r="Q14" s="127">
        <f>43988+944207</f>
        <v>988195</v>
      </c>
      <c r="R14" s="127"/>
      <c r="S14" s="121">
        <f t="shared" si="0"/>
        <v>215749</v>
      </c>
      <c r="T14" s="127"/>
      <c r="U14" s="127">
        <v>9483191</v>
      </c>
      <c r="V14" s="126"/>
      <c r="W14" s="127">
        <v>77720</v>
      </c>
      <c r="X14" s="121" t="s">
        <v>502</v>
      </c>
    </row>
    <row r="15" spans="1:24" s="49" customFormat="1" ht="12.75" customHeight="1" x14ac:dyDescent="0.2">
      <c r="A15" s="44" t="s">
        <v>20</v>
      </c>
      <c r="C15" s="44" t="s">
        <v>20</v>
      </c>
      <c r="D15" s="35"/>
      <c r="E15" s="45">
        <v>778973</v>
      </c>
      <c r="F15" s="45"/>
      <c r="G15" s="45">
        <v>5961113</v>
      </c>
      <c r="H15" s="45"/>
      <c r="I15" s="45">
        <v>140221</v>
      </c>
      <c r="J15" s="45"/>
      <c r="K15" s="45">
        <v>917873</v>
      </c>
      <c r="L15" s="45"/>
      <c r="M15" s="45">
        <v>1170855</v>
      </c>
      <c r="N15" s="45"/>
      <c r="O15" s="45">
        <v>1759</v>
      </c>
      <c r="P15" s="45"/>
      <c r="Q15" s="45">
        <f>606345+1329496</f>
        <v>1935841</v>
      </c>
      <c r="R15" s="45"/>
      <c r="S15" s="44">
        <f t="shared" si="0"/>
        <v>277326</v>
      </c>
      <c r="T15" s="45"/>
      <c r="U15" s="45">
        <v>11183961</v>
      </c>
      <c r="V15" s="35"/>
      <c r="W15" s="45">
        <v>4000</v>
      </c>
    </row>
    <row r="16" spans="1:24" s="49" customFormat="1" ht="12.75" customHeight="1" x14ac:dyDescent="0.2">
      <c r="A16" s="44" t="s">
        <v>21</v>
      </c>
      <c r="C16" s="44" t="s">
        <v>22</v>
      </c>
      <c r="D16" s="35"/>
      <c r="E16" s="45">
        <v>1259705</v>
      </c>
      <c r="F16" s="45"/>
      <c r="G16" s="45">
        <v>9919697</v>
      </c>
      <c r="H16" s="45"/>
      <c r="I16" s="45">
        <v>1432733</v>
      </c>
      <c r="J16" s="45"/>
      <c r="K16" s="45">
        <v>109273</v>
      </c>
      <c r="L16" s="45"/>
      <c r="M16" s="45">
        <v>554695</v>
      </c>
      <c r="N16" s="45"/>
      <c r="O16" s="45">
        <v>0</v>
      </c>
      <c r="P16" s="45"/>
      <c r="Q16" s="45">
        <f>175937+14383</f>
        <v>190320</v>
      </c>
      <c r="R16" s="45"/>
      <c r="S16" s="44">
        <f t="shared" si="0"/>
        <v>123944</v>
      </c>
      <c r="T16" s="45"/>
      <c r="U16" s="45">
        <v>13590367</v>
      </c>
      <c r="V16" s="35"/>
      <c r="W16" s="45">
        <v>3128</v>
      </c>
    </row>
    <row r="17" spans="1:23" s="49" customFormat="1" ht="12.75" customHeight="1" x14ac:dyDescent="0.2">
      <c r="A17" s="44" t="s">
        <v>23</v>
      </c>
      <c r="C17" s="44" t="s">
        <v>17</v>
      </c>
      <c r="D17" s="35"/>
      <c r="E17" s="45">
        <v>1616742</v>
      </c>
      <c r="F17" s="45"/>
      <c r="G17" s="45">
        <v>5152086</v>
      </c>
      <c r="H17" s="45"/>
      <c r="I17" s="45">
        <v>0</v>
      </c>
      <c r="J17" s="45"/>
      <c r="K17" s="45">
        <v>422012</v>
      </c>
      <c r="L17" s="45"/>
      <c r="M17" s="45">
        <v>1393634</v>
      </c>
      <c r="N17" s="45"/>
      <c r="O17" s="45">
        <v>0</v>
      </c>
      <c r="P17" s="45"/>
      <c r="Q17" s="45">
        <f>611802+196404</f>
        <v>808206</v>
      </c>
      <c r="R17" s="45"/>
      <c r="S17" s="44">
        <f t="shared" si="0"/>
        <v>269102</v>
      </c>
      <c r="T17" s="45"/>
      <c r="U17" s="45">
        <v>9661782</v>
      </c>
      <c r="V17" s="35"/>
      <c r="W17" s="45">
        <v>216810</v>
      </c>
    </row>
    <row r="18" spans="1:23" s="49" customFormat="1" ht="12.75" customHeight="1" x14ac:dyDescent="0.2">
      <c r="A18" s="44" t="s">
        <v>24</v>
      </c>
      <c r="C18" s="44" t="s">
        <v>17</v>
      </c>
      <c r="D18" s="35"/>
      <c r="E18" s="45">
        <v>3867712</v>
      </c>
      <c r="F18" s="45"/>
      <c r="G18" s="45">
        <v>6875408</v>
      </c>
      <c r="H18" s="45"/>
      <c r="I18" s="45">
        <v>0</v>
      </c>
      <c r="J18" s="45"/>
      <c r="K18" s="45">
        <v>908736</v>
      </c>
      <c r="L18" s="45"/>
      <c r="M18" s="45">
        <v>1883889</v>
      </c>
      <c r="N18" s="45"/>
      <c r="O18" s="45">
        <v>0</v>
      </c>
      <c r="P18" s="45"/>
      <c r="Q18" s="45">
        <f>217945+273248</f>
        <v>491193</v>
      </c>
      <c r="R18" s="45"/>
      <c r="S18" s="44">
        <f t="shared" ref="S18" si="1">U18-E18-G18-K18-M18-O18-Q18-I18</f>
        <v>126338</v>
      </c>
      <c r="T18" s="45"/>
      <c r="U18" s="45">
        <v>14153276</v>
      </c>
      <c r="V18" s="35"/>
      <c r="W18" s="45">
        <v>37061</v>
      </c>
    </row>
    <row r="19" spans="1:23" s="49" customFormat="1" ht="12.75" customHeight="1" x14ac:dyDescent="0.2">
      <c r="A19" s="44" t="s">
        <v>25</v>
      </c>
      <c r="C19" s="44" t="s">
        <v>13</v>
      </c>
      <c r="D19" s="35"/>
      <c r="E19" s="45">
        <v>950166</v>
      </c>
      <c r="F19" s="45"/>
      <c r="G19" s="45">
        <v>11199981</v>
      </c>
      <c r="H19" s="45"/>
      <c r="I19" s="45">
        <v>0</v>
      </c>
      <c r="J19" s="45"/>
      <c r="K19" s="45">
        <v>1868733</v>
      </c>
      <c r="L19" s="45"/>
      <c r="M19" s="45">
        <v>2743019</v>
      </c>
      <c r="N19" s="45"/>
      <c r="O19" s="45">
        <v>0</v>
      </c>
      <c r="P19" s="45"/>
      <c r="Q19" s="45">
        <f>556560+72325</f>
        <v>628885</v>
      </c>
      <c r="R19" s="45"/>
      <c r="S19" s="44">
        <f t="shared" si="0"/>
        <v>272449</v>
      </c>
      <c r="T19" s="45"/>
      <c r="U19" s="45">
        <v>17663233</v>
      </c>
      <c r="V19" s="35"/>
      <c r="W19" s="45">
        <f>11321+206607</f>
        <v>217928</v>
      </c>
    </row>
    <row r="20" spans="1:23" s="49" customFormat="1" ht="12.75" customHeight="1" x14ac:dyDescent="0.2">
      <c r="A20" s="44" t="s">
        <v>26</v>
      </c>
      <c r="C20" s="44" t="s">
        <v>27</v>
      </c>
      <c r="D20" s="35"/>
      <c r="E20" s="45">
        <v>3454293</v>
      </c>
      <c r="F20" s="45"/>
      <c r="G20" s="45">
        <v>4912030</v>
      </c>
      <c r="H20" s="45"/>
      <c r="I20" s="45">
        <v>0</v>
      </c>
      <c r="J20" s="45"/>
      <c r="K20" s="45">
        <v>244658</v>
      </c>
      <c r="L20" s="45"/>
      <c r="M20" s="45">
        <v>1740178</v>
      </c>
      <c r="N20" s="45"/>
      <c r="O20" s="45">
        <v>0</v>
      </c>
      <c r="P20" s="45"/>
      <c r="Q20" s="45">
        <v>546090</v>
      </c>
      <c r="R20" s="45"/>
      <c r="S20" s="44">
        <f t="shared" si="0"/>
        <v>495548</v>
      </c>
      <c r="T20" s="45"/>
      <c r="U20" s="45">
        <v>11392797</v>
      </c>
      <c r="V20" s="35"/>
      <c r="W20" s="45">
        <v>0</v>
      </c>
    </row>
    <row r="21" spans="1:23" s="49" customFormat="1" ht="12.75" customHeight="1" x14ac:dyDescent="0.2">
      <c r="A21" s="44" t="s">
        <v>28</v>
      </c>
      <c r="C21" s="44" t="s">
        <v>27</v>
      </c>
      <c r="D21" s="35"/>
      <c r="E21" s="45">
        <v>2285026</v>
      </c>
      <c r="F21" s="45"/>
      <c r="G21" s="45">
        <v>25227131</v>
      </c>
      <c r="H21" s="45"/>
      <c r="I21" s="45">
        <f>3201902+414334+729988+119925</f>
        <v>4466149</v>
      </c>
      <c r="J21" s="45"/>
      <c r="K21" s="45">
        <v>1994018</v>
      </c>
      <c r="L21" s="45"/>
      <c r="M21" s="45">
        <v>657853</v>
      </c>
      <c r="N21" s="45"/>
      <c r="O21" s="45">
        <v>0</v>
      </c>
      <c r="P21" s="45"/>
      <c r="Q21" s="45">
        <v>1986768</v>
      </c>
      <c r="R21" s="45"/>
      <c r="S21" s="44">
        <f t="shared" si="0"/>
        <v>806857</v>
      </c>
      <c r="T21" s="45"/>
      <c r="U21" s="45">
        <v>37423802</v>
      </c>
      <c r="V21" s="35"/>
      <c r="W21" s="45">
        <v>0</v>
      </c>
    </row>
    <row r="22" spans="1:23" s="49" customFormat="1" ht="12.75" customHeight="1" x14ac:dyDescent="0.2">
      <c r="A22" s="44" t="s">
        <v>29</v>
      </c>
      <c r="C22" s="44" t="s">
        <v>30</v>
      </c>
      <c r="D22" s="35"/>
      <c r="E22" s="45">
        <v>1328027</v>
      </c>
      <c r="F22" s="45"/>
      <c r="G22" s="45">
        <v>0</v>
      </c>
      <c r="H22" s="45"/>
      <c r="I22" s="45">
        <v>125911</v>
      </c>
      <c r="J22" s="45"/>
      <c r="K22" s="45">
        <v>729713</v>
      </c>
      <c r="L22" s="45"/>
      <c r="M22" s="45">
        <v>2121588</v>
      </c>
      <c r="N22" s="45"/>
      <c r="O22" s="45">
        <v>0</v>
      </c>
      <c r="P22" s="45"/>
      <c r="Q22" s="45">
        <v>708227</v>
      </c>
      <c r="R22" s="45"/>
      <c r="S22" s="44">
        <f t="shared" si="0"/>
        <v>64207</v>
      </c>
      <c r="T22" s="45"/>
      <c r="U22" s="45">
        <v>5077673</v>
      </c>
      <c r="V22" s="35"/>
      <c r="W22" s="45">
        <v>0</v>
      </c>
    </row>
    <row r="23" spans="1:23" s="49" customFormat="1" ht="12.75" customHeight="1" x14ac:dyDescent="0.2">
      <c r="A23" s="44" t="s">
        <v>31</v>
      </c>
      <c r="C23" s="44" t="s">
        <v>27</v>
      </c>
      <c r="D23" s="35"/>
      <c r="E23" s="45">
        <v>2217431</v>
      </c>
      <c r="F23" s="45"/>
      <c r="G23" s="45">
        <v>8990512</v>
      </c>
      <c r="H23" s="45"/>
      <c r="I23" s="45">
        <v>0</v>
      </c>
      <c r="J23" s="45"/>
      <c r="K23" s="45">
        <v>1024398</v>
      </c>
      <c r="L23" s="45"/>
      <c r="M23" s="45">
        <v>1938999</v>
      </c>
      <c r="N23" s="45"/>
      <c r="O23" s="45">
        <v>0</v>
      </c>
      <c r="P23" s="45"/>
      <c r="Q23" s="45">
        <f>248210+1493914</f>
        <v>1742124</v>
      </c>
      <c r="R23" s="45"/>
      <c r="S23" s="44">
        <f t="shared" si="0"/>
        <v>157659</v>
      </c>
      <c r="T23" s="45"/>
      <c r="U23" s="45">
        <v>16071123</v>
      </c>
      <c r="V23" s="35"/>
      <c r="W23" s="45">
        <v>11747</v>
      </c>
    </row>
    <row r="24" spans="1:23" s="49" customFormat="1" ht="12.75" customHeight="1" x14ac:dyDescent="0.2">
      <c r="A24" s="44" t="s">
        <v>32</v>
      </c>
      <c r="C24" s="44" t="s">
        <v>27</v>
      </c>
      <c r="D24" s="35"/>
      <c r="E24" s="45">
        <v>1319519</v>
      </c>
      <c r="F24" s="45"/>
      <c r="G24" s="45">
        <v>8008081</v>
      </c>
      <c r="H24" s="45"/>
      <c r="I24" s="45">
        <v>0</v>
      </c>
      <c r="J24" s="45"/>
      <c r="K24" s="45">
        <v>2737659</v>
      </c>
      <c r="L24" s="45"/>
      <c r="M24" s="45">
        <v>860055</v>
      </c>
      <c r="N24" s="45"/>
      <c r="O24" s="45">
        <v>0</v>
      </c>
      <c r="P24" s="45"/>
      <c r="Q24" s="45">
        <f>226149+142135</f>
        <v>368284</v>
      </c>
      <c r="R24" s="45"/>
      <c r="S24" s="44">
        <f t="shared" si="0"/>
        <v>288821</v>
      </c>
      <c r="T24" s="45"/>
      <c r="U24" s="45">
        <v>13582419</v>
      </c>
      <c r="V24" s="35"/>
      <c r="W24" s="45">
        <v>0</v>
      </c>
    </row>
    <row r="25" spans="1:23" s="49" customFormat="1" ht="12.75" customHeight="1" x14ac:dyDescent="0.2">
      <c r="A25" s="46" t="s">
        <v>34</v>
      </c>
      <c r="B25" s="46"/>
      <c r="C25" s="46" t="s">
        <v>30</v>
      </c>
      <c r="D25" s="64"/>
      <c r="E25" s="45">
        <v>597698</v>
      </c>
      <c r="F25" s="45"/>
      <c r="G25" s="45">
        <v>0</v>
      </c>
      <c r="H25" s="45"/>
      <c r="I25" s="45">
        <v>0</v>
      </c>
      <c r="J25" s="45"/>
      <c r="K25" s="45">
        <v>31946</v>
      </c>
      <c r="L25" s="45"/>
      <c r="M25" s="45">
        <v>525606</v>
      </c>
      <c r="N25" s="45"/>
      <c r="O25" s="45">
        <v>4517</v>
      </c>
      <c r="P25" s="45"/>
      <c r="Q25" s="45">
        <v>143902</v>
      </c>
      <c r="R25" s="45"/>
      <c r="S25" s="44">
        <f t="shared" si="0"/>
        <v>13918</v>
      </c>
      <c r="T25" s="45"/>
      <c r="U25" s="45">
        <v>1317587</v>
      </c>
      <c r="V25" s="35"/>
      <c r="W25" s="45">
        <v>0</v>
      </c>
    </row>
    <row r="26" spans="1:23" s="49" customFormat="1" ht="12.75" customHeight="1" x14ac:dyDescent="0.2">
      <c r="A26" s="44" t="s">
        <v>35</v>
      </c>
      <c r="C26" s="44" t="s">
        <v>36</v>
      </c>
      <c r="D26" s="35"/>
      <c r="E26" s="45">
        <v>460801</v>
      </c>
      <c r="F26" s="45"/>
      <c r="G26" s="45">
        <v>4917561</v>
      </c>
      <c r="H26" s="45"/>
      <c r="I26" s="45">
        <v>22613</v>
      </c>
      <c r="J26" s="45"/>
      <c r="K26" s="45">
        <v>152511</v>
      </c>
      <c r="L26" s="45"/>
      <c r="M26" s="45">
        <v>1015152</v>
      </c>
      <c r="N26" s="45"/>
      <c r="O26" s="45">
        <v>0</v>
      </c>
      <c r="P26" s="45"/>
      <c r="Q26" s="45">
        <f>93429+496529</f>
        <v>589958</v>
      </c>
      <c r="R26" s="45"/>
      <c r="S26" s="44">
        <f t="shared" si="0"/>
        <v>103224</v>
      </c>
      <c r="T26" s="45"/>
      <c r="U26" s="45">
        <v>7261820</v>
      </c>
      <c r="V26" s="35"/>
      <c r="W26" s="45">
        <v>0</v>
      </c>
    </row>
    <row r="27" spans="1:23" s="49" customFormat="1" ht="12.75" customHeight="1" x14ac:dyDescent="0.2">
      <c r="A27" s="44" t="s">
        <v>37</v>
      </c>
      <c r="C27" s="44" t="s">
        <v>38</v>
      </c>
      <c r="D27" s="35"/>
      <c r="E27" s="45">
        <v>231005</v>
      </c>
      <c r="F27" s="45"/>
      <c r="G27" s="45">
        <v>3466345</v>
      </c>
      <c r="H27" s="45"/>
      <c r="I27" s="45">
        <v>0</v>
      </c>
      <c r="J27" s="45"/>
      <c r="K27" s="45">
        <v>22235</v>
      </c>
      <c r="L27" s="45"/>
      <c r="M27" s="45">
        <v>870973</v>
      </c>
      <c r="N27" s="45"/>
      <c r="O27" s="45">
        <v>0</v>
      </c>
      <c r="P27" s="45"/>
      <c r="Q27" s="45">
        <f>98111+138237</f>
        <v>236348</v>
      </c>
      <c r="R27" s="45"/>
      <c r="S27" s="44">
        <f t="shared" si="0"/>
        <v>155149</v>
      </c>
      <c r="T27" s="45"/>
      <c r="U27" s="45">
        <v>4982055</v>
      </c>
      <c r="V27" s="35"/>
      <c r="W27" s="45">
        <v>0</v>
      </c>
    </row>
    <row r="28" spans="1:23" s="49" customFormat="1" ht="12.75" customHeight="1" x14ac:dyDescent="0.2">
      <c r="A28" s="46" t="s">
        <v>39</v>
      </c>
      <c r="B28" s="46"/>
      <c r="C28" s="46" t="s">
        <v>40</v>
      </c>
      <c r="D28" s="64"/>
      <c r="E28" s="45">
        <v>299292</v>
      </c>
      <c r="F28" s="45"/>
      <c r="G28" s="45">
        <v>1079426</v>
      </c>
      <c r="H28" s="45"/>
      <c r="I28" s="45">
        <v>0</v>
      </c>
      <c r="J28" s="45"/>
      <c r="K28" s="45">
        <v>964552</v>
      </c>
      <c r="L28" s="45"/>
      <c r="M28" s="45">
        <v>227480</v>
      </c>
      <c r="N28" s="45"/>
      <c r="O28" s="45">
        <v>0</v>
      </c>
      <c r="P28" s="45"/>
      <c r="Q28" s="45">
        <v>247314</v>
      </c>
      <c r="R28" s="45"/>
      <c r="S28" s="44">
        <f t="shared" si="0"/>
        <v>89325</v>
      </c>
      <c r="T28" s="45"/>
      <c r="U28" s="45">
        <v>2907389</v>
      </c>
      <c r="V28" s="35"/>
      <c r="W28" s="45">
        <v>0</v>
      </c>
    </row>
    <row r="29" spans="1:23" s="49" customFormat="1" ht="12.75" customHeight="1" x14ac:dyDescent="0.2">
      <c r="A29" s="44" t="s">
        <v>41</v>
      </c>
      <c r="C29" s="44" t="s">
        <v>27</v>
      </c>
      <c r="D29" s="35"/>
      <c r="E29" s="45">
        <v>1596129</v>
      </c>
      <c r="F29" s="45"/>
      <c r="G29" s="45">
        <v>10454513</v>
      </c>
      <c r="H29" s="45"/>
      <c r="I29" s="45">
        <v>260819</v>
      </c>
      <c r="J29" s="45"/>
      <c r="K29" s="45">
        <v>544031</v>
      </c>
      <c r="L29" s="45"/>
      <c r="M29" s="45">
        <v>1511889</v>
      </c>
      <c r="N29" s="45"/>
      <c r="O29" s="45">
        <v>1267</v>
      </c>
      <c r="P29" s="45"/>
      <c r="Q29" s="45">
        <f>328847+1383788</f>
        <v>1712635</v>
      </c>
      <c r="R29" s="45"/>
      <c r="S29" s="44">
        <f t="shared" si="0"/>
        <v>195237</v>
      </c>
      <c r="T29" s="45"/>
      <c r="U29" s="45">
        <v>16276520</v>
      </c>
      <c r="V29" s="35"/>
      <c r="W29" s="45">
        <v>0</v>
      </c>
    </row>
    <row r="30" spans="1:23" s="49" customFormat="1" ht="12.75" customHeight="1" x14ac:dyDescent="0.2">
      <c r="A30" s="44" t="s">
        <v>42</v>
      </c>
      <c r="C30" s="44" t="s">
        <v>43</v>
      </c>
      <c r="D30" s="35"/>
      <c r="E30" s="45">
        <v>646302</v>
      </c>
      <c r="F30" s="45"/>
      <c r="G30" s="45">
        <v>6543407</v>
      </c>
      <c r="H30" s="45"/>
      <c r="I30" s="45">
        <v>183380</v>
      </c>
      <c r="J30" s="45"/>
      <c r="K30" s="45">
        <v>894231</v>
      </c>
      <c r="L30" s="45"/>
      <c r="M30" s="45">
        <v>1413288</v>
      </c>
      <c r="N30" s="45"/>
      <c r="O30" s="45">
        <v>0</v>
      </c>
      <c r="P30" s="45"/>
      <c r="Q30" s="45">
        <f>233611+77931</f>
        <v>311542</v>
      </c>
      <c r="R30" s="45"/>
      <c r="S30" s="44">
        <f t="shared" si="0"/>
        <v>257773</v>
      </c>
      <c r="T30" s="45"/>
      <c r="U30" s="45">
        <v>10249923</v>
      </c>
      <c r="V30" s="35"/>
      <c r="W30" s="45">
        <v>0</v>
      </c>
    </row>
    <row r="31" spans="1:23" s="49" customFormat="1" ht="12.75" customHeight="1" x14ac:dyDescent="0.2">
      <c r="A31" s="44" t="s">
        <v>44</v>
      </c>
      <c r="C31" s="44" t="s">
        <v>45</v>
      </c>
      <c r="D31" s="35"/>
      <c r="E31" s="45">
        <v>2090590</v>
      </c>
      <c r="F31" s="45"/>
      <c r="G31" s="45">
        <v>29937730</v>
      </c>
      <c r="H31" s="45"/>
      <c r="I31" s="45">
        <v>927172</v>
      </c>
      <c r="J31" s="45"/>
      <c r="K31" s="45">
        <v>641709</v>
      </c>
      <c r="L31" s="45"/>
      <c r="M31" s="45">
        <v>1467619</v>
      </c>
      <c r="N31" s="45"/>
      <c r="O31" s="45">
        <v>0</v>
      </c>
      <c r="P31" s="45"/>
      <c r="Q31" s="45">
        <f>425185+124845</f>
        <v>550030</v>
      </c>
      <c r="R31" s="45"/>
      <c r="S31" s="44">
        <f t="shared" si="0"/>
        <v>32357</v>
      </c>
      <c r="T31" s="45"/>
      <c r="U31" s="45">
        <v>35647207</v>
      </c>
      <c r="V31" s="35"/>
      <c r="W31" s="45">
        <v>0</v>
      </c>
    </row>
    <row r="32" spans="1:23" s="49" customFormat="1" ht="12.75" customHeight="1" x14ac:dyDescent="0.2">
      <c r="A32" s="44" t="s">
        <v>46</v>
      </c>
      <c r="C32" s="44" t="s">
        <v>47</v>
      </c>
      <c r="D32" s="35"/>
      <c r="E32" s="45">
        <v>1629720</v>
      </c>
      <c r="F32" s="45"/>
      <c r="G32" s="45">
        <v>6028705</v>
      </c>
      <c r="H32" s="45"/>
      <c r="I32" s="45">
        <v>2496539</v>
      </c>
      <c r="J32" s="45"/>
      <c r="K32" s="45">
        <v>1732034</v>
      </c>
      <c r="L32" s="45"/>
      <c r="M32" s="45">
        <v>2144455</v>
      </c>
      <c r="N32" s="45"/>
      <c r="O32" s="45">
        <v>0</v>
      </c>
      <c r="P32" s="45"/>
      <c r="Q32" s="45">
        <f>32679+712290</f>
        <v>744969</v>
      </c>
      <c r="R32" s="45"/>
      <c r="S32" s="44">
        <f t="shared" si="0"/>
        <v>281246</v>
      </c>
      <c r="T32" s="45"/>
      <c r="U32" s="45">
        <v>15057668</v>
      </c>
      <c r="V32" s="35"/>
      <c r="W32" s="45">
        <v>0</v>
      </c>
    </row>
    <row r="33" spans="1:24" s="49" customFormat="1" ht="12.75" customHeight="1" x14ac:dyDescent="0.2">
      <c r="A33" s="44" t="s">
        <v>48</v>
      </c>
      <c r="C33" s="44" t="s">
        <v>27</v>
      </c>
      <c r="D33" s="35"/>
      <c r="E33" s="45">
        <v>1827880</v>
      </c>
      <c r="F33" s="45"/>
      <c r="G33" s="45">
        <v>12698641</v>
      </c>
      <c r="H33" s="45"/>
      <c r="I33" s="45">
        <v>0</v>
      </c>
      <c r="J33" s="45"/>
      <c r="K33" s="45">
        <v>59075</v>
      </c>
      <c r="L33" s="45"/>
      <c r="M33" s="45">
        <v>1152867</v>
      </c>
      <c r="N33" s="45"/>
      <c r="O33" s="45">
        <v>0</v>
      </c>
      <c r="P33" s="45"/>
      <c r="Q33" s="45">
        <f>367677+249010</f>
        <v>616687</v>
      </c>
      <c r="R33" s="45"/>
      <c r="S33" s="44">
        <f t="shared" si="0"/>
        <v>572800</v>
      </c>
      <c r="T33" s="45"/>
      <c r="U33" s="45">
        <v>16927950</v>
      </c>
      <c r="V33" s="35"/>
      <c r="W33" s="45">
        <v>32985</v>
      </c>
    </row>
    <row r="34" spans="1:24" s="49" customFormat="1" ht="12.75" customHeight="1" x14ac:dyDescent="0.2">
      <c r="A34" s="44" t="s">
        <v>49</v>
      </c>
      <c r="C34" s="44" t="s">
        <v>27</v>
      </c>
      <c r="D34" s="35"/>
      <c r="E34" s="45">
        <v>8867233</v>
      </c>
      <c r="F34" s="45"/>
      <c r="G34" s="45">
        <v>0</v>
      </c>
      <c r="H34" s="45"/>
      <c r="I34" s="45">
        <v>0</v>
      </c>
      <c r="J34" s="45"/>
      <c r="K34" s="45">
        <v>552327</v>
      </c>
      <c r="L34" s="45"/>
      <c r="M34" s="45">
        <v>795134</v>
      </c>
      <c r="N34" s="45"/>
      <c r="O34" s="45">
        <v>38115</v>
      </c>
      <c r="P34" s="45"/>
      <c r="Q34" s="45">
        <f>862363+287075</f>
        <v>1149438</v>
      </c>
      <c r="R34" s="45"/>
      <c r="S34" s="44">
        <f t="shared" si="0"/>
        <v>190471</v>
      </c>
      <c r="T34" s="45"/>
      <c r="U34" s="45">
        <v>11592718</v>
      </c>
      <c r="V34" s="35"/>
      <c r="W34" s="45">
        <v>0</v>
      </c>
    </row>
    <row r="35" spans="1:24" s="49" customFormat="1" ht="12.75" customHeight="1" x14ac:dyDescent="0.2">
      <c r="A35" s="44" t="s">
        <v>50</v>
      </c>
      <c r="C35" s="44" t="s">
        <v>27</v>
      </c>
      <c r="D35" s="35"/>
      <c r="E35" s="45">
        <v>1660773</v>
      </c>
      <c r="F35" s="45"/>
      <c r="G35" s="45">
        <v>15456658</v>
      </c>
      <c r="H35" s="45"/>
      <c r="I35" s="45">
        <v>325486</v>
      </c>
      <c r="J35" s="45"/>
      <c r="K35" s="45">
        <v>1984816</v>
      </c>
      <c r="L35" s="45"/>
      <c r="M35" s="45">
        <v>1551400</v>
      </c>
      <c r="N35" s="45"/>
      <c r="O35" s="45">
        <v>0</v>
      </c>
      <c r="P35" s="45"/>
      <c r="Q35" s="45">
        <f>705694+243429</f>
        <v>949123</v>
      </c>
      <c r="R35" s="45"/>
      <c r="S35" s="44">
        <f t="shared" si="0"/>
        <v>186335</v>
      </c>
      <c r="T35" s="45"/>
      <c r="U35" s="45">
        <v>22114591</v>
      </c>
      <c r="V35" s="35"/>
      <c r="W35" s="45">
        <f>1387+100000</f>
        <v>101387</v>
      </c>
    </row>
    <row r="36" spans="1:24" s="49" customFormat="1" ht="12.75" customHeight="1" x14ac:dyDescent="0.2">
      <c r="A36" s="44" t="s">
        <v>51</v>
      </c>
      <c r="C36" s="44" t="s">
        <v>27</v>
      </c>
      <c r="D36" s="35"/>
      <c r="E36" s="45">
        <v>662246</v>
      </c>
      <c r="F36" s="45"/>
      <c r="G36" s="45">
        <v>12591624</v>
      </c>
      <c r="H36" s="45"/>
      <c r="I36" s="45">
        <v>267316</v>
      </c>
      <c r="J36" s="45"/>
      <c r="K36" s="45">
        <v>1021729</v>
      </c>
      <c r="L36" s="45"/>
      <c r="M36" s="45">
        <v>1192508</v>
      </c>
      <c r="N36" s="45"/>
      <c r="O36" s="45">
        <v>0</v>
      </c>
      <c r="P36" s="45"/>
      <c r="Q36" s="45">
        <v>520596</v>
      </c>
      <c r="R36" s="45"/>
      <c r="S36" s="44">
        <f t="shared" si="0"/>
        <v>193945</v>
      </c>
      <c r="T36" s="45"/>
      <c r="U36" s="45">
        <v>16449964</v>
      </c>
      <c r="V36" s="35"/>
      <c r="W36" s="45">
        <v>43705</v>
      </c>
    </row>
    <row r="37" spans="1:24" s="49" customFormat="1" ht="12.75" customHeight="1" x14ac:dyDescent="0.2">
      <c r="A37" s="44" t="s">
        <v>462</v>
      </c>
      <c r="C37" s="44" t="s">
        <v>66</v>
      </c>
      <c r="D37" s="35"/>
      <c r="E37" s="45">
        <v>152294</v>
      </c>
      <c r="F37" s="45"/>
      <c r="G37" s="45">
        <v>2543824</v>
      </c>
      <c r="H37" s="45"/>
      <c r="I37" s="45">
        <v>0</v>
      </c>
      <c r="J37" s="45"/>
      <c r="K37" s="45">
        <v>786082</v>
      </c>
      <c r="L37" s="45"/>
      <c r="M37" s="45">
        <v>570531</v>
      </c>
      <c r="N37" s="45"/>
      <c r="O37" s="45">
        <v>0</v>
      </c>
      <c r="P37" s="45"/>
      <c r="Q37" s="45">
        <v>119083</v>
      </c>
      <c r="R37" s="45"/>
      <c r="S37" s="44">
        <f t="shared" si="0"/>
        <v>36024</v>
      </c>
      <c r="T37" s="45"/>
      <c r="U37" s="45">
        <v>4207838</v>
      </c>
      <c r="V37" s="35"/>
      <c r="W37" s="45">
        <v>4062</v>
      </c>
    </row>
    <row r="38" spans="1:24" s="49" customFormat="1" ht="12.75" customHeight="1" x14ac:dyDescent="0.2">
      <c r="A38" s="44" t="s">
        <v>52</v>
      </c>
      <c r="C38" s="44" t="s">
        <v>53</v>
      </c>
      <c r="D38" s="35"/>
      <c r="E38" s="45">
        <v>1419130</v>
      </c>
      <c r="F38" s="45"/>
      <c r="G38" s="45">
        <v>3036373</v>
      </c>
      <c r="H38" s="45"/>
      <c r="I38" s="45">
        <v>0</v>
      </c>
      <c r="J38" s="45"/>
      <c r="K38" s="45">
        <v>65574</v>
      </c>
      <c r="L38" s="45"/>
      <c r="M38" s="45">
        <v>1390280</v>
      </c>
      <c r="N38" s="45"/>
      <c r="O38" s="45">
        <v>0</v>
      </c>
      <c r="P38" s="45"/>
      <c r="Q38" s="45">
        <f>1103088+4601</f>
        <v>1107689</v>
      </c>
      <c r="R38" s="45"/>
      <c r="S38" s="44">
        <f t="shared" si="0"/>
        <v>52296</v>
      </c>
      <c r="T38" s="45"/>
      <c r="U38" s="45">
        <v>7071342</v>
      </c>
      <c r="V38" s="35"/>
      <c r="W38" s="45">
        <v>0</v>
      </c>
    </row>
    <row r="39" spans="1:24" s="49" customFormat="1" ht="12.75" customHeight="1" x14ac:dyDescent="0.2">
      <c r="A39" s="44" t="s">
        <v>54</v>
      </c>
      <c r="C39" s="44" t="s">
        <v>55</v>
      </c>
      <c r="D39" s="35"/>
      <c r="E39" s="45">
        <v>6540412</v>
      </c>
      <c r="F39" s="45"/>
      <c r="G39" s="45">
        <v>0</v>
      </c>
      <c r="H39" s="45"/>
      <c r="I39" s="45">
        <v>0</v>
      </c>
      <c r="J39" s="45"/>
      <c r="K39" s="45">
        <v>162563</v>
      </c>
      <c r="L39" s="45"/>
      <c r="M39" s="45">
        <v>717089</v>
      </c>
      <c r="N39" s="45"/>
      <c r="O39" s="45">
        <v>0</v>
      </c>
      <c r="P39" s="45"/>
      <c r="Q39" s="45">
        <f>11655+529340</f>
        <v>540995</v>
      </c>
      <c r="R39" s="45"/>
      <c r="S39" s="44">
        <f t="shared" si="0"/>
        <v>473748</v>
      </c>
      <c r="T39" s="45"/>
      <c r="U39" s="45">
        <v>8434807</v>
      </c>
      <c r="V39" s="35"/>
      <c r="W39" s="45">
        <v>2050</v>
      </c>
    </row>
    <row r="40" spans="1:24" s="49" customFormat="1" ht="12.75" customHeight="1" x14ac:dyDescent="0.2">
      <c r="A40" s="44" t="s">
        <v>56</v>
      </c>
      <c r="C40" s="44" t="s">
        <v>57</v>
      </c>
      <c r="D40" s="35"/>
      <c r="E40" s="45">
        <v>491949</v>
      </c>
      <c r="F40" s="45"/>
      <c r="G40" s="45">
        <v>2655608</v>
      </c>
      <c r="H40" s="45"/>
      <c r="I40" s="45">
        <v>34334</v>
      </c>
      <c r="J40" s="45"/>
      <c r="K40" s="45">
        <v>389574</v>
      </c>
      <c r="L40" s="45"/>
      <c r="M40" s="45">
        <v>615100</v>
      </c>
      <c r="N40" s="45"/>
      <c r="O40" s="45">
        <v>0</v>
      </c>
      <c r="P40" s="45"/>
      <c r="Q40" s="45">
        <v>56258</v>
      </c>
      <c r="R40" s="45"/>
      <c r="S40" s="44">
        <f t="shared" si="0"/>
        <v>229717</v>
      </c>
      <c r="T40" s="45"/>
      <c r="U40" s="45">
        <v>4472540</v>
      </c>
      <c r="V40" s="35"/>
      <c r="W40" s="45">
        <v>0</v>
      </c>
    </row>
    <row r="41" spans="1:24" s="49" customFormat="1" ht="12.75" customHeight="1" x14ac:dyDescent="0.2">
      <c r="A41" s="44" t="s">
        <v>58</v>
      </c>
      <c r="C41" s="44" t="s">
        <v>59</v>
      </c>
      <c r="D41" s="35"/>
      <c r="E41" s="45">
        <v>291815</v>
      </c>
      <c r="F41" s="45"/>
      <c r="G41" s="45">
        <v>4608977</v>
      </c>
      <c r="H41" s="45"/>
      <c r="I41" s="45">
        <v>0</v>
      </c>
      <c r="J41" s="45"/>
      <c r="K41" s="45">
        <v>232307</v>
      </c>
      <c r="L41" s="45"/>
      <c r="M41" s="45">
        <v>2831792</v>
      </c>
      <c r="N41" s="45"/>
      <c r="O41" s="45">
        <v>0</v>
      </c>
      <c r="P41" s="45"/>
      <c r="Q41" s="45">
        <f>146333+525843</f>
        <v>672176</v>
      </c>
      <c r="R41" s="45"/>
      <c r="S41" s="44">
        <f t="shared" si="0"/>
        <v>124891</v>
      </c>
      <c r="T41" s="45"/>
      <c r="U41" s="45">
        <v>8761958</v>
      </c>
      <c r="V41" s="35"/>
      <c r="W41" s="45">
        <f>9950+82328</f>
        <v>92278</v>
      </c>
    </row>
    <row r="42" spans="1:24" s="49" customFormat="1" ht="12.75" customHeight="1" x14ac:dyDescent="0.2">
      <c r="A42" s="46" t="s">
        <v>476</v>
      </c>
      <c r="B42" s="46"/>
      <c r="C42" s="46" t="s">
        <v>15</v>
      </c>
      <c r="D42" s="64"/>
      <c r="E42" s="45">
        <v>206707</v>
      </c>
      <c r="F42" s="45"/>
      <c r="G42" s="45">
        <v>1900832</v>
      </c>
      <c r="H42" s="45"/>
      <c r="I42" s="45">
        <v>0</v>
      </c>
      <c r="J42" s="45"/>
      <c r="K42" s="45">
        <v>6673</v>
      </c>
      <c r="L42" s="45"/>
      <c r="M42" s="45">
        <v>274452</v>
      </c>
      <c r="N42" s="45"/>
      <c r="O42" s="45">
        <v>0</v>
      </c>
      <c r="P42" s="45"/>
      <c r="Q42" s="45">
        <v>36027</v>
      </c>
      <c r="R42" s="45"/>
      <c r="S42" s="44">
        <f t="shared" si="0"/>
        <v>44635</v>
      </c>
      <c r="T42" s="45"/>
      <c r="U42" s="45">
        <v>2469326</v>
      </c>
      <c r="V42" s="35"/>
      <c r="W42" s="45">
        <v>0</v>
      </c>
    </row>
    <row r="43" spans="1:24" s="49" customFormat="1" ht="12.75" customHeight="1" x14ac:dyDescent="0.2">
      <c r="A43" s="44" t="s">
        <v>504</v>
      </c>
      <c r="B43" s="47"/>
      <c r="C43" s="44" t="s">
        <v>43</v>
      </c>
      <c r="D43" s="64"/>
      <c r="E43" s="45">
        <v>380192</v>
      </c>
      <c r="F43" s="45"/>
      <c r="G43" s="45">
        <v>4291159</v>
      </c>
      <c r="H43" s="45"/>
      <c r="I43" s="45">
        <v>0</v>
      </c>
      <c r="J43" s="45"/>
      <c r="K43" s="45">
        <v>144099</v>
      </c>
      <c r="L43" s="45"/>
      <c r="M43" s="45">
        <v>419162</v>
      </c>
      <c r="N43" s="45"/>
      <c r="O43" s="45">
        <v>186292</v>
      </c>
      <c r="P43" s="45"/>
      <c r="Q43" s="45">
        <v>386978</v>
      </c>
      <c r="R43" s="45"/>
      <c r="S43" s="44">
        <f t="shared" ref="S43" si="2">U43-E43-G43-K43-M43-O43-Q43-I43</f>
        <v>228495</v>
      </c>
      <c r="T43" s="45"/>
      <c r="U43" s="45">
        <v>6036377</v>
      </c>
      <c r="V43" s="35"/>
      <c r="W43" s="45">
        <v>25901</v>
      </c>
    </row>
    <row r="44" spans="1:24" s="49" customFormat="1" ht="12.75" customHeight="1" x14ac:dyDescent="0.2">
      <c r="A44" s="44" t="s">
        <v>60</v>
      </c>
      <c r="C44" s="44" t="s">
        <v>61</v>
      </c>
      <c r="D44" s="35"/>
      <c r="E44" s="45">
        <v>0</v>
      </c>
      <c r="F44" s="45"/>
      <c r="G44" s="45">
        <v>2450104</v>
      </c>
      <c r="H44" s="45"/>
      <c r="I44" s="45">
        <v>0</v>
      </c>
      <c r="J44" s="45"/>
      <c r="K44" s="45">
        <v>297857</v>
      </c>
      <c r="L44" s="45"/>
      <c r="M44" s="45">
        <v>424413</v>
      </c>
      <c r="N44" s="45"/>
      <c r="O44" s="45">
        <v>4239</v>
      </c>
      <c r="P44" s="45"/>
      <c r="Q44" s="45">
        <f>60929+53386</f>
        <v>114315</v>
      </c>
      <c r="R44" s="45"/>
      <c r="S44" s="44">
        <f t="shared" si="0"/>
        <v>77482</v>
      </c>
      <c r="T44" s="45"/>
      <c r="U44" s="45">
        <v>3368410</v>
      </c>
      <c r="V44" s="35"/>
      <c r="W44" s="45">
        <v>182115</v>
      </c>
    </row>
    <row r="45" spans="1:24" s="49" customFormat="1" ht="12.75" hidden="1" customHeight="1" x14ac:dyDescent="0.2">
      <c r="A45" s="46" t="s">
        <v>62</v>
      </c>
      <c r="B45" s="46"/>
      <c r="C45" s="46" t="s">
        <v>15</v>
      </c>
      <c r="D45" s="64"/>
      <c r="E45" s="45">
        <v>2679060</v>
      </c>
      <c r="F45" s="45"/>
      <c r="G45" s="45">
        <v>31999703</v>
      </c>
      <c r="H45" s="45"/>
      <c r="I45" s="45">
        <v>0</v>
      </c>
      <c r="J45" s="45"/>
      <c r="K45" s="45">
        <v>10285702</v>
      </c>
      <c r="L45" s="45"/>
      <c r="M45" s="45">
        <v>5835413</v>
      </c>
      <c r="N45" s="45"/>
      <c r="O45" s="45">
        <v>0</v>
      </c>
      <c r="P45" s="45"/>
      <c r="Q45" s="45">
        <f>1271757+271598</f>
        <v>1543355</v>
      </c>
      <c r="R45" s="45"/>
      <c r="S45" s="44">
        <f t="shared" si="0"/>
        <v>4073758</v>
      </c>
      <c r="T45" s="45"/>
      <c r="U45" s="45">
        <v>56416991</v>
      </c>
      <c r="V45" s="35"/>
      <c r="W45" s="45">
        <v>0</v>
      </c>
      <c r="X45" s="121" t="s">
        <v>503</v>
      </c>
    </row>
    <row r="46" spans="1:24" s="129" customFormat="1" ht="12.75" hidden="1" customHeight="1" x14ac:dyDescent="0.2">
      <c r="A46" s="121" t="s">
        <v>485</v>
      </c>
      <c r="C46" s="121" t="s">
        <v>111</v>
      </c>
      <c r="D46" s="126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1">
        <f t="shared" si="0"/>
        <v>0</v>
      </c>
      <c r="T46" s="127"/>
      <c r="U46" s="127"/>
      <c r="V46" s="126"/>
      <c r="W46" s="127">
        <v>0</v>
      </c>
      <c r="X46" s="121" t="s">
        <v>505</v>
      </c>
    </row>
    <row r="47" spans="1:24" s="49" customFormat="1" ht="12.75" customHeight="1" x14ac:dyDescent="0.2">
      <c r="A47" s="44" t="s">
        <v>63</v>
      </c>
      <c r="C47" s="44" t="s">
        <v>64</v>
      </c>
      <c r="D47" s="35"/>
      <c r="E47" s="45">
        <v>282260</v>
      </c>
      <c r="F47" s="45"/>
      <c r="G47" s="45">
        <v>3845942</v>
      </c>
      <c r="H47" s="45"/>
      <c r="I47" s="45">
        <v>557698</v>
      </c>
      <c r="J47" s="45"/>
      <c r="K47" s="45">
        <v>222094</v>
      </c>
      <c r="L47" s="45"/>
      <c r="M47" s="45">
        <v>986370</v>
      </c>
      <c r="N47" s="45"/>
      <c r="O47" s="45">
        <v>0</v>
      </c>
      <c r="P47" s="45"/>
      <c r="Q47" s="45">
        <f>131431+296540</f>
        <v>427971</v>
      </c>
      <c r="R47" s="45"/>
      <c r="S47" s="44">
        <f t="shared" si="0"/>
        <v>850602</v>
      </c>
      <c r="T47" s="45"/>
      <c r="U47" s="45">
        <v>7172937</v>
      </c>
      <c r="V47" s="35"/>
      <c r="W47" s="45">
        <v>13900</v>
      </c>
    </row>
    <row r="48" spans="1:24" s="49" customFormat="1" ht="12.75" customHeight="1" x14ac:dyDescent="0.2">
      <c r="A48" s="44" t="s">
        <v>65</v>
      </c>
      <c r="C48" s="44" t="s">
        <v>66</v>
      </c>
      <c r="D48" s="35"/>
      <c r="E48" s="45">
        <v>13139217</v>
      </c>
      <c r="F48" s="45"/>
      <c r="G48" s="45">
        <v>0</v>
      </c>
      <c r="H48" s="45"/>
      <c r="I48" s="45">
        <v>0</v>
      </c>
      <c r="J48" s="45"/>
      <c r="K48" s="45">
        <v>308083</v>
      </c>
      <c r="L48" s="45"/>
      <c r="M48" s="45">
        <v>2598824</v>
      </c>
      <c r="N48" s="45"/>
      <c r="O48" s="45">
        <v>18668</v>
      </c>
      <c r="P48" s="45"/>
      <c r="Q48" s="45">
        <v>419979</v>
      </c>
      <c r="R48" s="45"/>
      <c r="S48" s="44">
        <f t="shared" si="0"/>
        <v>441308</v>
      </c>
      <c r="T48" s="45"/>
      <c r="U48" s="45">
        <v>16926079</v>
      </c>
      <c r="V48" s="35"/>
      <c r="W48" s="45">
        <v>0</v>
      </c>
    </row>
    <row r="49" spans="1:23" s="49" customFormat="1" ht="12.75" customHeight="1" x14ac:dyDescent="0.2">
      <c r="A49" s="44" t="s">
        <v>67</v>
      </c>
      <c r="C49" s="44" t="s">
        <v>375</v>
      </c>
      <c r="D49" s="35"/>
      <c r="E49" s="45">
        <v>393798</v>
      </c>
      <c r="F49" s="45"/>
      <c r="G49" s="45">
        <v>5488804</v>
      </c>
      <c r="H49" s="45"/>
      <c r="I49" s="45">
        <v>0</v>
      </c>
      <c r="J49" s="45"/>
      <c r="K49" s="45">
        <v>72140</v>
      </c>
      <c r="L49" s="45"/>
      <c r="M49" s="45">
        <v>279272</v>
      </c>
      <c r="N49" s="45"/>
      <c r="O49" s="45">
        <v>0</v>
      </c>
      <c r="P49" s="45"/>
      <c r="Q49" s="45">
        <f>155337+921341</f>
        <v>1076678</v>
      </c>
      <c r="R49" s="45"/>
      <c r="S49" s="44">
        <f t="shared" si="0"/>
        <v>227809</v>
      </c>
      <c r="T49" s="45"/>
      <c r="U49" s="45">
        <v>7538501</v>
      </c>
      <c r="V49" s="35"/>
      <c r="W49" s="45">
        <v>100000</v>
      </c>
    </row>
    <row r="50" spans="1:23" s="49" customFormat="1" ht="12.75" customHeight="1" x14ac:dyDescent="0.2">
      <c r="A50" s="44" t="s">
        <v>68</v>
      </c>
      <c r="C50" s="44" t="s">
        <v>45</v>
      </c>
      <c r="D50" s="35"/>
      <c r="E50" s="45">
        <v>1664223</v>
      </c>
      <c r="F50" s="45"/>
      <c r="G50" s="45">
        <v>1606344</v>
      </c>
      <c r="H50" s="45"/>
      <c r="I50" s="45">
        <v>71443</v>
      </c>
      <c r="J50" s="45"/>
      <c r="K50" s="45">
        <v>199246</v>
      </c>
      <c r="L50" s="45"/>
      <c r="M50" s="45">
        <v>644126</v>
      </c>
      <c r="N50" s="45"/>
      <c r="O50" s="45">
        <v>0</v>
      </c>
      <c r="P50" s="45"/>
      <c r="Q50" s="45">
        <f>18476+104782</f>
        <v>123258</v>
      </c>
      <c r="R50" s="45"/>
      <c r="S50" s="44">
        <f t="shared" si="0"/>
        <v>92784</v>
      </c>
      <c r="T50" s="45"/>
      <c r="U50" s="45">
        <v>4401424</v>
      </c>
      <c r="V50" s="35"/>
      <c r="W50" s="45">
        <v>0</v>
      </c>
    </row>
    <row r="51" spans="1:23" s="49" customFormat="1" ht="12.75" customHeight="1" x14ac:dyDescent="0.2">
      <c r="A51" s="44" t="s">
        <v>69</v>
      </c>
      <c r="C51" s="44" t="s">
        <v>70</v>
      </c>
      <c r="D51" s="35"/>
      <c r="E51" s="45">
        <v>913458</v>
      </c>
      <c r="F51" s="45"/>
      <c r="G51" s="45">
        <v>8838118</v>
      </c>
      <c r="H51" s="45"/>
      <c r="I51" s="45">
        <v>207975</v>
      </c>
      <c r="J51" s="45"/>
      <c r="K51" s="45">
        <v>2867039</v>
      </c>
      <c r="L51" s="45"/>
      <c r="M51" s="45">
        <v>2103449</v>
      </c>
      <c r="N51" s="45"/>
      <c r="O51" s="45">
        <v>34087</v>
      </c>
      <c r="P51" s="45"/>
      <c r="Q51" s="45">
        <v>1586492</v>
      </c>
      <c r="R51" s="45"/>
      <c r="S51" s="44">
        <f t="shared" si="0"/>
        <v>354498</v>
      </c>
      <c r="T51" s="45"/>
      <c r="U51" s="45">
        <v>16905116</v>
      </c>
      <c r="V51" s="35"/>
      <c r="W51" s="45">
        <f>203086+960357</f>
        <v>1163443</v>
      </c>
    </row>
    <row r="52" spans="1:23" s="49" customFormat="1" ht="12.75" customHeight="1" x14ac:dyDescent="0.2">
      <c r="A52" s="46" t="s">
        <v>71</v>
      </c>
      <c r="B52" s="46"/>
      <c r="C52" s="46" t="s">
        <v>45</v>
      </c>
      <c r="D52" s="64"/>
      <c r="E52" s="45">
        <v>262709000</v>
      </c>
      <c r="F52" s="45"/>
      <c r="G52" s="45">
        <v>0</v>
      </c>
      <c r="H52" s="45"/>
      <c r="I52" s="45">
        <v>0</v>
      </c>
      <c r="J52" s="45"/>
      <c r="K52" s="45">
        <v>19825000</v>
      </c>
      <c r="L52" s="45"/>
      <c r="M52" s="45">
        <v>42791000</v>
      </c>
      <c r="N52" s="45"/>
      <c r="O52" s="45">
        <v>0</v>
      </c>
      <c r="P52" s="45"/>
      <c r="Q52" s="45">
        <v>7294000</v>
      </c>
      <c r="R52" s="45"/>
      <c r="S52" s="44">
        <f t="shared" si="0"/>
        <v>13498000</v>
      </c>
      <c r="T52" s="45"/>
      <c r="U52" s="45">
        <v>346117000</v>
      </c>
      <c r="V52" s="35"/>
      <c r="W52" s="45">
        <v>2639000</v>
      </c>
    </row>
    <row r="53" spans="1:23" s="49" customFormat="1" ht="12.75" customHeight="1" x14ac:dyDescent="0.2">
      <c r="A53" s="44" t="s">
        <v>463</v>
      </c>
      <c r="C53" s="44" t="s">
        <v>464</v>
      </c>
      <c r="D53" s="35"/>
      <c r="E53" s="45">
        <v>754999</v>
      </c>
      <c r="F53" s="45"/>
      <c r="G53" s="45">
        <v>1662384</v>
      </c>
      <c r="H53" s="45"/>
      <c r="I53" s="45">
        <v>210458</v>
      </c>
      <c r="J53" s="45"/>
      <c r="K53" s="45">
        <v>184342</v>
      </c>
      <c r="L53" s="45"/>
      <c r="M53" s="45">
        <v>1930175</v>
      </c>
      <c r="N53" s="45"/>
      <c r="O53" s="45">
        <v>0</v>
      </c>
      <c r="P53" s="45"/>
      <c r="Q53" s="45">
        <f>26890+574687</f>
        <v>601577</v>
      </c>
      <c r="R53" s="45"/>
      <c r="S53" s="44">
        <f t="shared" si="0"/>
        <v>128089</v>
      </c>
      <c r="T53" s="45"/>
      <c r="U53" s="45">
        <v>5472024</v>
      </c>
      <c r="V53" s="35"/>
      <c r="W53" s="45">
        <v>0</v>
      </c>
    </row>
    <row r="54" spans="1:23" s="49" customFormat="1" ht="12.75" customHeight="1" x14ac:dyDescent="0.2">
      <c r="A54" s="44" t="s">
        <v>72</v>
      </c>
      <c r="C54" s="44" t="s">
        <v>66</v>
      </c>
      <c r="D54" s="35"/>
      <c r="E54" s="45">
        <v>366512</v>
      </c>
      <c r="F54" s="45"/>
      <c r="G54" s="45">
        <v>1395724</v>
      </c>
      <c r="H54" s="45"/>
      <c r="I54" s="45">
        <v>117105</v>
      </c>
      <c r="J54" s="45"/>
      <c r="K54" s="45">
        <v>640924</v>
      </c>
      <c r="L54" s="45"/>
      <c r="M54" s="45">
        <v>1009584</v>
      </c>
      <c r="N54" s="45"/>
      <c r="O54" s="45">
        <v>0</v>
      </c>
      <c r="P54" s="45"/>
      <c r="Q54" s="45">
        <v>4778</v>
      </c>
      <c r="R54" s="45"/>
      <c r="S54" s="44">
        <f t="shared" si="0"/>
        <v>31698</v>
      </c>
      <c r="T54" s="45"/>
      <c r="U54" s="45">
        <v>3566325</v>
      </c>
      <c r="V54" s="35"/>
      <c r="W54" s="45">
        <v>31390</v>
      </c>
    </row>
    <row r="55" spans="1:23" s="49" customFormat="1" ht="12.75" customHeight="1" x14ac:dyDescent="0.2">
      <c r="A55" s="44" t="s">
        <v>73</v>
      </c>
      <c r="C55" s="44" t="s">
        <v>27</v>
      </c>
      <c r="D55" s="35"/>
      <c r="E55" s="45">
        <v>36618000</v>
      </c>
      <c r="F55" s="45"/>
      <c r="G55" s="45">
        <v>277857000</v>
      </c>
      <c r="H55" s="45"/>
      <c r="I55" s="45">
        <v>43994000</v>
      </c>
      <c r="J55" s="45"/>
      <c r="K55" s="45">
        <v>33669000</v>
      </c>
      <c r="L55" s="45"/>
      <c r="M55" s="45">
        <v>3934000</v>
      </c>
      <c r="N55" s="45"/>
      <c r="O55" s="45">
        <v>0</v>
      </c>
      <c r="P55" s="45"/>
      <c r="Q55" s="45">
        <f>14224000+23473000</f>
        <v>37697000</v>
      </c>
      <c r="R55" s="45"/>
      <c r="S55" s="44">
        <f t="shared" si="0"/>
        <v>56680000</v>
      </c>
      <c r="T55" s="45"/>
      <c r="U55" s="45">
        <v>490449000</v>
      </c>
      <c r="V55" s="35"/>
      <c r="W55" s="45">
        <f>8404000+729000</f>
        <v>9133000</v>
      </c>
    </row>
    <row r="56" spans="1:23" s="49" customFormat="1" ht="12.75" customHeight="1" x14ac:dyDescent="0.2">
      <c r="A56" s="44" t="s">
        <v>74</v>
      </c>
      <c r="C56" s="44" t="s">
        <v>27</v>
      </c>
      <c r="D56" s="35"/>
      <c r="E56" s="45">
        <v>6782760</v>
      </c>
      <c r="F56" s="45"/>
      <c r="G56" s="45">
        <v>19359768</v>
      </c>
      <c r="H56" s="45"/>
      <c r="I56" s="45">
        <f>565476+119319</f>
        <v>684795</v>
      </c>
      <c r="J56" s="45"/>
      <c r="K56" s="45">
        <v>2542197</v>
      </c>
      <c r="L56" s="45"/>
      <c r="M56" s="45">
        <v>4610998</v>
      </c>
      <c r="N56" s="45"/>
      <c r="O56" s="45">
        <v>2802</v>
      </c>
      <c r="P56" s="45"/>
      <c r="Q56" s="45">
        <f>1630829+2308455</f>
        <v>3939284</v>
      </c>
      <c r="R56" s="45"/>
      <c r="S56" s="44">
        <f t="shared" si="0"/>
        <v>1775012</v>
      </c>
      <c r="T56" s="45"/>
      <c r="U56" s="45">
        <v>39697616</v>
      </c>
      <c r="V56" s="35"/>
      <c r="W56" s="45">
        <f>34260+75330</f>
        <v>109590</v>
      </c>
    </row>
    <row r="57" spans="1:23" s="49" customFormat="1" ht="12.75" customHeight="1" x14ac:dyDescent="0.2">
      <c r="A57" s="44" t="s">
        <v>75</v>
      </c>
      <c r="C57" s="44" t="s">
        <v>76</v>
      </c>
      <c r="D57" s="35"/>
      <c r="E57" s="45">
        <v>528881</v>
      </c>
      <c r="F57" s="45"/>
      <c r="G57" s="45">
        <v>2741570</v>
      </c>
      <c r="H57" s="45"/>
      <c r="I57" s="45">
        <v>0</v>
      </c>
      <c r="J57" s="45"/>
      <c r="K57" s="45">
        <v>200610</v>
      </c>
      <c r="L57" s="45"/>
      <c r="M57" s="45">
        <v>313118</v>
      </c>
      <c r="N57" s="45"/>
      <c r="O57" s="45">
        <v>25695</v>
      </c>
      <c r="P57" s="45"/>
      <c r="Q57" s="45">
        <f>48389+16565</f>
        <v>64954</v>
      </c>
      <c r="R57" s="45"/>
      <c r="S57" s="44">
        <f t="shared" si="0"/>
        <v>107117</v>
      </c>
      <c r="T57" s="45"/>
      <c r="U57" s="45">
        <v>3981945</v>
      </c>
      <c r="V57" s="35"/>
      <c r="W57" s="45">
        <f>13805+49830</f>
        <v>63635</v>
      </c>
    </row>
    <row r="58" spans="1:23" s="49" customFormat="1" ht="12.75" hidden="1" customHeight="1" x14ac:dyDescent="0.2">
      <c r="A58" s="44" t="s">
        <v>77</v>
      </c>
      <c r="C58" s="44" t="s">
        <v>43</v>
      </c>
      <c r="D58" s="35"/>
      <c r="E58" s="45">
        <v>48297000</v>
      </c>
      <c r="F58" s="45"/>
      <c r="G58" s="45">
        <v>502391000</v>
      </c>
      <c r="H58" s="45"/>
      <c r="I58" s="45">
        <v>0</v>
      </c>
      <c r="J58" s="45"/>
      <c r="K58" s="45">
        <v>57585000</v>
      </c>
      <c r="L58" s="45"/>
      <c r="M58" s="45">
        <v>52358000</v>
      </c>
      <c r="N58" s="45"/>
      <c r="O58" s="45">
        <v>0</v>
      </c>
      <c r="P58" s="45"/>
      <c r="Q58" s="45">
        <f>10508000+18906000</f>
        <v>29414000</v>
      </c>
      <c r="R58" s="45"/>
      <c r="S58" s="44">
        <f t="shared" si="0"/>
        <v>14702000</v>
      </c>
      <c r="T58" s="45"/>
      <c r="U58" s="45">
        <v>704747000</v>
      </c>
      <c r="V58" s="35"/>
      <c r="W58" s="45">
        <v>26289000</v>
      </c>
    </row>
    <row r="59" spans="1:23" s="49" customFormat="1" ht="12.75" customHeight="1" x14ac:dyDescent="0.2">
      <c r="A59" s="44" t="s">
        <v>471</v>
      </c>
      <c r="B59" s="46"/>
      <c r="C59" s="46"/>
      <c r="D59" s="64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4"/>
      <c r="T59" s="45"/>
      <c r="U59" s="45"/>
      <c r="V59" s="35"/>
      <c r="W59" s="48" t="s">
        <v>484</v>
      </c>
    </row>
    <row r="60" spans="1:23" s="49" customFormat="1" ht="12.75" customHeight="1" x14ac:dyDescent="0.2">
      <c r="A60" s="44" t="s">
        <v>94</v>
      </c>
      <c r="C60" s="44" t="s">
        <v>94</v>
      </c>
      <c r="D60" s="35"/>
      <c r="E60" s="94">
        <v>2174106</v>
      </c>
      <c r="F60" s="94"/>
      <c r="G60" s="94">
        <v>0</v>
      </c>
      <c r="H60" s="94"/>
      <c r="I60" s="94">
        <v>0</v>
      </c>
      <c r="J60" s="94"/>
      <c r="K60" s="94">
        <v>222704</v>
      </c>
      <c r="L60" s="94"/>
      <c r="M60" s="94">
        <v>655557</v>
      </c>
      <c r="N60" s="94"/>
      <c r="O60" s="94">
        <v>0</v>
      </c>
      <c r="P60" s="94"/>
      <c r="Q60" s="94">
        <f>98467+29940</f>
        <v>128407</v>
      </c>
      <c r="R60" s="94"/>
      <c r="S60" s="46">
        <f t="shared" si="0"/>
        <v>54325</v>
      </c>
      <c r="T60" s="94"/>
      <c r="U60" s="94">
        <v>3235099</v>
      </c>
      <c r="V60" s="64"/>
      <c r="W60" s="94">
        <v>0</v>
      </c>
    </row>
    <row r="61" spans="1:23" s="46" customFormat="1" ht="12.75" customHeight="1" x14ac:dyDescent="0.2">
      <c r="A61" s="44" t="s">
        <v>78</v>
      </c>
      <c r="B61" s="49"/>
      <c r="C61" s="44" t="s">
        <v>19</v>
      </c>
      <c r="D61" s="35"/>
      <c r="E61" s="45">
        <v>296297</v>
      </c>
      <c r="F61" s="45"/>
      <c r="G61" s="45">
        <v>2001019</v>
      </c>
      <c r="H61" s="45"/>
      <c r="I61" s="45">
        <f>144227+18744</f>
        <v>162971</v>
      </c>
      <c r="J61" s="45"/>
      <c r="K61" s="45">
        <v>20835</v>
      </c>
      <c r="L61" s="45"/>
      <c r="M61" s="45">
        <v>712004</v>
      </c>
      <c r="N61" s="45"/>
      <c r="O61" s="45">
        <v>0</v>
      </c>
      <c r="P61" s="45"/>
      <c r="Q61" s="45">
        <f>504897+218604</f>
        <v>723501</v>
      </c>
      <c r="R61" s="45"/>
      <c r="S61" s="44">
        <f t="shared" si="0"/>
        <v>120427</v>
      </c>
      <c r="T61" s="45"/>
      <c r="U61" s="45">
        <v>4037054</v>
      </c>
      <c r="V61" s="35"/>
      <c r="W61" s="45">
        <v>5338</v>
      </c>
    </row>
    <row r="62" spans="1:23" s="49" customFormat="1" ht="12.75" customHeight="1" x14ac:dyDescent="0.2">
      <c r="A62" s="44" t="s">
        <v>79</v>
      </c>
      <c r="C62" s="44" t="s">
        <v>80</v>
      </c>
      <c r="D62" s="35"/>
      <c r="E62" s="45">
        <v>467289</v>
      </c>
      <c r="F62" s="45"/>
      <c r="G62" s="45">
        <v>0</v>
      </c>
      <c r="H62" s="45"/>
      <c r="I62" s="45">
        <v>0</v>
      </c>
      <c r="J62" s="45"/>
      <c r="K62" s="45">
        <v>72541</v>
      </c>
      <c r="L62" s="45"/>
      <c r="M62" s="45">
        <v>353322</v>
      </c>
      <c r="N62" s="45"/>
      <c r="O62" s="45">
        <v>0</v>
      </c>
      <c r="P62" s="45"/>
      <c r="Q62" s="45">
        <f>77720+4733</f>
        <v>82453</v>
      </c>
      <c r="R62" s="45"/>
      <c r="S62" s="44">
        <f t="shared" si="0"/>
        <v>19604</v>
      </c>
      <c r="T62" s="45"/>
      <c r="U62" s="45">
        <v>995209</v>
      </c>
      <c r="V62" s="35"/>
      <c r="W62" s="45">
        <v>11153</v>
      </c>
    </row>
    <row r="63" spans="1:23" s="49" customFormat="1" ht="12.75" customHeight="1" x14ac:dyDescent="0.2">
      <c r="A63" s="44" t="s">
        <v>81</v>
      </c>
      <c r="C63" s="44" t="s">
        <v>81</v>
      </c>
      <c r="D63" s="35"/>
      <c r="E63" s="45">
        <v>409840</v>
      </c>
      <c r="F63" s="45"/>
      <c r="G63" s="45">
        <v>2082495</v>
      </c>
      <c r="H63" s="45"/>
      <c r="I63" s="45">
        <v>37541</v>
      </c>
      <c r="J63" s="45"/>
      <c r="K63" s="45">
        <v>316628</v>
      </c>
      <c r="L63" s="45"/>
      <c r="M63" s="45">
        <v>892285</v>
      </c>
      <c r="N63" s="45"/>
      <c r="O63" s="45">
        <v>0</v>
      </c>
      <c r="P63" s="45"/>
      <c r="Q63" s="45">
        <f>144603+951</f>
        <v>145554</v>
      </c>
      <c r="R63" s="45"/>
      <c r="S63" s="44">
        <f t="shared" si="0"/>
        <v>158174</v>
      </c>
      <c r="T63" s="45"/>
      <c r="U63" s="45">
        <v>4042517</v>
      </c>
      <c r="V63" s="35"/>
      <c r="W63" s="45">
        <v>0</v>
      </c>
    </row>
    <row r="64" spans="1:23" s="123" customFormat="1" ht="12.75" hidden="1" customHeight="1" x14ac:dyDescent="0.2">
      <c r="A64" s="122" t="s">
        <v>465</v>
      </c>
      <c r="B64" s="122"/>
      <c r="C64" s="122" t="s">
        <v>57</v>
      </c>
      <c r="D64" s="126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1">
        <f t="shared" si="0"/>
        <v>0</v>
      </c>
      <c r="T64" s="127"/>
      <c r="U64" s="127"/>
      <c r="V64" s="126"/>
      <c r="W64" s="127">
        <v>0</v>
      </c>
    </row>
    <row r="65" spans="1:24" s="49" customFormat="1" ht="12.75" customHeight="1" x14ac:dyDescent="0.2">
      <c r="A65" s="44" t="s">
        <v>82</v>
      </c>
      <c r="C65" s="44" t="s">
        <v>13</v>
      </c>
      <c r="D65" s="35"/>
      <c r="E65" s="45">
        <v>9628458</v>
      </c>
      <c r="F65" s="45"/>
      <c r="G65" s="45">
        <v>0</v>
      </c>
      <c r="H65" s="45"/>
      <c r="I65" s="45">
        <f>246642+4413462</f>
        <v>4660104</v>
      </c>
      <c r="J65" s="45"/>
      <c r="K65" s="45">
        <v>3495461</v>
      </c>
      <c r="L65" s="45"/>
      <c r="M65" s="45">
        <v>113169</v>
      </c>
      <c r="N65" s="45"/>
      <c r="O65" s="45">
        <v>0</v>
      </c>
      <c r="P65" s="45"/>
      <c r="Q65" s="45">
        <f>119167+288085</f>
        <v>407252</v>
      </c>
      <c r="R65" s="45"/>
      <c r="S65" s="44">
        <f t="shared" si="0"/>
        <v>631500</v>
      </c>
      <c r="T65" s="45"/>
      <c r="U65" s="45">
        <v>18935944</v>
      </c>
      <c r="V65" s="35"/>
      <c r="W65" s="45">
        <v>12977349</v>
      </c>
    </row>
    <row r="66" spans="1:24" s="49" customFormat="1" ht="12.75" customHeight="1" x14ac:dyDescent="0.2">
      <c r="A66" s="44" t="s">
        <v>83</v>
      </c>
      <c r="C66" s="44" t="s">
        <v>66</v>
      </c>
      <c r="D66" s="35"/>
      <c r="E66" s="45">
        <v>7842789</v>
      </c>
      <c r="F66" s="45"/>
      <c r="G66" s="45">
        <v>100362688</v>
      </c>
      <c r="H66" s="45"/>
      <c r="I66" s="45">
        <v>13300199</v>
      </c>
      <c r="J66" s="45"/>
      <c r="K66" s="45">
        <v>26012836</v>
      </c>
      <c r="L66" s="45"/>
      <c r="M66" s="45">
        <v>4879049</v>
      </c>
      <c r="N66" s="45"/>
      <c r="O66" s="45">
        <v>139689</v>
      </c>
      <c r="P66" s="45"/>
      <c r="Q66" s="45">
        <f>1542378+1990211</f>
        <v>3532589</v>
      </c>
      <c r="R66" s="45"/>
      <c r="S66" s="44">
        <f t="shared" si="0"/>
        <v>2811430</v>
      </c>
      <c r="T66" s="45"/>
      <c r="U66" s="45">
        <v>158881269</v>
      </c>
      <c r="V66" s="35"/>
      <c r="W66" s="45">
        <v>250274</v>
      </c>
    </row>
    <row r="67" spans="1:24" s="46" customFormat="1" ht="12.75" customHeight="1" x14ac:dyDescent="0.2">
      <c r="A67" s="44" t="s">
        <v>84</v>
      </c>
      <c r="B67" s="49"/>
      <c r="C67" s="44" t="s">
        <v>45</v>
      </c>
      <c r="D67" s="35"/>
      <c r="E67" s="45">
        <v>2063128</v>
      </c>
      <c r="F67" s="45"/>
      <c r="G67" s="45">
        <v>0</v>
      </c>
      <c r="H67" s="45"/>
      <c r="I67" s="45">
        <v>0</v>
      </c>
      <c r="J67" s="45"/>
      <c r="K67" s="45">
        <v>132670</v>
      </c>
      <c r="L67" s="45"/>
      <c r="M67" s="45">
        <v>391967</v>
      </c>
      <c r="N67" s="45"/>
      <c r="O67" s="45">
        <v>0</v>
      </c>
      <c r="P67" s="45"/>
      <c r="Q67" s="45">
        <v>77495</v>
      </c>
      <c r="R67" s="45"/>
      <c r="S67" s="44">
        <f t="shared" ref="S67" si="3">U67-E67-G67-K67-M67-O67-Q67-I67</f>
        <v>3917</v>
      </c>
      <c r="T67" s="45"/>
      <c r="U67" s="45">
        <v>2669177</v>
      </c>
      <c r="V67" s="35"/>
      <c r="W67" s="45">
        <v>0</v>
      </c>
    </row>
    <row r="68" spans="1:24" s="49" customFormat="1" ht="12.75" customHeight="1" x14ac:dyDescent="0.2">
      <c r="A68" s="44" t="s">
        <v>85</v>
      </c>
      <c r="C68" s="44" t="s">
        <v>85</v>
      </c>
      <c r="D68" s="35"/>
      <c r="E68" s="45">
        <v>541693</v>
      </c>
      <c r="F68" s="45"/>
      <c r="G68" s="45">
        <v>5379964</v>
      </c>
      <c r="H68" s="45"/>
      <c r="I68" s="45">
        <v>0</v>
      </c>
      <c r="J68" s="45"/>
      <c r="K68" s="45">
        <v>663481</v>
      </c>
      <c r="L68" s="45"/>
      <c r="M68" s="45">
        <v>1035871</v>
      </c>
      <c r="N68" s="45"/>
      <c r="O68" s="45">
        <v>0</v>
      </c>
      <c r="P68" s="45"/>
      <c r="Q68" s="45">
        <f>90540+526072</f>
        <v>616612</v>
      </c>
      <c r="R68" s="45"/>
      <c r="S68" s="44">
        <f>U68-E68-G68-K68-M68-O68-Q68-I68</f>
        <v>29084</v>
      </c>
      <c r="T68" s="45"/>
      <c r="U68" s="45">
        <v>8266705</v>
      </c>
      <c r="V68" s="35"/>
      <c r="W68" s="44">
        <v>0</v>
      </c>
    </row>
    <row r="69" spans="1:24" s="49" customFormat="1" ht="12.75" customHeight="1" x14ac:dyDescent="0.2">
      <c r="A69" s="44" t="s">
        <v>86</v>
      </c>
      <c r="C69" s="44" t="s">
        <v>86</v>
      </c>
      <c r="D69" s="35"/>
      <c r="E69" s="45">
        <v>1286633</v>
      </c>
      <c r="F69" s="45"/>
      <c r="G69" s="45">
        <v>10269766</v>
      </c>
      <c r="H69" s="45"/>
      <c r="I69" s="45">
        <v>51455</v>
      </c>
      <c r="J69" s="45"/>
      <c r="K69" s="45">
        <v>1067619</v>
      </c>
      <c r="L69" s="45"/>
      <c r="M69" s="45">
        <v>1872156</v>
      </c>
      <c r="N69" s="45"/>
      <c r="O69" s="45">
        <v>0</v>
      </c>
      <c r="P69" s="45"/>
      <c r="Q69" s="45">
        <f>715334+57830</f>
        <v>773164</v>
      </c>
      <c r="R69" s="45"/>
      <c r="S69" s="44">
        <f t="shared" ref="S69:S128" si="4">U69-E69-G69-K69-M69-O69-Q69-I69</f>
        <v>256543</v>
      </c>
      <c r="T69" s="45"/>
      <c r="U69" s="45">
        <v>15577336</v>
      </c>
      <c r="V69" s="35"/>
      <c r="W69" s="45">
        <f>12194+4292</f>
        <v>16486</v>
      </c>
    </row>
    <row r="70" spans="1:24" s="49" customFormat="1" ht="12.75" customHeight="1" x14ac:dyDescent="0.2">
      <c r="A70" s="46" t="s">
        <v>87</v>
      </c>
      <c r="B70" s="46"/>
      <c r="C70" s="46" t="s">
        <v>88</v>
      </c>
      <c r="D70" s="64"/>
      <c r="E70" s="45">
        <v>301165</v>
      </c>
      <c r="F70" s="45"/>
      <c r="G70" s="45">
        <v>1649181</v>
      </c>
      <c r="H70" s="45"/>
      <c r="I70" s="45">
        <v>0</v>
      </c>
      <c r="J70" s="45"/>
      <c r="K70" s="45">
        <v>506880</v>
      </c>
      <c r="L70" s="45"/>
      <c r="M70" s="45">
        <v>390393</v>
      </c>
      <c r="N70" s="45"/>
      <c r="O70" s="45">
        <v>0</v>
      </c>
      <c r="P70" s="45"/>
      <c r="Q70" s="45">
        <v>84686</v>
      </c>
      <c r="R70" s="45"/>
      <c r="S70" s="44">
        <f t="shared" si="4"/>
        <v>27270</v>
      </c>
      <c r="T70" s="45"/>
      <c r="U70" s="45">
        <v>2959575</v>
      </c>
      <c r="V70" s="35"/>
      <c r="W70" s="45">
        <v>0</v>
      </c>
    </row>
    <row r="71" spans="1:24" s="49" customFormat="1" ht="12.75" customHeight="1" x14ac:dyDescent="0.2">
      <c r="A71" s="44" t="s">
        <v>394</v>
      </c>
      <c r="C71" s="44" t="s">
        <v>89</v>
      </c>
      <c r="D71" s="35"/>
      <c r="E71" s="45">
        <v>755629</v>
      </c>
      <c r="F71" s="45"/>
      <c r="G71" s="45">
        <v>3874604</v>
      </c>
      <c r="H71" s="45"/>
      <c r="I71" s="45">
        <v>0</v>
      </c>
      <c r="J71" s="45"/>
      <c r="K71" s="45">
        <v>806117</v>
      </c>
      <c r="L71" s="45"/>
      <c r="M71" s="45">
        <v>1788384</v>
      </c>
      <c r="N71" s="45"/>
      <c r="O71" s="45">
        <v>0</v>
      </c>
      <c r="P71" s="45"/>
      <c r="Q71" s="45">
        <v>53593</v>
      </c>
      <c r="R71" s="45"/>
      <c r="S71" s="44">
        <f t="shared" si="4"/>
        <v>91538</v>
      </c>
      <c r="T71" s="45"/>
      <c r="U71" s="45">
        <v>7369865</v>
      </c>
      <c r="V71" s="35"/>
      <c r="W71" s="45">
        <v>0</v>
      </c>
      <c r="X71" s="46"/>
    </row>
    <row r="72" spans="1:24" s="49" customFormat="1" ht="12.75" hidden="1" customHeight="1" x14ac:dyDescent="0.2">
      <c r="A72" s="44" t="s">
        <v>90</v>
      </c>
      <c r="C72" s="44" t="s">
        <v>43</v>
      </c>
      <c r="D72" s="35"/>
      <c r="E72" s="45">
        <v>0</v>
      </c>
      <c r="F72" s="45"/>
      <c r="G72" s="45">
        <v>51208371</v>
      </c>
      <c r="H72" s="45"/>
      <c r="I72" s="45">
        <v>0</v>
      </c>
      <c r="J72" s="45"/>
      <c r="K72" s="45">
        <v>1100071</v>
      </c>
      <c r="L72" s="45"/>
      <c r="M72" s="45">
        <v>1466893</v>
      </c>
      <c r="N72" s="45"/>
      <c r="O72" s="45">
        <v>0</v>
      </c>
      <c r="P72" s="45"/>
      <c r="Q72" s="45">
        <v>2735649</v>
      </c>
      <c r="R72" s="45"/>
      <c r="S72" s="44">
        <f t="shared" si="4"/>
        <v>1175663</v>
      </c>
      <c r="T72" s="45"/>
      <c r="U72" s="45">
        <v>57686647</v>
      </c>
      <c r="V72" s="35"/>
      <c r="W72" s="45">
        <v>0</v>
      </c>
    </row>
    <row r="73" spans="1:24" s="49" customFormat="1" ht="12.75" customHeight="1" x14ac:dyDescent="0.2">
      <c r="A73" s="47" t="s">
        <v>488</v>
      </c>
      <c r="B73" s="47"/>
      <c r="C73" s="47" t="s">
        <v>27</v>
      </c>
      <c r="D73" s="35"/>
      <c r="E73" s="45">
        <v>1454199</v>
      </c>
      <c r="F73" s="45"/>
      <c r="G73" s="45">
        <v>7995978</v>
      </c>
      <c r="H73" s="45"/>
      <c r="I73" s="45">
        <v>8536</v>
      </c>
      <c r="J73" s="45"/>
      <c r="K73" s="45">
        <v>352563</v>
      </c>
      <c r="L73" s="45"/>
      <c r="M73" s="45">
        <v>4241186</v>
      </c>
      <c r="N73" s="45"/>
      <c r="O73" s="45">
        <v>105</v>
      </c>
      <c r="P73" s="45"/>
      <c r="Q73" s="45">
        <f>361021+1061957</f>
        <v>1422978</v>
      </c>
      <c r="R73" s="45"/>
      <c r="S73" s="44">
        <f t="shared" si="4"/>
        <v>820005</v>
      </c>
      <c r="T73" s="45"/>
      <c r="U73" s="45">
        <v>16295550</v>
      </c>
      <c r="V73" s="35"/>
      <c r="W73" s="45">
        <v>0</v>
      </c>
    </row>
    <row r="74" spans="1:24" s="49" customFormat="1" ht="12.75" customHeight="1" x14ac:dyDescent="0.2">
      <c r="A74" s="44" t="s">
        <v>93</v>
      </c>
      <c r="B74" s="47"/>
      <c r="C74" s="44" t="s">
        <v>94</v>
      </c>
      <c r="D74" s="35"/>
      <c r="E74" s="45">
        <v>191236</v>
      </c>
      <c r="F74" s="45"/>
      <c r="G74" s="45">
        <v>2586777</v>
      </c>
      <c r="H74" s="45"/>
      <c r="I74" s="45">
        <v>0</v>
      </c>
      <c r="J74" s="45"/>
      <c r="K74" s="45">
        <v>6980</v>
      </c>
      <c r="L74" s="45"/>
      <c r="M74" s="45">
        <v>303974</v>
      </c>
      <c r="N74" s="45"/>
      <c r="O74" s="45">
        <v>0</v>
      </c>
      <c r="P74" s="45"/>
      <c r="Q74" s="45">
        <f>474796+125279</f>
        <v>600075</v>
      </c>
      <c r="R74" s="45"/>
      <c r="S74" s="44">
        <f t="shared" si="4"/>
        <v>8147</v>
      </c>
      <c r="T74" s="45"/>
      <c r="U74" s="45">
        <v>3697189</v>
      </c>
      <c r="V74" s="35"/>
      <c r="W74" s="45">
        <v>9584</v>
      </c>
    </row>
    <row r="75" spans="1:24" s="46" customFormat="1" ht="12.75" customHeight="1" x14ac:dyDescent="0.2">
      <c r="A75" s="46" t="s">
        <v>95</v>
      </c>
      <c r="C75" s="46" t="s">
        <v>94</v>
      </c>
      <c r="D75" s="64"/>
      <c r="E75" s="45">
        <v>950018</v>
      </c>
      <c r="F75" s="45"/>
      <c r="G75" s="45">
        <v>0</v>
      </c>
      <c r="H75" s="45"/>
      <c r="I75" s="45">
        <v>0</v>
      </c>
      <c r="J75" s="45"/>
      <c r="K75" s="45">
        <v>263573</v>
      </c>
      <c r="L75" s="45"/>
      <c r="M75" s="45">
        <v>129111</v>
      </c>
      <c r="N75" s="45"/>
      <c r="O75" s="45">
        <v>0</v>
      </c>
      <c r="P75" s="45"/>
      <c r="Q75" s="45">
        <f>81505+6298</f>
        <v>87803</v>
      </c>
      <c r="R75" s="45"/>
      <c r="S75" s="44">
        <f t="shared" si="4"/>
        <v>69308</v>
      </c>
      <c r="T75" s="45"/>
      <c r="U75" s="45">
        <v>1499813</v>
      </c>
      <c r="V75" s="35"/>
      <c r="W75" s="45">
        <v>0</v>
      </c>
    </row>
    <row r="76" spans="1:24" s="49" customFormat="1" ht="12.75" customHeight="1" x14ac:dyDescent="0.2">
      <c r="A76" s="44" t="s">
        <v>91</v>
      </c>
      <c r="C76" s="44" t="s">
        <v>92</v>
      </c>
      <c r="D76" s="35"/>
      <c r="E76" s="45">
        <v>1314238</v>
      </c>
      <c r="F76" s="45"/>
      <c r="G76" s="45">
        <v>6561895</v>
      </c>
      <c r="H76" s="45"/>
      <c r="I76" s="45">
        <v>266889</v>
      </c>
      <c r="J76" s="45"/>
      <c r="K76" s="45">
        <v>1508538</v>
      </c>
      <c r="L76" s="45"/>
      <c r="M76" s="45">
        <v>2288232</v>
      </c>
      <c r="N76" s="45"/>
      <c r="O76" s="45">
        <v>0</v>
      </c>
      <c r="P76" s="45"/>
      <c r="Q76" s="45">
        <f>662671+180220</f>
        <v>842891</v>
      </c>
      <c r="R76" s="45"/>
      <c r="S76" s="44">
        <f t="shared" si="4"/>
        <v>65418</v>
      </c>
      <c r="T76" s="45"/>
      <c r="U76" s="45">
        <v>12848101</v>
      </c>
      <c r="V76" s="35"/>
      <c r="W76" s="45">
        <v>0</v>
      </c>
    </row>
    <row r="77" spans="1:24" s="49" customFormat="1" ht="12.75" customHeight="1" x14ac:dyDescent="0.2">
      <c r="A77" s="44" t="s">
        <v>96</v>
      </c>
      <c r="C77" s="44" t="s">
        <v>97</v>
      </c>
      <c r="D77" s="35"/>
      <c r="E77" s="45">
        <v>530351</v>
      </c>
      <c r="F77" s="45"/>
      <c r="G77" s="45">
        <v>966924</v>
      </c>
      <c r="H77" s="45"/>
      <c r="I77" s="45">
        <v>0</v>
      </c>
      <c r="J77" s="45"/>
      <c r="K77" s="45">
        <v>111659</v>
      </c>
      <c r="L77" s="45"/>
      <c r="M77" s="45">
        <v>705821</v>
      </c>
      <c r="N77" s="45"/>
      <c r="O77" s="45">
        <v>0</v>
      </c>
      <c r="P77" s="45"/>
      <c r="Q77" s="45">
        <f>59861+541544</f>
        <v>601405</v>
      </c>
      <c r="R77" s="45"/>
      <c r="S77" s="44">
        <f t="shared" si="4"/>
        <v>64486</v>
      </c>
      <c r="T77" s="45"/>
      <c r="U77" s="45">
        <v>2980646</v>
      </c>
      <c r="V77" s="35"/>
      <c r="W77" s="45">
        <v>450</v>
      </c>
    </row>
    <row r="78" spans="1:24" s="49" customFormat="1" ht="12.75" customHeight="1" x14ac:dyDescent="0.2">
      <c r="A78" s="44" t="s">
        <v>98</v>
      </c>
      <c r="C78" s="44" t="s">
        <v>17</v>
      </c>
      <c r="D78" s="35"/>
      <c r="E78" s="45">
        <v>1117207</v>
      </c>
      <c r="F78" s="45"/>
      <c r="G78" s="45">
        <v>18047407</v>
      </c>
      <c r="H78" s="45"/>
      <c r="I78" s="45">
        <v>738367</v>
      </c>
      <c r="J78" s="45"/>
      <c r="K78" s="45">
        <v>1704957</v>
      </c>
      <c r="L78" s="45"/>
      <c r="M78" s="45">
        <v>4161058</v>
      </c>
      <c r="N78" s="45"/>
      <c r="O78" s="45">
        <v>20002</v>
      </c>
      <c r="P78" s="45"/>
      <c r="Q78" s="45">
        <f>734992+422525</f>
        <v>1157517</v>
      </c>
      <c r="R78" s="45"/>
      <c r="S78" s="44">
        <f t="shared" si="4"/>
        <v>38292</v>
      </c>
      <c r="T78" s="45"/>
      <c r="U78" s="45">
        <v>26984807</v>
      </c>
      <c r="V78" s="35"/>
      <c r="W78" s="45">
        <v>200000</v>
      </c>
    </row>
    <row r="79" spans="1:24" s="49" customFormat="1" ht="12.75" customHeight="1" x14ac:dyDescent="0.2">
      <c r="A79" s="44" t="s">
        <v>99</v>
      </c>
      <c r="C79" s="44" t="s">
        <v>66</v>
      </c>
      <c r="D79" s="35"/>
      <c r="E79" s="45">
        <v>846168</v>
      </c>
      <c r="F79" s="45"/>
      <c r="G79" s="45">
        <v>5626416</v>
      </c>
      <c r="H79" s="45"/>
      <c r="I79" s="45">
        <v>0</v>
      </c>
      <c r="J79" s="45"/>
      <c r="K79" s="45">
        <v>209851</v>
      </c>
      <c r="L79" s="45"/>
      <c r="M79" s="45">
        <v>748415</v>
      </c>
      <c r="N79" s="45"/>
      <c r="O79" s="45">
        <v>18616</v>
      </c>
      <c r="P79" s="45"/>
      <c r="Q79" s="45">
        <f>79801+25146</f>
        <v>104947</v>
      </c>
      <c r="R79" s="45"/>
      <c r="S79" s="44">
        <f t="shared" si="4"/>
        <v>207484</v>
      </c>
      <c r="T79" s="45"/>
      <c r="U79" s="45">
        <v>7761897</v>
      </c>
      <c r="V79" s="35"/>
      <c r="W79" s="45">
        <f>152103+153624</f>
        <v>305727</v>
      </c>
    </row>
    <row r="80" spans="1:24" s="49" customFormat="1" ht="12.75" customHeight="1" x14ac:dyDescent="0.2">
      <c r="A80" s="44" t="s">
        <v>100</v>
      </c>
      <c r="C80" s="44" t="s">
        <v>27</v>
      </c>
      <c r="D80" s="35"/>
      <c r="E80" s="45">
        <v>1676899</v>
      </c>
      <c r="F80" s="45"/>
      <c r="G80" s="45">
        <v>23868290</v>
      </c>
      <c r="H80" s="45"/>
      <c r="I80" s="45">
        <v>0</v>
      </c>
      <c r="J80" s="45"/>
      <c r="K80" s="45">
        <v>5626475</v>
      </c>
      <c r="L80" s="45"/>
      <c r="M80" s="45">
        <v>4367568</v>
      </c>
      <c r="N80" s="45"/>
      <c r="O80" s="45">
        <v>1041544</v>
      </c>
      <c r="P80" s="45"/>
      <c r="Q80" s="45">
        <f>180020+1387262</f>
        <v>1567282</v>
      </c>
      <c r="R80" s="45"/>
      <c r="S80" s="44">
        <f t="shared" si="4"/>
        <v>813669</v>
      </c>
      <c r="T80" s="45"/>
      <c r="U80" s="45">
        <v>38961727</v>
      </c>
      <c r="V80" s="35"/>
      <c r="W80" s="45">
        <f>1015000+930</f>
        <v>1015930</v>
      </c>
    </row>
    <row r="81" spans="1:23" s="49" customFormat="1" ht="12.75" customHeight="1" x14ac:dyDescent="0.2">
      <c r="A81" s="44" t="s">
        <v>101</v>
      </c>
      <c r="C81" s="44" t="s">
        <v>30</v>
      </c>
      <c r="D81" s="35"/>
      <c r="E81" s="45">
        <v>1624967</v>
      </c>
      <c r="F81" s="45"/>
      <c r="G81" s="45">
        <v>7720476</v>
      </c>
      <c r="H81" s="45"/>
      <c r="I81" s="45">
        <v>715517</v>
      </c>
      <c r="J81" s="45"/>
      <c r="K81" s="45">
        <v>2886678</v>
      </c>
      <c r="L81" s="45"/>
      <c r="M81" s="45">
        <v>1720090</v>
      </c>
      <c r="N81" s="45"/>
      <c r="O81" s="45">
        <v>0</v>
      </c>
      <c r="P81" s="45"/>
      <c r="Q81" s="45">
        <v>1137894</v>
      </c>
      <c r="R81" s="45"/>
      <c r="S81" s="44">
        <f t="shared" si="4"/>
        <v>323828</v>
      </c>
      <c r="T81" s="45"/>
      <c r="U81" s="45">
        <v>16129450</v>
      </c>
      <c r="V81" s="35"/>
      <c r="W81" s="45">
        <f>11640+65178</f>
        <v>76818</v>
      </c>
    </row>
    <row r="82" spans="1:23" s="49" customFormat="1" ht="12.75" customHeight="1" x14ac:dyDescent="0.2">
      <c r="A82" s="44" t="s">
        <v>102</v>
      </c>
      <c r="C82" s="44" t="s">
        <v>103</v>
      </c>
      <c r="D82" s="35"/>
      <c r="E82" s="45">
        <v>18700718</v>
      </c>
      <c r="F82" s="45"/>
      <c r="G82" s="45">
        <v>0</v>
      </c>
      <c r="H82" s="45"/>
      <c r="I82" s="45">
        <v>0</v>
      </c>
      <c r="J82" s="45"/>
      <c r="K82" s="45">
        <v>1178685</v>
      </c>
      <c r="L82" s="45"/>
      <c r="M82" s="45">
        <v>2908238</v>
      </c>
      <c r="N82" s="45"/>
      <c r="O82" s="45">
        <v>16112</v>
      </c>
      <c r="P82" s="45"/>
      <c r="Q82" s="45">
        <v>1347825</v>
      </c>
      <c r="R82" s="45"/>
      <c r="S82" s="44">
        <f t="shared" si="4"/>
        <v>363701</v>
      </c>
      <c r="T82" s="45"/>
      <c r="U82" s="45">
        <v>24515279</v>
      </c>
      <c r="V82" s="35"/>
      <c r="W82" s="45">
        <v>17300</v>
      </c>
    </row>
    <row r="83" spans="1:23" s="49" customFormat="1" ht="12.75" customHeight="1" x14ac:dyDescent="0.2">
      <c r="A83" s="44" t="s">
        <v>104</v>
      </c>
      <c r="C83" s="44" t="s">
        <v>13</v>
      </c>
      <c r="D83" s="35"/>
      <c r="E83" s="45">
        <v>829445</v>
      </c>
      <c r="F83" s="45"/>
      <c r="G83" s="45">
        <v>7049418</v>
      </c>
      <c r="H83" s="45"/>
      <c r="I83" s="45">
        <v>3038493</v>
      </c>
      <c r="J83" s="45"/>
      <c r="K83" s="45">
        <v>366067</v>
      </c>
      <c r="L83" s="45"/>
      <c r="M83" s="45">
        <v>1365859</v>
      </c>
      <c r="N83" s="45"/>
      <c r="O83" s="45">
        <v>0</v>
      </c>
      <c r="P83" s="45"/>
      <c r="Q83" s="45">
        <f>139783+215213</f>
        <v>354996</v>
      </c>
      <c r="R83" s="45"/>
      <c r="S83" s="44">
        <f t="shared" si="4"/>
        <v>203810</v>
      </c>
      <c r="T83" s="45"/>
      <c r="U83" s="45">
        <v>13208088</v>
      </c>
      <c r="V83" s="35"/>
      <c r="W83" s="45">
        <v>650</v>
      </c>
    </row>
    <row r="84" spans="1:23" s="49" customFormat="1" ht="12.75" customHeight="1" x14ac:dyDescent="0.2">
      <c r="A84" s="44" t="s">
        <v>105</v>
      </c>
      <c r="C84" s="44" t="s">
        <v>27</v>
      </c>
      <c r="D84" s="35"/>
      <c r="E84" s="45">
        <v>2646582</v>
      </c>
      <c r="F84" s="45"/>
      <c r="G84" s="45">
        <v>4825944</v>
      </c>
      <c r="H84" s="45"/>
      <c r="I84" s="45">
        <v>0</v>
      </c>
      <c r="J84" s="45"/>
      <c r="K84" s="45">
        <v>732962</v>
      </c>
      <c r="L84" s="45"/>
      <c r="M84" s="45">
        <v>1687554</v>
      </c>
      <c r="N84" s="45"/>
      <c r="O84" s="45">
        <v>0</v>
      </c>
      <c r="P84" s="45"/>
      <c r="Q84" s="45">
        <v>318907</v>
      </c>
      <c r="R84" s="45"/>
      <c r="S84" s="44">
        <f t="shared" si="4"/>
        <v>107895</v>
      </c>
      <c r="T84" s="45"/>
      <c r="U84" s="45">
        <v>10319844</v>
      </c>
      <c r="V84" s="35"/>
      <c r="W84" s="45">
        <v>0</v>
      </c>
    </row>
    <row r="85" spans="1:23" s="49" customFormat="1" ht="12.75" customHeight="1" x14ac:dyDescent="0.2">
      <c r="A85" s="44" t="s">
        <v>106</v>
      </c>
      <c r="C85" s="44" t="s">
        <v>107</v>
      </c>
      <c r="D85" s="35"/>
      <c r="E85" s="45">
        <v>2349758</v>
      </c>
      <c r="F85" s="45"/>
      <c r="G85" s="45">
        <v>0</v>
      </c>
      <c r="H85" s="45"/>
      <c r="I85" s="45">
        <v>0</v>
      </c>
      <c r="J85" s="45"/>
      <c r="K85" s="45">
        <v>2163796</v>
      </c>
      <c r="L85" s="45"/>
      <c r="M85" s="45">
        <v>4569460</v>
      </c>
      <c r="N85" s="45"/>
      <c r="O85" s="45">
        <v>0</v>
      </c>
      <c r="P85" s="45"/>
      <c r="Q85" s="45">
        <f>326626+1028517</f>
        <v>1355143</v>
      </c>
      <c r="R85" s="45"/>
      <c r="S85" s="44">
        <f t="shared" si="4"/>
        <v>621964</v>
      </c>
      <c r="T85" s="45"/>
      <c r="U85" s="45">
        <v>11060121</v>
      </c>
      <c r="V85" s="35"/>
      <c r="W85" s="45">
        <f>1036011+159+17539312</f>
        <v>18575482</v>
      </c>
    </row>
    <row r="86" spans="1:23" s="49" customFormat="1" ht="12.75" customHeight="1" x14ac:dyDescent="0.2">
      <c r="A86" s="44" t="s">
        <v>108</v>
      </c>
      <c r="C86" s="44" t="s">
        <v>45</v>
      </c>
      <c r="D86" s="35"/>
      <c r="E86" s="45">
        <v>8432828</v>
      </c>
      <c r="F86" s="45"/>
      <c r="G86" s="45">
        <v>0</v>
      </c>
      <c r="H86" s="45"/>
      <c r="I86" s="45">
        <v>0</v>
      </c>
      <c r="J86" s="45"/>
      <c r="K86" s="45">
        <v>71160</v>
      </c>
      <c r="L86" s="45"/>
      <c r="M86" s="45">
        <v>500230</v>
      </c>
      <c r="N86" s="45"/>
      <c r="O86" s="45">
        <v>8632</v>
      </c>
      <c r="P86" s="45"/>
      <c r="Q86" s="45">
        <v>275783</v>
      </c>
      <c r="R86" s="45"/>
      <c r="S86" s="44">
        <f t="shared" si="4"/>
        <v>236927</v>
      </c>
      <c r="T86" s="45"/>
      <c r="U86" s="45">
        <v>9525560</v>
      </c>
      <c r="V86" s="35"/>
      <c r="W86" s="45">
        <v>168</v>
      </c>
    </row>
    <row r="87" spans="1:23" s="44" customFormat="1" ht="12.75" customHeight="1" x14ac:dyDescent="0.2">
      <c r="A87" s="44" t="s">
        <v>109</v>
      </c>
      <c r="C87" s="44" t="s">
        <v>110</v>
      </c>
      <c r="D87" s="35"/>
      <c r="E87" s="45">
        <v>655794</v>
      </c>
      <c r="F87" s="45"/>
      <c r="G87" s="45">
        <v>4457317</v>
      </c>
      <c r="H87" s="45"/>
      <c r="I87" s="45">
        <v>0</v>
      </c>
      <c r="J87" s="45"/>
      <c r="K87" s="45">
        <v>504604</v>
      </c>
      <c r="L87" s="45"/>
      <c r="M87" s="45">
        <v>515254</v>
      </c>
      <c r="N87" s="45"/>
      <c r="O87" s="45">
        <v>0</v>
      </c>
      <c r="P87" s="45"/>
      <c r="Q87" s="45">
        <f>19274+9821</f>
        <v>29095</v>
      </c>
      <c r="R87" s="45"/>
      <c r="S87" s="44">
        <f t="shared" si="4"/>
        <v>203340</v>
      </c>
      <c r="T87" s="45"/>
      <c r="U87" s="45">
        <v>6365404</v>
      </c>
      <c r="V87" s="35"/>
      <c r="W87" s="45">
        <v>3584</v>
      </c>
    </row>
    <row r="88" spans="1:23" s="49" customFormat="1" ht="12.75" customHeight="1" x14ac:dyDescent="0.2">
      <c r="A88" s="44" t="s">
        <v>43</v>
      </c>
      <c r="C88" s="44" t="s">
        <v>111</v>
      </c>
      <c r="D88" s="35"/>
      <c r="E88" s="45">
        <v>377471</v>
      </c>
      <c r="F88" s="45"/>
      <c r="G88" s="45">
        <v>5973040</v>
      </c>
      <c r="H88" s="45"/>
      <c r="I88" s="45">
        <v>227839</v>
      </c>
      <c r="J88" s="45"/>
      <c r="K88" s="45">
        <v>31206</v>
      </c>
      <c r="L88" s="45"/>
      <c r="M88" s="45">
        <v>502563</v>
      </c>
      <c r="N88" s="45"/>
      <c r="O88" s="45">
        <v>0</v>
      </c>
      <c r="P88" s="45"/>
      <c r="Q88" s="45">
        <v>469628</v>
      </c>
      <c r="R88" s="45"/>
      <c r="S88" s="44">
        <f t="shared" si="4"/>
        <v>127927</v>
      </c>
      <c r="T88" s="45"/>
      <c r="U88" s="45">
        <v>7709674</v>
      </c>
      <c r="V88" s="35"/>
      <c r="W88" s="45">
        <v>147000</v>
      </c>
    </row>
    <row r="89" spans="1:23" s="49" customFormat="1" ht="12.75" customHeight="1" x14ac:dyDescent="0.2">
      <c r="A89" s="44" t="s">
        <v>112</v>
      </c>
      <c r="C89" s="44" t="s">
        <v>76</v>
      </c>
      <c r="D89" s="35"/>
      <c r="E89" s="45">
        <v>810907</v>
      </c>
      <c r="F89" s="45"/>
      <c r="G89" s="45">
        <v>7766274</v>
      </c>
      <c r="H89" s="45"/>
      <c r="I89" s="45">
        <v>0</v>
      </c>
      <c r="J89" s="45"/>
      <c r="K89" s="45">
        <v>29388</v>
      </c>
      <c r="L89" s="45"/>
      <c r="M89" s="45">
        <v>977728</v>
      </c>
      <c r="N89" s="45"/>
      <c r="O89" s="45">
        <v>0</v>
      </c>
      <c r="P89" s="45"/>
      <c r="Q89" s="45">
        <f>304720+6638</f>
        <v>311358</v>
      </c>
      <c r="R89" s="45"/>
      <c r="S89" s="44">
        <f t="shared" si="4"/>
        <v>315810</v>
      </c>
      <c r="T89" s="45"/>
      <c r="U89" s="45">
        <v>10211465</v>
      </c>
      <c r="V89" s="35"/>
      <c r="W89" s="45">
        <v>0</v>
      </c>
    </row>
    <row r="90" spans="1:23" s="49" customFormat="1" ht="12.75" customHeight="1" x14ac:dyDescent="0.2">
      <c r="A90" s="44" t="s">
        <v>113</v>
      </c>
      <c r="C90" s="44" t="s">
        <v>43</v>
      </c>
      <c r="D90" s="35"/>
      <c r="E90" s="45">
        <v>1534422</v>
      </c>
      <c r="F90" s="45"/>
      <c r="G90" s="45">
        <v>14405894</v>
      </c>
      <c r="H90" s="45"/>
      <c r="I90" s="45">
        <v>421791</v>
      </c>
      <c r="J90" s="45"/>
      <c r="K90" s="45">
        <v>3043979</v>
      </c>
      <c r="L90" s="45"/>
      <c r="M90" s="45">
        <v>2581859</v>
      </c>
      <c r="N90" s="45"/>
      <c r="O90" s="45">
        <v>0</v>
      </c>
      <c r="P90" s="45"/>
      <c r="Q90" s="45">
        <f>867537+464152</f>
        <v>1331689</v>
      </c>
      <c r="R90" s="45"/>
      <c r="S90" s="44">
        <f t="shared" si="4"/>
        <v>1370421</v>
      </c>
      <c r="T90" s="45"/>
      <c r="U90" s="45">
        <v>24690055</v>
      </c>
      <c r="V90" s="35"/>
      <c r="W90" s="45">
        <v>22302</v>
      </c>
    </row>
    <row r="91" spans="1:23" s="49" customFormat="1" ht="12.75" customHeight="1" x14ac:dyDescent="0.2">
      <c r="A91" s="44" t="s">
        <v>489</v>
      </c>
      <c r="C91" s="44" t="s">
        <v>57</v>
      </c>
      <c r="D91" s="35"/>
      <c r="E91" s="45">
        <v>351693</v>
      </c>
      <c r="F91" s="45"/>
      <c r="G91" s="45">
        <v>2065206</v>
      </c>
      <c r="H91" s="45"/>
      <c r="I91" s="45">
        <v>471432</v>
      </c>
      <c r="J91" s="45"/>
      <c r="K91" s="45">
        <v>1088109</v>
      </c>
      <c r="L91" s="45"/>
      <c r="M91" s="45">
        <v>609729</v>
      </c>
      <c r="N91" s="45"/>
      <c r="O91" s="45">
        <v>0</v>
      </c>
      <c r="P91" s="45"/>
      <c r="Q91" s="45">
        <f>188025+20605</f>
        <v>208630</v>
      </c>
      <c r="R91" s="45"/>
      <c r="S91" s="44">
        <f t="shared" si="4"/>
        <v>46838</v>
      </c>
      <c r="T91" s="45"/>
      <c r="U91" s="45">
        <v>4841637</v>
      </c>
      <c r="V91" s="35"/>
      <c r="W91" s="45">
        <v>0</v>
      </c>
    </row>
    <row r="92" spans="1:23" s="49" customFormat="1" ht="12.75" customHeight="1" x14ac:dyDescent="0.2">
      <c r="A92" s="44" t="s">
        <v>114</v>
      </c>
      <c r="C92" s="44" t="s">
        <v>27</v>
      </c>
      <c r="D92" s="35"/>
      <c r="E92" s="45">
        <v>6800283</v>
      </c>
      <c r="F92" s="45"/>
      <c r="G92" s="45">
        <v>7697011</v>
      </c>
      <c r="H92" s="45"/>
      <c r="I92" s="45">
        <v>283779</v>
      </c>
      <c r="J92" s="45"/>
      <c r="K92" s="45">
        <v>3481525</v>
      </c>
      <c r="L92" s="45"/>
      <c r="M92" s="45">
        <v>3052967</v>
      </c>
      <c r="N92" s="45"/>
      <c r="O92" s="45">
        <v>0</v>
      </c>
      <c r="P92" s="45"/>
      <c r="Q92" s="45">
        <f>358098+883805</f>
        <v>1241903</v>
      </c>
      <c r="R92" s="45"/>
      <c r="S92" s="44">
        <f t="shared" si="4"/>
        <v>913621</v>
      </c>
      <c r="T92" s="45"/>
      <c r="U92" s="45">
        <v>23471089</v>
      </c>
      <c r="V92" s="35"/>
      <c r="W92" s="45">
        <v>0</v>
      </c>
    </row>
    <row r="93" spans="1:23" s="49" customFormat="1" ht="12.75" customHeight="1" x14ac:dyDescent="0.2">
      <c r="A93" s="44" t="s">
        <v>115</v>
      </c>
      <c r="C93" s="44" t="s">
        <v>19</v>
      </c>
      <c r="D93" s="35"/>
      <c r="E93" s="45">
        <v>336952</v>
      </c>
      <c r="F93" s="45"/>
      <c r="G93" s="45">
        <v>2588696</v>
      </c>
      <c r="H93" s="45"/>
      <c r="I93" s="45">
        <v>0</v>
      </c>
      <c r="J93" s="45"/>
      <c r="K93" s="45">
        <v>363696</v>
      </c>
      <c r="L93" s="45"/>
      <c r="M93" s="45">
        <v>443236</v>
      </c>
      <c r="N93" s="45"/>
      <c r="O93" s="45">
        <v>0</v>
      </c>
      <c r="P93" s="45"/>
      <c r="Q93" s="45">
        <v>220347</v>
      </c>
      <c r="R93" s="45"/>
      <c r="S93" s="44">
        <f t="shared" si="4"/>
        <v>17746</v>
      </c>
      <c r="T93" s="45"/>
      <c r="U93" s="45">
        <v>3970673</v>
      </c>
      <c r="V93" s="35"/>
      <c r="W93" s="45">
        <f>30403+354999+16450</f>
        <v>401852</v>
      </c>
    </row>
    <row r="94" spans="1:23" s="49" customFormat="1" ht="12.75" customHeight="1" x14ac:dyDescent="0.2">
      <c r="A94" s="44" t="s">
        <v>116</v>
      </c>
      <c r="C94" s="44" t="s">
        <v>80</v>
      </c>
      <c r="D94" s="35"/>
      <c r="E94" s="45">
        <v>239456</v>
      </c>
      <c r="F94" s="45"/>
      <c r="G94" s="45">
        <v>3489582</v>
      </c>
      <c r="H94" s="45"/>
      <c r="I94" s="45">
        <v>0</v>
      </c>
      <c r="J94" s="45"/>
      <c r="K94" s="45">
        <v>0</v>
      </c>
      <c r="L94" s="45"/>
      <c r="M94" s="45">
        <v>369431</v>
      </c>
      <c r="N94" s="45"/>
      <c r="O94" s="45">
        <v>18859</v>
      </c>
      <c r="P94" s="45"/>
      <c r="Q94" s="45">
        <f>478374+494168</f>
        <v>972542</v>
      </c>
      <c r="R94" s="45"/>
      <c r="S94" s="44">
        <f t="shared" si="4"/>
        <v>186927</v>
      </c>
      <c r="T94" s="45"/>
      <c r="U94" s="45">
        <v>5276797</v>
      </c>
      <c r="V94" s="35"/>
      <c r="W94" s="45">
        <v>0</v>
      </c>
    </row>
    <row r="95" spans="1:23" s="49" customFormat="1" ht="12.75" customHeight="1" x14ac:dyDescent="0.2">
      <c r="A95" s="44" t="s">
        <v>117</v>
      </c>
      <c r="C95" s="44" t="s">
        <v>43</v>
      </c>
      <c r="D95" s="35"/>
      <c r="E95" s="45">
        <v>1519315</v>
      </c>
      <c r="F95" s="45"/>
      <c r="G95" s="45">
        <v>5338540</v>
      </c>
      <c r="H95" s="45"/>
      <c r="I95" s="45">
        <v>0</v>
      </c>
      <c r="J95" s="45"/>
      <c r="K95" s="45">
        <v>934015</v>
      </c>
      <c r="L95" s="45"/>
      <c r="M95" s="45">
        <v>799860</v>
      </c>
      <c r="N95" s="45"/>
      <c r="O95" s="45">
        <v>0</v>
      </c>
      <c r="P95" s="45"/>
      <c r="Q95" s="45">
        <f>202568+91649</f>
        <v>294217</v>
      </c>
      <c r="R95" s="45"/>
      <c r="S95" s="44">
        <f t="shared" si="4"/>
        <v>157533</v>
      </c>
      <c r="T95" s="45"/>
      <c r="U95" s="45">
        <v>9043480</v>
      </c>
      <c r="V95" s="35"/>
      <c r="W95" s="45">
        <f>507+13657+2274</f>
        <v>16438</v>
      </c>
    </row>
    <row r="96" spans="1:23" s="49" customFormat="1" ht="12.75" customHeight="1" x14ac:dyDescent="0.2">
      <c r="A96" s="44" t="s">
        <v>118</v>
      </c>
      <c r="C96" s="44" t="s">
        <v>13</v>
      </c>
      <c r="D96" s="35"/>
      <c r="E96" s="45">
        <v>1407428</v>
      </c>
      <c r="F96" s="45"/>
      <c r="G96" s="45">
        <v>16983203</v>
      </c>
      <c r="H96" s="45"/>
      <c r="I96" s="45">
        <v>461015</v>
      </c>
      <c r="J96" s="45"/>
      <c r="K96" s="45">
        <v>237839</v>
      </c>
      <c r="L96" s="45"/>
      <c r="M96" s="45">
        <v>1435932</v>
      </c>
      <c r="N96" s="45"/>
      <c r="O96" s="45">
        <v>12366</v>
      </c>
      <c r="P96" s="45"/>
      <c r="Q96" s="45">
        <f>373733+25918</f>
        <v>399651</v>
      </c>
      <c r="R96" s="45"/>
      <c r="S96" s="44">
        <f t="shared" si="4"/>
        <v>1437418</v>
      </c>
      <c r="T96" s="45"/>
      <c r="U96" s="45">
        <v>22374852</v>
      </c>
      <c r="V96" s="35"/>
      <c r="W96" s="45">
        <v>85376</v>
      </c>
    </row>
    <row r="97" spans="1:23" s="49" customFormat="1" ht="12.75" customHeight="1" x14ac:dyDescent="0.2">
      <c r="A97" s="44" t="s">
        <v>120</v>
      </c>
      <c r="C97" s="44" t="s">
        <v>121</v>
      </c>
      <c r="D97" s="35"/>
      <c r="E97" s="45">
        <v>1195459</v>
      </c>
      <c r="F97" s="45"/>
      <c r="G97" s="45">
        <v>5662105</v>
      </c>
      <c r="H97" s="45"/>
      <c r="I97" s="45">
        <v>0</v>
      </c>
      <c r="J97" s="45"/>
      <c r="K97" s="45">
        <v>42605</v>
      </c>
      <c r="L97" s="45"/>
      <c r="M97" s="45">
        <v>943032</v>
      </c>
      <c r="N97" s="45"/>
      <c r="O97" s="45">
        <v>12266</v>
      </c>
      <c r="P97" s="45"/>
      <c r="Q97" s="45">
        <f>105223+72411</f>
        <v>177634</v>
      </c>
      <c r="R97" s="45"/>
      <c r="S97" s="44">
        <f t="shared" si="4"/>
        <v>223767</v>
      </c>
      <c r="T97" s="45"/>
      <c r="U97" s="45">
        <v>8256868</v>
      </c>
      <c r="V97" s="35"/>
      <c r="W97" s="45">
        <v>192500</v>
      </c>
    </row>
    <row r="98" spans="1:23" s="49" customFormat="1" ht="12.75" customHeight="1" x14ac:dyDescent="0.2">
      <c r="A98" s="44" t="s">
        <v>122</v>
      </c>
      <c r="C98" s="44" t="s">
        <v>43</v>
      </c>
      <c r="D98" s="35"/>
      <c r="E98" s="45">
        <v>925699</v>
      </c>
      <c r="F98" s="45"/>
      <c r="G98" s="45">
        <v>18304508</v>
      </c>
      <c r="H98" s="45"/>
      <c r="I98" s="45">
        <v>1018265</v>
      </c>
      <c r="J98" s="45"/>
      <c r="K98" s="45">
        <v>176639</v>
      </c>
      <c r="L98" s="45"/>
      <c r="M98" s="45">
        <v>2398869</v>
      </c>
      <c r="N98" s="45"/>
      <c r="O98" s="45">
        <v>1327214</v>
      </c>
      <c r="P98" s="45"/>
      <c r="Q98" s="45">
        <f>410299+371038</f>
        <v>781337</v>
      </c>
      <c r="R98" s="45"/>
      <c r="S98" s="44">
        <f t="shared" si="4"/>
        <v>772354</v>
      </c>
      <c r="T98" s="45"/>
      <c r="U98" s="45">
        <v>25704885</v>
      </c>
      <c r="V98" s="35"/>
      <c r="W98" s="45">
        <v>31039</v>
      </c>
    </row>
    <row r="99" spans="1:23" s="49" customFormat="1" ht="12.75" customHeight="1" x14ac:dyDescent="0.2">
      <c r="A99" s="35" t="s">
        <v>507</v>
      </c>
      <c r="B99" s="51"/>
      <c r="C99" s="35" t="s">
        <v>43</v>
      </c>
      <c r="D99" s="35"/>
      <c r="E99" s="45">
        <v>270810</v>
      </c>
      <c r="F99" s="45"/>
      <c r="G99" s="45">
        <v>5966550</v>
      </c>
      <c r="H99" s="45"/>
      <c r="I99" s="45">
        <v>0</v>
      </c>
      <c r="J99" s="45"/>
      <c r="K99" s="45">
        <v>2231824</v>
      </c>
      <c r="L99" s="45"/>
      <c r="M99" s="45">
        <v>292244</v>
      </c>
      <c r="N99" s="45"/>
      <c r="O99" s="45">
        <v>0</v>
      </c>
      <c r="P99" s="45"/>
      <c r="Q99" s="45">
        <v>212694</v>
      </c>
      <c r="R99" s="45"/>
      <c r="S99" s="44">
        <f t="shared" si="4"/>
        <v>355963</v>
      </c>
      <c r="T99" s="45"/>
      <c r="U99" s="45">
        <v>9330085</v>
      </c>
      <c r="V99" s="35"/>
      <c r="W99" s="45">
        <v>0</v>
      </c>
    </row>
    <row r="100" spans="1:23" s="49" customFormat="1" ht="12.75" customHeight="1" x14ac:dyDescent="0.2">
      <c r="A100" s="44" t="s">
        <v>45</v>
      </c>
      <c r="C100" s="44" t="s">
        <v>103</v>
      </c>
      <c r="D100" s="35"/>
      <c r="E100" s="45">
        <v>5725965</v>
      </c>
      <c r="F100" s="45"/>
      <c r="G100" s="45">
        <v>16772317</v>
      </c>
      <c r="H100" s="45"/>
      <c r="I100" s="45">
        <v>0</v>
      </c>
      <c r="J100" s="45"/>
      <c r="K100" s="45">
        <v>5209411</v>
      </c>
      <c r="L100" s="45"/>
      <c r="M100" s="45">
        <v>10041539</v>
      </c>
      <c r="N100" s="45"/>
      <c r="O100" s="45">
        <v>0</v>
      </c>
      <c r="P100" s="45"/>
      <c r="Q100" s="45">
        <f>698485+492458</f>
        <v>1190943</v>
      </c>
      <c r="R100" s="45"/>
      <c r="S100" s="44">
        <f t="shared" si="4"/>
        <v>405392</v>
      </c>
      <c r="T100" s="45"/>
      <c r="U100" s="45">
        <v>39345567</v>
      </c>
      <c r="V100" s="35"/>
      <c r="W100" s="45">
        <v>85914</v>
      </c>
    </row>
    <row r="101" spans="1:23" s="49" customFormat="1" ht="12.75" customHeight="1" x14ac:dyDescent="0.2">
      <c r="A101" s="44" t="s">
        <v>123</v>
      </c>
      <c r="C101" s="44" t="s">
        <v>45</v>
      </c>
      <c r="D101" s="35"/>
      <c r="E101" s="45">
        <v>1171336</v>
      </c>
      <c r="F101" s="45"/>
      <c r="G101" s="45">
        <v>2878774</v>
      </c>
      <c r="H101" s="45"/>
      <c r="I101" s="45">
        <v>0</v>
      </c>
      <c r="J101" s="45"/>
      <c r="K101" s="45">
        <v>0</v>
      </c>
      <c r="L101" s="45"/>
      <c r="M101" s="45">
        <v>600865</v>
      </c>
      <c r="N101" s="45"/>
      <c r="O101" s="45">
        <v>0</v>
      </c>
      <c r="P101" s="45"/>
      <c r="Q101" s="45">
        <f>196021+197646</f>
        <v>393667</v>
      </c>
      <c r="R101" s="45"/>
      <c r="S101" s="44">
        <f t="shared" si="4"/>
        <v>145259</v>
      </c>
      <c r="T101" s="45"/>
      <c r="U101" s="45">
        <v>5189901</v>
      </c>
      <c r="V101" s="35"/>
      <c r="W101" s="45">
        <v>82300</v>
      </c>
    </row>
    <row r="102" spans="1:23" s="49" customFormat="1" ht="12.75" customHeight="1" x14ac:dyDescent="0.2">
      <c r="A102" s="44" t="s">
        <v>124</v>
      </c>
      <c r="C102" s="44" t="s">
        <v>125</v>
      </c>
      <c r="D102" s="35"/>
      <c r="E102" s="45">
        <v>5389691</v>
      </c>
      <c r="F102" s="45"/>
      <c r="G102" s="45">
        <v>0</v>
      </c>
      <c r="H102" s="45"/>
      <c r="I102" s="45">
        <v>0</v>
      </c>
      <c r="J102" s="45"/>
      <c r="K102" s="45">
        <v>400975</v>
      </c>
      <c r="L102" s="45"/>
      <c r="M102" s="45">
        <v>662536</v>
      </c>
      <c r="N102" s="45"/>
      <c r="O102" s="45">
        <v>0</v>
      </c>
      <c r="P102" s="45"/>
      <c r="Q102" s="45">
        <f>24697+16682</f>
        <v>41379</v>
      </c>
      <c r="R102" s="45"/>
      <c r="S102" s="44">
        <f t="shared" si="4"/>
        <v>298740</v>
      </c>
      <c r="T102" s="45"/>
      <c r="U102" s="45">
        <v>6793321</v>
      </c>
      <c r="V102" s="35"/>
      <c r="W102" s="45">
        <v>0</v>
      </c>
    </row>
    <row r="103" spans="1:23" s="49" customFormat="1" ht="12.75" customHeight="1" x14ac:dyDescent="0.2">
      <c r="A103" s="44" t="s">
        <v>126</v>
      </c>
      <c r="C103" s="44" t="s">
        <v>27</v>
      </c>
      <c r="D103" s="35"/>
      <c r="E103" s="45">
        <v>744822</v>
      </c>
      <c r="F103" s="45"/>
      <c r="G103" s="45">
        <v>9824731</v>
      </c>
      <c r="H103" s="45"/>
      <c r="I103" s="45">
        <v>39008</v>
      </c>
      <c r="J103" s="45"/>
      <c r="K103" s="45">
        <v>392668</v>
      </c>
      <c r="L103" s="45"/>
      <c r="M103" s="45">
        <v>957953</v>
      </c>
      <c r="N103" s="45"/>
      <c r="O103" s="45">
        <v>30947</v>
      </c>
      <c r="P103" s="45"/>
      <c r="Q103" s="45">
        <v>386047</v>
      </c>
      <c r="R103" s="45"/>
      <c r="S103" s="44">
        <f t="shared" si="4"/>
        <v>169447</v>
      </c>
      <c r="T103" s="45"/>
      <c r="U103" s="45">
        <v>12545623</v>
      </c>
      <c r="V103" s="35"/>
      <c r="W103" s="45">
        <v>0</v>
      </c>
    </row>
    <row r="104" spans="1:23" s="49" customFormat="1" ht="12.75" customHeight="1" x14ac:dyDescent="0.2">
      <c r="A104" s="44" t="s">
        <v>127</v>
      </c>
      <c r="C104" s="44" t="s">
        <v>43</v>
      </c>
      <c r="D104" s="35"/>
      <c r="E104" s="45">
        <v>1981224</v>
      </c>
      <c r="F104" s="45"/>
      <c r="G104" s="45">
        <v>12203178</v>
      </c>
      <c r="H104" s="45"/>
      <c r="I104" s="45">
        <v>0</v>
      </c>
      <c r="J104" s="45"/>
      <c r="K104" s="45">
        <v>2932107</v>
      </c>
      <c r="L104" s="45"/>
      <c r="M104" s="45">
        <v>654106</v>
      </c>
      <c r="N104" s="45"/>
      <c r="O104" s="45">
        <v>0</v>
      </c>
      <c r="P104" s="45"/>
      <c r="Q104" s="45">
        <f>852418+302385</f>
        <v>1154803</v>
      </c>
      <c r="R104" s="45"/>
      <c r="S104" s="44">
        <f t="shared" si="4"/>
        <v>190142</v>
      </c>
      <c r="T104" s="45"/>
      <c r="U104" s="45">
        <v>19115560</v>
      </c>
      <c r="V104" s="35"/>
      <c r="W104" s="45">
        <v>28398</v>
      </c>
    </row>
    <row r="105" spans="1:23" s="49" customFormat="1" ht="12.75" customHeight="1" x14ac:dyDescent="0.2">
      <c r="A105" s="44" t="s">
        <v>128</v>
      </c>
      <c r="C105" s="44" t="s">
        <v>119</v>
      </c>
      <c r="D105" s="35"/>
      <c r="E105" s="45">
        <v>3410459</v>
      </c>
      <c r="F105" s="45"/>
      <c r="G105" s="45">
        <v>0</v>
      </c>
      <c r="H105" s="45"/>
      <c r="I105" s="45">
        <v>0</v>
      </c>
      <c r="J105" s="45"/>
      <c r="K105" s="45">
        <v>613335</v>
      </c>
      <c r="L105" s="45"/>
      <c r="M105" s="45">
        <v>389719</v>
      </c>
      <c r="N105" s="45"/>
      <c r="O105" s="45">
        <v>0</v>
      </c>
      <c r="P105" s="45"/>
      <c r="Q105" s="45">
        <f>16251+197693</f>
        <v>213944</v>
      </c>
      <c r="R105" s="45"/>
      <c r="S105" s="44">
        <f t="shared" si="4"/>
        <v>54863</v>
      </c>
      <c r="T105" s="45"/>
      <c r="U105" s="45">
        <v>4682320</v>
      </c>
      <c r="V105" s="35"/>
      <c r="W105" s="45">
        <f>107767+12413</f>
        <v>120180</v>
      </c>
    </row>
    <row r="106" spans="1:23" s="49" customFormat="1" ht="12.75" customHeight="1" x14ac:dyDescent="0.2">
      <c r="A106" s="44" t="s">
        <v>129</v>
      </c>
      <c r="C106" s="44" t="s">
        <v>80</v>
      </c>
      <c r="D106" s="35"/>
      <c r="E106" s="45">
        <v>296269</v>
      </c>
      <c r="F106" s="45"/>
      <c r="G106" s="45">
        <v>2045305</v>
      </c>
      <c r="H106" s="45"/>
      <c r="I106" s="45">
        <v>0</v>
      </c>
      <c r="J106" s="45"/>
      <c r="K106" s="45">
        <v>512</v>
      </c>
      <c r="L106" s="45"/>
      <c r="M106" s="45">
        <v>620233</v>
      </c>
      <c r="N106" s="45"/>
      <c r="O106" s="45">
        <v>0</v>
      </c>
      <c r="P106" s="45"/>
      <c r="Q106" s="45">
        <f>109361+19028</f>
        <v>128389</v>
      </c>
      <c r="R106" s="45"/>
      <c r="S106" s="44">
        <f t="shared" si="4"/>
        <v>92042</v>
      </c>
      <c r="T106" s="45"/>
      <c r="U106" s="45">
        <v>3182750</v>
      </c>
      <c r="V106" s="35"/>
      <c r="W106" s="45">
        <v>0</v>
      </c>
    </row>
    <row r="107" spans="1:23" s="49" customFormat="1" ht="12.75" customHeight="1" x14ac:dyDescent="0.2">
      <c r="A107" s="44" t="s">
        <v>130</v>
      </c>
      <c r="C107" s="44" t="s">
        <v>66</v>
      </c>
      <c r="D107" s="35"/>
      <c r="E107" s="45">
        <v>6073575</v>
      </c>
      <c r="F107" s="45"/>
      <c r="G107" s="45">
        <v>0</v>
      </c>
      <c r="H107" s="45"/>
      <c r="I107" s="45">
        <v>0</v>
      </c>
      <c r="J107" s="45"/>
      <c r="K107" s="45">
        <v>1423806</v>
      </c>
      <c r="L107" s="45"/>
      <c r="M107" s="45">
        <v>1588505</v>
      </c>
      <c r="N107" s="45"/>
      <c r="O107" s="45">
        <v>42386</v>
      </c>
      <c r="P107" s="45"/>
      <c r="Q107" s="45">
        <v>680768</v>
      </c>
      <c r="R107" s="45"/>
      <c r="S107" s="44">
        <f t="shared" si="4"/>
        <v>432556</v>
      </c>
      <c r="T107" s="45"/>
      <c r="U107" s="45">
        <v>10241596</v>
      </c>
      <c r="V107" s="35"/>
      <c r="W107" s="45">
        <v>0</v>
      </c>
    </row>
    <row r="108" spans="1:23" s="46" customFormat="1" ht="12.75" customHeight="1" x14ac:dyDescent="0.2">
      <c r="A108" s="44" t="s">
        <v>131</v>
      </c>
      <c r="B108" s="49"/>
      <c r="C108" s="44" t="s">
        <v>13</v>
      </c>
      <c r="D108" s="35"/>
      <c r="E108" s="45">
        <v>2406264</v>
      </c>
      <c r="F108" s="45"/>
      <c r="G108" s="45">
        <v>13111338</v>
      </c>
      <c r="H108" s="45"/>
      <c r="I108" s="45">
        <v>0</v>
      </c>
      <c r="J108" s="45"/>
      <c r="K108" s="45">
        <v>355177</v>
      </c>
      <c r="L108" s="45"/>
      <c r="M108" s="45">
        <v>3902817</v>
      </c>
      <c r="N108" s="45"/>
      <c r="O108" s="45">
        <v>52313</v>
      </c>
      <c r="P108" s="45"/>
      <c r="Q108" s="45">
        <v>54411</v>
      </c>
      <c r="R108" s="45"/>
      <c r="S108" s="44">
        <f t="shared" si="4"/>
        <v>583468</v>
      </c>
      <c r="T108" s="45"/>
      <c r="U108" s="45">
        <v>20465788</v>
      </c>
      <c r="V108" s="35"/>
      <c r="W108" s="45">
        <v>0</v>
      </c>
    </row>
    <row r="109" spans="1:23" s="46" customFormat="1" ht="12.75" customHeight="1" x14ac:dyDescent="0.2">
      <c r="A109" s="44" t="s">
        <v>38</v>
      </c>
      <c r="B109" s="49"/>
      <c r="C109" s="44" t="s">
        <v>132</v>
      </c>
      <c r="D109" s="35"/>
      <c r="E109" s="45">
        <v>215381</v>
      </c>
      <c r="F109" s="45"/>
      <c r="G109" s="45">
        <v>1796561</v>
      </c>
      <c r="H109" s="45"/>
      <c r="I109" s="45">
        <v>0</v>
      </c>
      <c r="J109" s="45"/>
      <c r="K109" s="45">
        <v>642741</v>
      </c>
      <c r="L109" s="45"/>
      <c r="M109" s="45">
        <v>1245828</v>
      </c>
      <c r="N109" s="45"/>
      <c r="O109" s="45">
        <v>0</v>
      </c>
      <c r="P109" s="45"/>
      <c r="Q109" s="45">
        <f>113749+290960</f>
        <v>404709</v>
      </c>
      <c r="R109" s="45"/>
      <c r="S109" s="44">
        <f t="shared" si="4"/>
        <v>96493</v>
      </c>
      <c r="T109" s="45"/>
      <c r="U109" s="45">
        <v>4401713</v>
      </c>
      <c r="V109" s="35"/>
      <c r="W109" s="45">
        <v>0</v>
      </c>
    </row>
    <row r="110" spans="1:23" s="49" customFormat="1" ht="12.75" customHeight="1" x14ac:dyDescent="0.2">
      <c r="A110" s="44" t="s">
        <v>471</v>
      </c>
      <c r="C110" s="44"/>
      <c r="D110" s="3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4"/>
      <c r="T110" s="45"/>
      <c r="U110" s="45"/>
      <c r="V110" s="35"/>
      <c r="W110" s="48" t="s">
        <v>484</v>
      </c>
    </row>
    <row r="111" spans="1:23" s="49" customFormat="1" ht="12.75" customHeight="1" x14ac:dyDescent="0.2">
      <c r="A111" s="44" t="s">
        <v>133</v>
      </c>
      <c r="C111" s="44" t="s">
        <v>27</v>
      </c>
      <c r="D111" s="35"/>
      <c r="E111" s="94">
        <v>847780</v>
      </c>
      <c r="F111" s="94"/>
      <c r="G111" s="94">
        <v>23414008</v>
      </c>
      <c r="H111" s="94"/>
      <c r="I111" s="94">
        <f>4786175+1072995+8268</f>
        <v>5867438</v>
      </c>
      <c r="J111" s="94"/>
      <c r="K111" s="94">
        <v>243448</v>
      </c>
      <c r="L111" s="94"/>
      <c r="M111" s="94">
        <v>488953</v>
      </c>
      <c r="N111" s="94"/>
      <c r="O111" s="94">
        <v>0</v>
      </c>
      <c r="P111" s="94"/>
      <c r="Q111" s="94">
        <f>358610+175492</f>
        <v>534102</v>
      </c>
      <c r="R111" s="94"/>
      <c r="S111" s="46">
        <f t="shared" si="4"/>
        <v>668635</v>
      </c>
      <c r="T111" s="94"/>
      <c r="U111" s="94">
        <v>32064364</v>
      </c>
      <c r="V111" s="64"/>
      <c r="W111" s="94">
        <v>0</v>
      </c>
    </row>
    <row r="112" spans="1:23" s="49" customFormat="1" ht="12.75" customHeight="1" x14ac:dyDescent="0.2">
      <c r="A112" s="44" t="s">
        <v>482</v>
      </c>
      <c r="C112" s="44" t="s">
        <v>45</v>
      </c>
      <c r="D112" s="35"/>
      <c r="E112" s="45">
        <v>813785</v>
      </c>
      <c r="F112" s="45"/>
      <c r="G112" s="45">
        <v>5685073</v>
      </c>
      <c r="H112" s="45"/>
      <c r="I112" s="45">
        <v>0</v>
      </c>
      <c r="J112" s="45"/>
      <c r="K112" s="45">
        <v>461661</v>
      </c>
      <c r="L112" s="45"/>
      <c r="M112" s="45">
        <v>5829331</v>
      </c>
      <c r="N112" s="45"/>
      <c r="O112" s="45">
        <v>0</v>
      </c>
      <c r="P112" s="45"/>
      <c r="Q112" s="45">
        <f>400+31263</f>
        <v>31663</v>
      </c>
      <c r="R112" s="45"/>
      <c r="S112" s="44">
        <f t="shared" si="4"/>
        <v>193785</v>
      </c>
      <c r="T112" s="45"/>
      <c r="U112" s="45">
        <v>13015298</v>
      </c>
      <c r="V112" s="35"/>
      <c r="W112" s="45">
        <v>0</v>
      </c>
    </row>
    <row r="113" spans="1:23" s="49" customFormat="1" ht="12.75" customHeight="1" x14ac:dyDescent="0.2">
      <c r="A113" s="35" t="s">
        <v>134</v>
      </c>
      <c r="B113" s="55"/>
      <c r="C113" s="35" t="s">
        <v>135</v>
      </c>
      <c r="D113" s="35"/>
      <c r="E113" s="45">
        <v>2404712</v>
      </c>
      <c r="F113" s="45"/>
      <c r="G113" s="45">
        <v>0</v>
      </c>
      <c r="H113" s="45"/>
      <c r="I113" s="45">
        <v>0</v>
      </c>
      <c r="J113" s="45"/>
      <c r="K113" s="45">
        <v>1232119</v>
      </c>
      <c r="L113" s="45"/>
      <c r="M113" s="45">
        <v>784364</v>
      </c>
      <c r="N113" s="45"/>
      <c r="O113" s="45">
        <v>3994</v>
      </c>
      <c r="P113" s="45"/>
      <c r="Q113" s="45">
        <f>78950+283574</f>
        <v>362524</v>
      </c>
      <c r="R113" s="45"/>
      <c r="S113" s="44">
        <f t="shared" si="4"/>
        <v>226653</v>
      </c>
      <c r="T113" s="45"/>
      <c r="U113" s="45">
        <v>5014366</v>
      </c>
      <c r="V113" s="35"/>
      <c r="W113" s="45">
        <v>474627</v>
      </c>
    </row>
    <row r="114" spans="1:23" s="49" customFormat="1" ht="12.75" customHeight="1" x14ac:dyDescent="0.2">
      <c r="A114" s="44" t="s">
        <v>136</v>
      </c>
      <c r="C114" s="44" t="s">
        <v>136</v>
      </c>
      <c r="D114" s="35"/>
      <c r="E114" s="45">
        <v>1054456</v>
      </c>
      <c r="F114" s="45"/>
      <c r="G114" s="45">
        <v>0</v>
      </c>
      <c r="H114" s="45"/>
      <c r="I114" s="45">
        <v>0</v>
      </c>
      <c r="J114" s="45"/>
      <c r="K114" s="45">
        <v>1876592</v>
      </c>
      <c r="L114" s="45"/>
      <c r="M114" s="45">
        <v>356584</v>
      </c>
      <c r="N114" s="45"/>
      <c r="O114" s="45">
        <v>0</v>
      </c>
      <c r="P114" s="45"/>
      <c r="Q114" s="45">
        <f>47090+93666</f>
        <v>140756</v>
      </c>
      <c r="R114" s="45"/>
      <c r="S114" s="44">
        <f t="shared" si="4"/>
        <v>242832</v>
      </c>
      <c r="T114" s="45"/>
      <c r="U114" s="45">
        <v>3671220</v>
      </c>
      <c r="V114" s="35"/>
      <c r="W114" s="45">
        <v>0</v>
      </c>
    </row>
    <row r="115" spans="1:23" s="49" customFormat="1" ht="12.75" customHeight="1" x14ac:dyDescent="0.2">
      <c r="A115" s="44" t="s">
        <v>137</v>
      </c>
      <c r="C115" s="44" t="s">
        <v>22</v>
      </c>
      <c r="D115" s="35"/>
      <c r="E115" s="45">
        <v>1620493</v>
      </c>
      <c r="F115" s="45"/>
      <c r="G115" s="45">
        <v>2099065</v>
      </c>
      <c r="H115" s="45"/>
      <c r="I115" s="45">
        <v>0</v>
      </c>
      <c r="J115" s="45"/>
      <c r="K115" s="45">
        <v>1310237</v>
      </c>
      <c r="L115" s="45"/>
      <c r="M115" s="45">
        <v>2713341</v>
      </c>
      <c r="N115" s="45"/>
      <c r="O115" s="45">
        <v>0</v>
      </c>
      <c r="P115" s="45"/>
      <c r="Q115" s="45">
        <f>375622+177409</f>
        <v>553031</v>
      </c>
      <c r="R115" s="45"/>
      <c r="S115" s="44">
        <f t="shared" si="4"/>
        <v>154389</v>
      </c>
      <c r="T115" s="45"/>
      <c r="U115" s="45">
        <v>8450556</v>
      </c>
      <c r="V115" s="35"/>
      <c r="W115" s="45">
        <v>0</v>
      </c>
    </row>
    <row r="116" spans="1:23" s="49" customFormat="1" ht="12.75" hidden="1" customHeight="1" x14ac:dyDescent="0.2">
      <c r="A116" s="44" t="s">
        <v>138</v>
      </c>
      <c r="C116" s="44" t="s">
        <v>139</v>
      </c>
      <c r="D116" s="3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4">
        <f t="shared" si="4"/>
        <v>0</v>
      </c>
      <c r="T116" s="45"/>
      <c r="U116" s="45"/>
      <c r="V116" s="35"/>
      <c r="W116" s="45">
        <v>0</v>
      </c>
    </row>
    <row r="117" spans="1:23" s="49" customFormat="1" ht="12.75" customHeight="1" x14ac:dyDescent="0.2">
      <c r="A117" s="44" t="s">
        <v>140</v>
      </c>
      <c r="C117" s="44" t="s">
        <v>66</v>
      </c>
      <c r="D117" s="35"/>
      <c r="E117" s="45">
        <v>7123615</v>
      </c>
      <c r="F117" s="45"/>
      <c r="G117" s="45">
        <v>37392845</v>
      </c>
      <c r="H117" s="45"/>
      <c r="I117" s="45">
        <v>0</v>
      </c>
      <c r="J117" s="45"/>
      <c r="K117" s="45">
        <v>133650</v>
      </c>
      <c r="L117" s="45"/>
      <c r="M117" s="45">
        <v>1592215</v>
      </c>
      <c r="N117" s="45"/>
      <c r="O117" s="45">
        <v>403854</v>
      </c>
      <c r="P117" s="45"/>
      <c r="Q117" s="45">
        <f>453950+1376320</f>
        <v>1830270</v>
      </c>
      <c r="R117" s="45"/>
      <c r="S117" s="44">
        <f t="shared" si="4"/>
        <v>1983058</v>
      </c>
      <c r="T117" s="45"/>
      <c r="U117" s="45">
        <v>50459507</v>
      </c>
      <c r="V117" s="35"/>
      <c r="W117" s="45">
        <v>28957</v>
      </c>
    </row>
    <row r="118" spans="1:23" s="49" customFormat="1" ht="12.75" customHeight="1" x14ac:dyDescent="0.2">
      <c r="A118" s="44" t="s">
        <v>478</v>
      </c>
      <c r="C118" s="44" t="s">
        <v>92</v>
      </c>
      <c r="D118" s="35"/>
      <c r="E118" s="45">
        <v>598864</v>
      </c>
      <c r="F118" s="45"/>
      <c r="G118" s="45">
        <v>3017196</v>
      </c>
      <c r="H118" s="45"/>
      <c r="I118" s="45">
        <v>0</v>
      </c>
      <c r="J118" s="45"/>
      <c r="K118" s="45">
        <v>138539</v>
      </c>
      <c r="L118" s="45"/>
      <c r="M118" s="45">
        <v>661839</v>
      </c>
      <c r="N118" s="45"/>
      <c r="O118" s="45">
        <v>0</v>
      </c>
      <c r="P118" s="45"/>
      <c r="Q118" s="45">
        <f>25493+18365</f>
        <v>43858</v>
      </c>
      <c r="R118" s="45"/>
      <c r="S118" s="44">
        <f t="shared" si="4"/>
        <v>300368</v>
      </c>
      <c r="T118" s="45"/>
      <c r="U118" s="45">
        <v>4760664</v>
      </c>
      <c r="V118" s="35"/>
      <c r="W118" s="45">
        <f>160000+60000</f>
        <v>220000</v>
      </c>
    </row>
    <row r="119" spans="1:23" s="46" customFormat="1" ht="12.75" customHeight="1" x14ac:dyDescent="0.2">
      <c r="A119" s="44" t="s">
        <v>141</v>
      </c>
      <c r="B119" s="49"/>
      <c r="C119" s="44" t="s">
        <v>27</v>
      </c>
      <c r="D119" s="35"/>
      <c r="E119" s="45">
        <v>6752652</v>
      </c>
      <c r="F119" s="45"/>
      <c r="G119" s="45">
        <v>18766179</v>
      </c>
      <c r="H119" s="45"/>
      <c r="I119" s="45">
        <v>0</v>
      </c>
      <c r="J119" s="45"/>
      <c r="K119" s="45">
        <v>1467359</v>
      </c>
      <c r="L119" s="45"/>
      <c r="M119" s="45">
        <v>5940883</v>
      </c>
      <c r="N119" s="45"/>
      <c r="O119" s="45">
        <v>0</v>
      </c>
      <c r="P119" s="45"/>
      <c r="Q119" s="45">
        <f>1630554+1556842</f>
        <v>3187396</v>
      </c>
      <c r="R119" s="45"/>
      <c r="S119" s="44">
        <f t="shared" si="4"/>
        <v>68111</v>
      </c>
      <c r="T119" s="45"/>
      <c r="U119" s="45">
        <v>36182580</v>
      </c>
      <c r="V119" s="35"/>
      <c r="W119" s="45">
        <f>1487326+960665</f>
        <v>2447991</v>
      </c>
    </row>
    <row r="120" spans="1:23" s="49" customFormat="1" ht="12.75" customHeight="1" x14ac:dyDescent="0.2">
      <c r="A120" s="44" t="s">
        <v>142</v>
      </c>
      <c r="C120" s="44" t="s">
        <v>102</v>
      </c>
      <c r="D120" s="35"/>
      <c r="E120" s="45">
        <v>17117585</v>
      </c>
      <c r="F120" s="45"/>
      <c r="G120" s="45">
        <v>0</v>
      </c>
      <c r="H120" s="45"/>
      <c r="I120" s="45">
        <v>0</v>
      </c>
      <c r="J120" s="45"/>
      <c r="K120" s="45">
        <v>2643698</v>
      </c>
      <c r="L120" s="45"/>
      <c r="M120" s="45">
        <v>2434320</v>
      </c>
      <c r="N120" s="45"/>
      <c r="O120" s="45">
        <v>0</v>
      </c>
      <c r="P120" s="45"/>
      <c r="Q120" s="45">
        <f>832122+21590</f>
        <v>853712</v>
      </c>
      <c r="R120" s="45"/>
      <c r="S120" s="44">
        <f t="shared" si="4"/>
        <v>431652</v>
      </c>
      <c r="T120" s="45"/>
      <c r="U120" s="45">
        <v>23480967</v>
      </c>
      <c r="V120" s="35"/>
      <c r="W120" s="45">
        <v>0</v>
      </c>
    </row>
    <row r="121" spans="1:23" s="49" customFormat="1" ht="12.75" customHeight="1" x14ac:dyDescent="0.2">
      <c r="A121" s="44" t="s">
        <v>143</v>
      </c>
      <c r="C121" s="44" t="s">
        <v>111</v>
      </c>
      <c r="D121" s="35"/>
      <c r="E121" s="45">
        <v>1148685</v>
      </c>
      <c r="F121" s="45"/>
      <c r="G121" s="45">
        <v>3227658</v>
      </c>
      <c r="H121" s="45"/>
      <c r="I121" s="45">
        <v>1245646</v>
      </c>
      <c r="J121" s="45"/>
      <c r="K121" s="45">
        <v>649179</v>
      </c>
      <c r="L121" s="45"/>
      <c r="M121" s="45">
        <v>970552</v>
      </c>
      <c r="N121" s="45"/>
      <c r="O121" s="45">
        <v>0</v>
      </c>
      <c r="P121" s="45"/>
      <c r="Q121" s="45">
        <v>649179</v>
      </c>
      <c r="R121" s="45"/>
      <c r="S121" s="44">
        <f t="shared" si="4"/>
        <v>1192423</v>
      </c>
      <c r="T121" s="45"/>
      <c r="U121" s="45">
        <v>9083322</v>
      </c>
      <c r="V121" s="35"/>
      <c r="W121" s="45">
        <v>15510</v>
      </c>
    </row>
    <row r="122" spans="1:23" s="49" customFormat="1" ht="12.75" customHeight="1" x14ac:dyDescent="0.2">
      <c r="A122" s="44" t="s">
        <v>144</v>
      </c>
      <c r="C122" s="44" t="s">
        <v>88</v>
      </c>
      <c r="D122" s="35"/>
      <c r="E122" s="45">
        <v>1237398</v>
      </c>
      <c r="F122" s="45"/>
      <c r="G122" s="45">
        <v>15129368</v>
      </c>
      <c r="H122" s="45"/>
      <c r="I122" s="45">
        <v>0</v>
      </c>
      <c r="J122" s="45"/>
      <c r="K122" s="45">
        <v>5741954</v>
      </c>
      <c r="L122" s="45"/>
      <c r="M122" s="45">
        <v>2825524</v>
      </c>
      <c r="N122" s="45"/>
      <c r="O122" s="45">
        <v>0</v>
      </c>
      <c r="P122" s="45"/>
      <c r="Q122" s="45">
        <f>975678+1012717</f>
        <v>1988395</v>
      </c>
      <c r="R122" s="45"/>
      <c r="S122" s="44">
        <f t="shared" si="4"/>
        <v>709286</v>
      </c>
      <c r="T122" s="45"/>
      <c r="U122" s="45">
        <v>27631925</v>
      </c>
      <c r="V122" s="35"/>
      <c r="W122" s="45">
        <f>54043+4850</f>
        <v>58893</v>
      </c>
    </row>
    <row r="123" spans="1:23" s="49" customFormat="1" ht="12.75" customHeight="1" x14ac:dyDescent="0.2">
      <c r="A123" s="44" t="s">
        <v>36</v>
      </c>
      <c r="C123" s="44" t="s">
        <v>145</v>
      </c>
      <c r="D123" s="35"/>
      <c r="E123" s="45">
        <v>199570</v>
      </c>
      <c r="F123" s="45"/>
      <c r="G123" s="45">
        <v>2451856</v>
      </c>
      <c r="H123" s="45"/>
      <c r="I123" s="45">
        <v>0</v>
      </c>
      <c r="J123" s="45"/>
      <c r="K123" s="45">
        <v>189983</v>
      </c>
      <c r="L123" s="45"/>
      <c r="M123" s="45">
        <v>609518</v>
      </c>
      <c r="N123" s="45"/>
      <c r="O123" s="45">
        <v>0</v>
      </c>
      <c r="P123" s="45"/>
      <c r="Q123" s="45">
        <v>56749</v>
      </c>
      <c r="R123" s="45"/>
      <c r="S123" s="44">
        <f t="shared" si="4"/>
        <v>32824</v>
      </c>
      <c r="T123" s="45"/>
      <c r="U123" s="45">
        <v>3540500</v>
      </c>
      <c r="V123" s="35"/>
      <c r="W123" s="45">
        <v>0</v>
      </c>
    </row>
    <row r="124" spans="1:23" s="46" customFormat="1" ht="12.75" customHeight="1" x14ac:dyDescent="0.2">
      <c r="A124" s="44" t="s">
        <v>146</v>
      </c>
      <c r="B124" s="49"/>
      <c r="C124" s="44" t="s">
        <v>147</v>
      </c>
      <c r="D124" s="35"/>
      <c r="E124" s="45">
        <v>3712379</v>
      </c>
      <c r="F124" s="45"/>
      <c r="G124" s="45">
        <v>0</v>
      </c>
      <c r="H124" s="45"/>
      <c r="I124" s="45">
        <v>0</v>
      </c>
      <c r="J124" s="45"/>
      <c r="K124" s="45">
        <v>254384</v>
      </c>
      <c r="L124" s="45"/>
      <c r="M124" s="45">
        <v>360483</v>
      </c>
      <c r="N124" s="45"/>
      <c r="O124" s="45">
        <v>9816</v>
      </c>
      <c r="P124" s="45"/>
      <c r="Q124" s="45">
        <v>194875</v>
      </c>
      <c r="R124" s="45"/>
      <c r="S124" s="44">
        <f t="shared" si="4"/>
        <v>46209</v>
      </c>
      <c r="T124" s="45"/>
      <c r="U124" s="45">
        <v>4578146</v>
      </c>
      <c r="V124" s="35"/>
      <c r="W124" s="45">
        <v>0</v>
      </c>
    </row>
    <row r="125" spans="1:23" s="49" customFormat="1" ht="12.75" customHeight="1" x14ac:dyDescent="0.2">
      <c r="A125" s="44" t="s">
        <v>17</v>
      </c>
      <c r="C125" s="44" t="s">
        <v>17</v>
      </c>
      <c r="D125" s="35"/>
      <c r="E125" s="45">
        <v>1940127</v>
      </c>
      <c r="F125" s="45"/>
      <c r="G125" s="45">
        <v>16741833</v>
      </c>
      <c r="H125" s="45"/>
      <c r="I125" s="45">
        <v>0</v>
      </c>
      <c r="J125" s="45"/>
      <c r="K125" s="45">
        <v>773190</v>
      </c>
      <c r="L125" s="45"/>
      <c r="M125" s="45">
        <v>7419563</v>
      </c>
      <c r="N125" s="45"/>
      <c r="O125" s="45">
        <v>0</v>
      </c>
      <c r="P125" s="45"/>
      <c r="Q125" s="45">
        <f>822098+1218823</f>
        <v>2040921</v>
      </c>
      <c r="R125" s="45"/>
      <c r="S125" s="44">
        <f t="shared" si="4"/>
        <v>844800</v>
      </c>
      <c r="T125" s="45"/>
      <c r="U125" s="45">
        <v>29760434</v>
      </c>
      <c r="V125" s="35"/>
      <c r="W125" s="45">
        <v>100000</v>
      </c>
    </row>
    <row r="126" spans="1:23" s="49" customFormat="1" ht="12.75" customHeight="1" x14ac:dyDescent="0.2">
      <c r="A126" s="44" t="s">
        <v>148</v>
      </c>
      <c r="C126" s="44" t="s">
        <v>15</v>
      </c>
      <c r="D126" s="35"/>
      <c r="E126" s="45">
        <v>467592</v>
      </c>
      <c r="F126" s="45"/>
      <c r="G126" s="45">
        <v>2491850</v>
      </c>
      <c r="H126" s="45"/>
      <c r="I126" s="45">
        <v>0</v>
      </c>
      <c r="J126" s="45"/>
      <c r="K126" s="45">
        <v>235554</v>
      </c>
      <c r="L126" s="45"/>
      <c r="M126" s="45">
        <v>366425</v>
      </c>
      <c r="N126" s="45"/>
      <c r="O126" s="45">
        <v>0</v>
      </c>
      <c r="P126" s="45"/>
      <c r="Q126" s="45">
        <f>95826+3699</f>
        <v>99525</v>
      </c>
      <c r="R126" s="45"/>
      <c r="S126" s="44">
        <f t="shared" si="4"/>
        <v>78303</v>
      </c>
      <c r="T126" s="45"/>
      <c r="U126" s="45">
        <v>3739249</v>
      </c>
      <c r="V126" s="35"/>
      <c r="W126" s="45">
        <v>0</v>
      </c>
    </row>
    <row r="127" spans="1:23" s="49" customFormat="1" ht="12.75" customHeight="1" x14ac:dyDescent="0.2">
      <c r="A127" s="44" t="s">
        <v>149</v>
      </c>
      <c r="C127" s="44" t="s">
        <v>45</v>
      </c>
      <c r="D127" s="35"/>
      <c r="E127" s="45">
        <v>820943</v>
      </c>
      <c r="F127" s="45"/>
      <c r="G127" s="45">
        <v>3447047</v>
      </c>
      <c r="H127" s="45"/>
      <c r="I127" s="45">
        <v>0</v>
      </c>
      <c r="J127" s="45"/>
      <c r="K127" s="45">
        <v>590017</v>
      </c>
      <c r="L127" s="45"/>
      <c r="M127" s="45">
        <v>650719</v>
      </c>
      <c r="N127" s="45"/>
      <c r="O127" s="45">
        <v>0</v>
      </c>
      <c r="P127" s="45"/>
      <c r="Q127" s="45">
        <f>124326+293848</f>
        <v>418174</v>
      </c>
      <c r="R127" s="45"/>
      <c r="S127" s="44">
        <f t="shared" si="4"/>
        <v>102982</v>
      </c>
      <c r="T127" s="45"/>
      <c r="U127" s="45">
        <v>6029882</v>
      </c>
      <c r="V127" s="35"/>
      <c r="W127" s="45">
        <v>11400</v>
      </c>
    </row>
    <row r="128" spans="1:23" s="49" customFormat="1" ht="12.75" customHeight="1" x14ac:dyDescent="0.2">
      <c r="A128" s="44" t="s">
        <v>150</v>
      </c>
      <c r="C128" s="44" t="s">
        <v>27</v>
      </c>
      <c r="D128" s="35"/>
      <c r="E128" s="45">
        <v>2790262</v>
      </c>
      <c r="F128" s="45"/>
      <c r="G128" s="45">
        <v>6378950</v>
      </c>
      <c r="H128" s="45"/>
      <c r="I128" s="45">
        <v>0</v>
      </c>
      <c r="J128" s="45"/>
      <c r="K128" s="45">
        <v>661201</v>
      </c>
      <c r="L128" s="45"/>
      <c r="M128" s="45">
        <v>3597723</v>
      </c>
      <c r="N128" s="45"/>
      <c r="O128" s="45">
        <v>0</v>
      </c>
      <c r="P128" s="45"/>
      <c r="Q128" s="45">
        <f>1388852+38675</f>
        <v>1427527</v>
      </c>
      <c r="R128" s="45"/>
      <c r="S128" s="44">
        <f t="shared" si="4"/>
        <v>238795</v>
      </c>
      <c r="T128" s="45"/>
      <c r="U128" s="45">
        <v>15094458</v>
      </c>
      <c r="V128" s="35"/>
      <c r="W128" s="45">
        <v>0</v>
      </c>
    </row>
    <row r="129" spans="1:26" s="49" customFormat="1" ht="12.75" customHeight="1" x14ac:dyDescent="0.2">
      <c r="A129" s="44" t="s">
        <v>151</v>
      </c>
      <c r="C129" s="44" t="s">
        <v>13</v>
      </c>
      <c r="D129" s="35"/>
      <c r="E129" s="45">
        <v>1635042</v>
      </c>
      <c r="F129" s="45"/>
      <c r="G129" s="45">
        <v>5953716</v>
      </c>
      <c r="H129" s="45"/>
      <c r="I129" s="45">
        <v>0</v>
      </c>
      <c r="J129" s="45"/>
      <c r="K129" s="45">
        <v>630864</v>
      </c>
      <c r="L129" s="45"/>
      <c r="M129" s="45">
        <v>1826052</v>
      </c>
      <c r="N129" s="45"/>
      <c r="O129" s="45">
        <v>19056</v>
      </c>
      <c r="P129" s="45"/>
      <c r="Q129" s="45">
        <f>271857+408045</f>
        <v>679902</v>
      </c>
      <c r="R129" s="45"/>
      <c r="S129" s="44">
        <f>U129-E129-G129-K129-M129-O129-Q129-I129</f>
        <v>515224</v>
      </c>
      <c r="T129" s="45"/>
      <c r="U129" s="45">
        <v>11259856</v>
      </c>
      <c r="V129" s="35"/>
      <c r="W129" s="45">
        <v>218</v>
      </c>
    </row>
    <row r="130" spans="1:26" s="129" customFormat="1" ht="12.75" hidden="1" customHeight="1" x14ac:dyDescent="0.2">
      <c r="A130" s="121" t="s">
        <v>481</v>
      </c>
      <c r="C130" s="121" t="s">
        <v>45</v>
      </c>
      <c r="D130" s="126"/>
      <c r="E130" s="127">
        <v>4390757</v>
      </c>
      <c r="F130" s="127"/>
      <c r="G130" s="127">
        <v>0</v>
      </c>
      <c r="H130" s="127"/>
      <c r="I130" s="127">
        <v>0</v>
      </c>
      <c r="J130" s="127"/>
      <c r="K130" s="127">
        <v>106851</v>
      </c>
      <c r="L130" s="127"/>
      <c r="M130" s="127">
        <v>984201</v>
      </c>
      <c r="N130" s="127"/>
      <c r="O130" s="127">
        <v>0</v>
      </c>
      <c r="P130" s="127"/>
      <c r="Q130" s="127">
        <f>75779+123473</f>
        <v>199252</v>
      </c>
      <c r="R130" s="127"/>
      <c r="S130" s="121">
        <f t="shared" ref="S130:S187" si="5">U130-E130-G130-K130-M130-O130-Q130-I130</f>
        <v>318500</v>
      </c>
      <c r="T130" s="127"/>
      <c r="U130" s="127">
        <v>5999561</v>
      </c>
      <c r="V130" s="126"/>
      <c r="W130" s="127">
        <v>0</v>
      </c>
      <c r="X130" s="121" t="s">
        <v>502</v>
      </c>
    </row>
    <row r="131" spans="1:26" s="49" customFormat="1" ht="12.75" customHeight="1" x14ac:dyDescent="0.2">
      <c r="A131" s="44" t="s">
        <v>152</v>
      </c>
      <c r="C131" s="44" t="s">
        <v>153</v>
      </c>
      <c r="D131" s="35"/>
      <c r="E131" s="45">
        <v>1620797</v>
      </c>
      <c r="F131" s="45"/>
      <c r="G131" s="45">
        <v>795701</v>
      </c>
      <c r="H131" s="45"/>
      <c r="I131" s="45">
        <v>0</v>
      </c>
      <c r="J131" s="45"/>
      <c r="K131" s="45">
        <v>73954</v>
      </c>
      <c r="L131" s="45"/>
      <c r="M131" s="45">
        <v>4553871</v>
      </c>
      <c r="N131" s="45"/>
      <c r="O131" s="45">
        <v>31769</v>
      </c>
      <c r="P131" s="45"/>
      <c r="Q131" s="45">
        <f>958037+1501738</f>
        <v>2459775</v>
      </c>
      <c r="R131" s="45"/>
      <c r="S131" s="44">
        <f t="shared" si="5"/>
        <v>295668</v>
      </c>
      <c r="T131" s="45"/>
      <c r="U131" s="45">
        <v>9831535</v>
      </c>
      <c r="V131" s="35"/>
      <c r="W131" s="45">
        <v>94941</v>
      </c>
    </row>
    <row r="132" spans="1:26" s="49" customFormat="1" ht="12" customHeight="1" x14ac:dyDescent="0.2">
      <c r="A132" s="46" t="s">
        <v>154</v>
      </c>
      <c r="B132" s="46"/>
      <c r="C132" s="46" t="s">
        <v>27</v>
      </c>
      <c r="D132" s="64"/>
      <c r="E132" s="45">
        <v>2439402</v>
      </c>
      <c r="F132" s="45"/>
      <c r="G132" s="45">
        <v>7245712</v>
      </c>
      <c r="H132" s="45"/>
      <c r="I132" s="45">
        <v>0</v>
      </c>
      <c r="J132" s="45"/>
      <c r="K132" s="45">
        <v>191777</v>
      </c>
      <c r="L132" s="45"/>
      <c r="M132" s="45">
        <v>2271026</v>
      </c>
      <c r="N132" s="45"/>
      <c r="O132" s="45">
        <v>145937</v>
      </c>
      <c r="P132" s="45"/>
      <c r="Q132" s="45">
        <v>1787225</v>
      </c>
      <c r="R132" s="45"/>
      <c r="S132" s="44">
        <f t="shared" si="5"/>
        <v>181766</v>
      </c>
      <c r="T132" s="45"/>
      <c r="U132" s="45">
        <v>14262845</v>
      </c>
      <c r="V132" s="35"/>
      <c r="W132" s="45">
        <v>0</v>
      </c>
    </row>
    <row r="133" spans="1:26" s="49" customFormat="1" ht="12.75" customHeight="1" x14ac:dyDescent="0.2">
      <c r="A133" s="44" t="s">
        <v>155</v>
      </c>
      <c r="C133" s="44" t="s">
        <v>40</v>
      </c>
      <c r="D133" s="35"/>
      <c r="E133" s="45">
        <v>510012</v>
      </c>
      <c r="F133" s="45"/>
      <c r="G133" s="45">
        <v>5932529</v>
      </c>
      <c r="H133" s="45"/>
      <c r="I133" s="45">
        <f>214381+293413</f>
        <v>507794</v>
      </c>
      <c r="J133" s="45"/>
      <c r="K133" s="45">
        <v>1306514</v>
      </c>
      <c r="L133" s="45"/>
      <c r="M133" s="45">
        <v>1255892</v>
      </c>
      <c r="N133" s="45"/>
      <c r="O133" s="45">
        <v>0</v>
      </c>
      <c r="P133" s="45"/>
      <c r="Q133" s="45">
        <v>556324</v>
      </c>
      <c r="R133" s="45"/>
      <c r="S133" s="44">
        <f t="shared" si="5"/>
        <v>166702</v>
      </c>
      <c r="T133" s="45"/>
      <c r="U133" s="45">
        <v>10235767</v>
      </c>
      <c r="V133" s="35"/>
      <c r="W133" s="45">
        <v>0</v>
      </c>
    </row>
    <row r="134" spans="1:26" s="49" customFormat="1" ht="12.75" customHeight="1" x14ac:dyDescent="0.2">
      <c r="A134" s="44" t="s">
        <v>156</v>
      </c>
      <c r="C134" s="44" t="s">
        <v>156</v>
      </c>
      <c r="D134" s="35"/>
      <c r="E134" s="45">
        <v>1034024</v>
      </c>
      <c r="F134" s="45"/>
      <c r="G134" s="45">
        <v>12084086</v>
      </c>
      <c r="H134" s="45"/>
      <c r="I134" s="45">
        <v>0</v>
      </c>
      <c r="J134" s="45"/>
      <c r="K134" s="45">
        <v>1056894</v>
      </c>
      <c r="L134" s="45"/>
      <c r="M134" s="45">
        <v>2328593</v>
      </c>
      <c r="N134" s="45"/>
      <c r="O134" s="45">
        <v>0</v>
      </c>
      <c r="P134" s="45"/>
      <c r="Q134" s="45">
        <f>333118+806665</f>
        <v>1139783</v>
      </c>
      <c r="R134" s="45"/>
      <c r="S134" s="44">
        <f t="shared" si="5"/>
        <v>369642</v>
      </c>
      <c r="T134" s="45"/>
      <c r="U134" s="45">
        <v>18013022</v>
      </c>
      <c r="V134" s="35"/>
      <c r="W134" s="45">
        <v>83000</v>
      </c>
      <c r="X134" s="46"/>
      <c r="Y134" s="46"/>
      <c r="Z134" s="46"/>
    </row>
    <row r="135" spans="1:26" s="49" customFormat="1" ht="12.75" customHeight="1" x14ac:dyDescent="0.2">
      <c r="A135" s="44" t="s">
        <v>157</v>
      </c>
      <c r="C135" s="44" t="s">
        <v>33</v>
      </c>
      <c r="D135" s="35"/>
      <c r="E135" s="45">
        <v>153206</v>
      </c>
      <c r="F135" s="45"/>
      <c r="G135" s="45">
        <v>1128282</v>
      </c>
      <c r="H135" s="45"/>
      <c r="I135" s="45">
        <v>0</v>
      </c>
      <c r="J135" s="45"/>
      <c r="K135" s="45">
        <v>135482</v>
      </c>
      <c r="L135" s="45"/>
      <c r="M135" s="45">
        <v>558070</v>
      </c>
      <c r="N135" s="45"/>
      <c r="O135" s="45">
        <v>0</v>
      </c>
      <c r="P135" s="45"/>
      <c r="Q135" s="45">
        <f>69695+94016</f>
        <v>163711</v>
      </c>
      <c r="R135" s="45"/>
      <c r="S135" s="44">
        <f t="shared" si="5"/>
        <v>32534</v>
      </c>
      <c r="T135" s="45"/>
      <c r="U135" s="45">
        <v>2171285</v>
      </c>
      <c r="V135" s="35"/>
      <c r="W135" s="45">
        <v>0</v>
      </c>
    </row>
    <row r="136" spans="1:26" s="49" customFormat="1" ht="12.75" customHeight="1" x14ac:dyDescent="0.2">
      <c r="A136" s="44" t="s">
        <v>158</v>
      </c>
      <c r="C136" s="44" t="s">
        <v>159</v>
      </c>
      <c r="D136" s="35"/>
      <c r="E136" s="45">
        <v>1424515</v>
      </c>
      <c r="F136" s="45"/>
      <c r="G136" s="45">
        <v>13302573</v>
      </c>
      <c r="H136" s="45"/>
      <c r="I136" s="45">
        <v>354442</v>
      </c>
      <c r="J136" s="45"/>
      <c r="K136" s="45">
        <v>1450634</v>
      </c>
      <c r="L136" s="45"/>
      <c r="M136" s="45">
        <v>1009005</v>
      </c>
      <c r="N136" s="45"/>
      <c r="O136" s="45">
        <v>0</v>
      </c>
      <c r="P136" s="45"/>
      <c r="Q136" s="45">
        <f>142709+559093</f>
        <v>701802</v>
      </c>
      <c r="R136" s="45"/>
      <c r="S136" s="44">
        <f t="shared" si="5"/>
        <v>80901</v>
      </c>
      <c r="T136" s="45"/>
      <c r="U136" s="45">
        <v>18323872</v>
      </c>
      <c r="V136" s="35"/>
      <c r="W136" s="45">
        <v>500</v>
      </c>
    </row>
    <row r="137" spans="1:26" s="46" customFormat="1" ht="12.75" customHeight="1" x14ac:dyDescent="0.2">
      <c r="A137" s="46" t="s">
        <v>160</v>
      </c>
      <c r="C137" s="46" t="s">
        <v>111</v>
      </c>
      <c r="D137" s="64"/>
      <c r="E137" s="45">
        <v>21543880</v>
      </c>
      <c r="F137" s="45"/>
      <c r="G137" s="45">
        <v>0</v>
      </c>
      <c r="H137" s="45"/>
      <c r="I137" s="45">
        <v>0</v>
      </c>
      <c r="J137" s="45"/>
      <c r="K137" s="45">
        <v>1448489</v>
      </c>
      <c r="L137" s="45"/>
      <c r="M137" s="45">
        <v>2102897</v>
      </c>
      <c r="N137" s="45"/>
      <c r="O137" s="45">
        <v>0</v>
      </c>
      <c r="P137" s="45"/>
      <c r="Q137" s="45">
        <v>1371810</v>
      </c>
      <c r="R137" s="45"/>
      <c r="S137" s="44">
        <f t="shared" si="5"/>
        <v>1286210</v>
      </c>
      <c r="T137" s="45"/>
      <c r="U137" s="45">
        <v>27753286</v>
      </c>
      <c r="V137" s="35"/>
      <c r="W137" s="45">
        <v>0</v>
      </c>
    </row>
    <row r="138" spans="1:26" s="49" customFormat="1" ht="12.75" customHeight="1" x14ac:dyDescent="0.2">
      <c r="A138" s="44" t="s">
        <v>161</v>
      </c>
      <c r="C138" s="44" t="s">
        <v>15</v>
      </c>
      <c r="D138" s="35"/>
      <c r="E138" s="45">
        <v>1316175</v>
      </c>
      <c r="F138" s="45"/>
      <c r="G138" s="45">
        <v>11424770</v>
      </c>
      <c r="H138" s="45"/>
      <c r="I138" s="45">
        <v>0</v>
      </c>
      <c r="J138" s="45"/>
      <c r="K138" s="45">
        <v>860162</v>
      </c>
      <c r="L138" s="45"/>
      <c r="M138" s="45">
        <v>1577407</v>
      </c>
      <c r="N138" s="45"/>
      <c r="O138" s="45">
        <v>0</v>
      </c>
      <c r="P138" s="45"/>
      <c r="Q138" s="45">
        <f>312867+1124363</f>
        <v>1437230</v>
      </c>
      <c r="R138" s="45"/>
      <c r="S138" s="44">
        <f t="shared" si="5"/>
        <v>449899</v>
      </c>
      <c r="T138" s="45"/>
      <c r="U138" s="45">
        <v>17065643</v>
      </c>
      <c r="V138" s="35"/>
      <c r="W138" s="45">
        <v>15000</v>
      </c>
    </row>
    <row r="139" spans="1:26" s="49" customFormat="1" ht="12.75" customHeight="1" x14ac:dyDescent="0.2">
      <c r="A139" s="44" t="s">
        <v>162</v>
      </c>
      <c r="C139" s="44" t="s">
        <v>163</v>
      </c>
      <c r="D139" s="35"/>
      <c r="E139" s="45">
        <v>1366112</v>
      </c>
      <c r="F139" s="45"/>
      <c r="G139" s="45">
        <v>9872927</v>
      </c>
      <c r="H139" s="45"/>
      <c r="I139" s="45">
        <v>0</v>
      </c>
      <c r="J139" s="45"/>
      <c r="K139" s="45">
        <v>1386758</v>
      </c>
      <c r="L139" s="45"/>
      <c r="M139" s="45">
        <v>2432910</v>
      </c>
      <c r="N139" s="45"/>
      <c r="O139" s="45">
        <v>6202</v>
      </c>
      <c r="P139" s="45"/>
      <c r="Q139" s="45">
        <f>257828+712807</f>
        <v>970635</v>
      </c>
      <c r="R139" s="45"/>
      <c r="S139" s="44">
        <f t="shared" si="5"/>
        <v>732631</v>
      </c>
      <c r="T139" s="45"/>
      <c r="U139" s="45">
        <v>16768175</v>
      </c>
      <c r="V139" s="35"/>
      <c r="W139" s="45">
        <f>100109+7166010</f>
        <v>7266119</v>
      </c>
    </row>
    <row r="140" spans="1:26" s="49" customFormat="1" ht="12.75" customHeight="1" x14ac:dyDescent="0.2">
      <c r="A140" s="44" t="s">
        <v>164</v>
      </c>
      <c r="C140" s="44" t="s">
        <v>27</v>
      </c>
      <c r="D140" s="35"/>
      <c r="E140" s="45">
        <v>3844611</v>
      </c>
      <c r="F140" s="45"/>
      <c r="G140" s="45">
        <v>11657999</v>
      </c>
      <c r="H140" s="45"/>
      <c r="I140" s="45">
        <v>154245</v>
      </c>
      <c r="J140" s="45"/>
      <c r="K140" s="45">
        <v>966255</v>
      </c>
      <c r="L140" s="45"/>
      <c r="M140" s="45">
        <v>2239913</v>
      </c>
      <c r="N140" s="45"/>
      <c r="O140" s="45">
        <v>2148</v>
      </c>
      <c r="P140" s="45"/>
      <c r="Q140" s="45">
        <v>788837</v>
      </c>
      <c r="R140" s="45"/>
      <c r="S140" s="44">
        <f t="shared" si="5"/>
        <v>251770</v>
      </c>
      <c r="T140" s="45"/>
      <c r="U140" s="45">
        <v>19905778</v>
      </c>
      <c r="V140" s="35"/>
      <c r="W140" s="45">
        <v>12123</v>
      </c>
    </row>
    <row r="141" spans="1:26" s="49" customFormat="1" ht="12.75" customHeight="1" x14ac:dyDescent="0.2">
      <c r="A141" s="46" t="s">
        <v>53</v>
      </c>
      <c r="B141" s="46"/>
      <c r="C141" s="46" t="s">
        <v>53</v>
      </c>
      <c r="D141" s="64"/>
      <c r="E141" s="45">
        <v>1395407</v>
      </c>
      <c r="F141" s="45"/>
      <c r="G141" s="45">
        <v>2372598</v>
      </c>
      <c r="H141" s="45"/>
      <c r="I141" s="45">
        <f>1059+5222</f>
        <v>6281</v>
      </c>
      <c r="J141" s="45"/>
      <c r="K141" s="45">
        <v>360374</v>
      </c>
      <c r="L141" s="45"/>
      <c r="M141" s="45">
        <v>1198999</v>
      </c>
      <c r="N141" s="45"/>
      <c r="O141" s="45">
        <v>0</v>
      </c>
      <c r="P141" s="45"/>
      <c r="Q141" s="45">
        <f>525161+999590</f>
        <v>1524751</v>
      </c>
      <c r="R141" s="45"/>
      <c r="S141" s="44">
        <f t="shared" si="5"/>
        <v>172310</v>
      </c>
      <c r="T141" s="45"/>
      <c r="U141" s="45">
        <v>7030720</v>
      </c>
      <c r="V141" s="35"/>
      <c r="W141" s="45">
        <v>22572</v>
      </c>
    </row>
    <row r="142" spans="1:26" s="49" customFormat="1" ht="12.75" customHeight="1" x14ac:dyDescent="0.2">
      <c r="A142" s="44" t="s">
        <v>165</v>
      </c>
      <c r="C142" s="44" t="s">
        <v>92</v>
      </c>
      <c r="D142" s="35"/>
      <c r="E142" s="45">
        <v>1898291</v>
      </c>
      <c r="F142" s="45"/>
      <c r="G142" s="45">
        <v>33763684</v>
      </c>
      <c r="H142" s="45"/>
      <c r="I142" s="45">
        <v>0</v>
      </c>
      <c r="J142" s="45"/>
      <c r="K142" s="45">
        <v>5764606</v>
      </c>
      <c r="L142" s="45"/>
      <c r="M142" s="45">
        <v>4594146</v>
      </c>
      <c r="N142" s="45"/>
      <c r="O142" s="45">
        <v>0</v>
      </c>
      <c r="P142" s="45"/>
      <c r="Q142" s="45">
        <f>1030651+1419526</f>
        <v>2450177</v>
      </c>
      <c r="R142" s="45"/>
      <c r="S142" s="44">
        <f t="shared" si="5"/>
        <v>1083898</v>
      </c>
      <c r="T142" s="45"/>
      <c r="U142" s="45">
        <v>49554802</v>
      </c>
      <c r="V142" s="35"/>
      <c r="W142" s="45">
        <v>1275412</v>
      </c>
    </row>
    <row r="143" spans="1:26" s="49" customFormat="1" ht="12.75" customHeight="1" x14ac:dyDescent="0.2">
      <c r="A143" s="44" t="s">
        <v>166</v>
      </c>
      <c r="C143" s="44" t="s">
        <v>92</v>
      </c>
      <c r="D143" s="35"/>
      <c r="E143" s="45">
        <v>321608</v>
      </c>
      <c r="F143" s="45"/>
      <c r="G143" s="45">
        <v>936693</v>
      </c>
      <c r="H143" s="45"/>
      <c r="I143" s="45">
        <v>0</v>
      </c>
      <c r="J143" s="45"/>
      <c r="K143" s="45">
        <v>580784</v>
      </c>
      <c r="L143" s="45"/>
      <c r="M143" s="45">
        <v>598820</v>
      </c>
      <c r="N143" s="45"/>
      <c r="O143" s="45">
        <v>0</v>
      </c>
      <c r="P143" s="45"/>
      <c r="Q143" s="45">
        <f>47537+20104</f>
        <v>67641</v>
      </c>
      <c r="R143" s="45"/>
      <c r="S143" s="44">
        <f t="shared" si="5"/>
        <v>73131</v>
      </c>
      <c r="T143" s="45"/>
      <c r="U143" s="45">
        <v>2578677</v>
      </c>
      <c r="V143" s="35"/>
      <c r="W143" s="45">
        <v>32762</v>
      </c>
    </row>
    <row r="144" spans="1:26" s="49" customFormat="1" ht="12.75" customHeight="1" x14ac:dyDescent="0.2">
      <c r="A144" s="44" t="s">
        <v>167</v>
      </c>
      <c r="C144" s="44" t="s">
        <v>66</v>
      </c>
      <c r="D144" s="35"/>
      <c r="E144" s="45">
        <v>1564899</v>
      </c>
      <c r="F144" s="45"/>
      <c r="G144" s="45">
        <v>10549225</v>
      </c>
      <c r="H144" s="45"/>
      <c r="I144" s="45">
        <v>0</v>
      </c>
      <c r="J144" s="45"/>
      <c r="K144" s="45">
        <v>2665280</v>
      </c>
      <c r="L144" s="45"/>
      <c r="M144" s="45">
        <v>1607115</v>
      </c>
      <c r="N144" s="45"/>
      <c r="O144" s="45">
        <v>28501</v>
      </c>
      <c r="P144" s="45"/>
      <c r="Q144" s="45">
        <v>1011297</v>
      </c>
      <c r="R144" s="45"/>
      <c r="S144" s="44">
        <f t="shared" si="5"/>
        <v>1202964</v>
      </c>
      <c r="T144" s="45"/>
      <c r="U144" s="45">
        <v>18629281</v>
      </c>
      <c r="V144" s="35"/>
      <c r="W144" s="45">
        <v>54400</v>
      </c>
    </row>
    <row r="145" spans="1:23" s="49" customFormat="1" ht="12.75" customHeight="1" x14ac:dyDescent="0.2">
      <c r="A145" s="44" t="s">
        <v>168</v>
      </c>
      <c r="C145" s="44" t="s">
        <v>27</v>
      </c>
      <c r="D145" s="35"/>
      <c r="E145" s="45">
        <v>1610250</v>
      </c>
      <c r="F145" s="45"/>
      <c r="G145" s="45">
        <v>13459121</v>
      </c>
      <c r="H145" s="45"/>
      <c r="I145" s="45">
        <v>524929</v>
      </c>
      <c r="J145" s="45"/>
      <c r="K145" s="45">
        <v>377649</v>
      </c>
      <c r="L145" s="45"/>
      <c r="M145" s="45">
        <v>1412408</v>
      </c>
      <c r="N145" s="45"/>
      <c r="O145" s="45">
        <v>0</v>
      </c>
      <c r="P145" s="45"/>
      <c r="Q145" s="45">
        <v>1053428</v>
      </c>
      <c r="R145" s="45"/>
      <c r="S145" s="44">
        <f t="shared" si="5"/>
        <v>343798</v>
      </c>
      <c r="T145" s="45"/>
      <c r="U145" s="45">
        <v>18781583</v>
      </c>
      <c r="V145" s="35"/>
      <c r="W145" s="45">
        <v>0</v>
      </c>
    </row>
    <row r="146" spans="1:23" s="49" customFormat="1" ht="12.75" customHeight="1" x14ac:dyDescent="0.2">
      <c r="A146" s="44" t="s">
        <v>169</v>
      </c>
      <c r="C146" s="44" t="s">
        <v>103</v>
      </c>
      <c r="D146" s="35"/>
      <c r="E146" s="45">
        <v>3014613</v>
      </c>
      <c r="F146" s="45"/>
      <c r="G146" s="45">
        <v>14476246</v>
      </c>
      <c r="H146" s="45"/>
      <c r="I146" s="45">
        <v>0</v>
      </c>
      <c r="J146" s="45"/>
      <c r="K146" s="45">
        <v>4247057</v>
      </c>
      <c r="L146" s="45"/>
      <c r="M146" s="45">
        <v>3749254</v>
      </c>
      <c r="N146" s="45"/>
      <c r="O146" s="45">
        <v>0</v>
      </c>
      <c r="P146" s="45"/>
      <c r="Q146" s="45">
        <f>224382+172928</f>
        <v>397310</v>
      </c>
      <c r="R146" s="45"/>
      <c r="S146" s="44">
        <f t="shared" si="5"/>
        <v>898576</v>
      </c>
      <c r="T146" s="45"/>
      <c r="U146" s="45">
        <v>26783056</v>
      </c>
      <c r="V146" s="35"/>
      <c r="W146" s="45">
        <v>0</v>
      </c>
    </row>
    <row r="147" spans="1:23" s="49" customFormat="1" ht="12.75" customHeight="1" x14ac:dyDescent="0.2">
      <c r="A147" s="44" t="s">
        <v>170</v>
      </c>
      <c r="C147" s="44" t="s">
        <v>171</v>
      </c>
      <c r="D147" s="35"/>
      <c r="E147" s="45">
        <v>685920</v>
      </c>
      <c r="F147" s="45"/>
      <c r="G147" s="45">
        <v>2425327</v>
      </c>
      <c r="H147" s="45"/>
      <c r="I147" s="45">
        <v>0</v>
      </c>
      <c r="J147" s="45"/>
      <c r="K147" s="45">
        <v>151144</v>
      </c>
      <c r="L147" s="45"/>
      <c r="M147" s="45">
        <v>457273</v>
      </c>
      <c r="N147" s="45"/>
      <c r="O147" s="45">
        <v>0</v>
      </c>
      <c r="P147" s="45"/>
      <c r="Q147" s="45">
        <f>173102+31503</f>
        <v>204605</v>
      </c>
      <c r="R147" s="45"/>
      <c r="S147" s="44">
        <f t="shared" si="5"/>
        <v>51737</v>
      </c>
      <c r="T147" s="45"/>
      <c r="U147" s="45">
        <v>3976006</v>
      </c>
      <c r="V147" s="35"/>
      <c r="W147" s="45">
        <v>0</v>
      </c>
    </row>
    <row r="148" spans="1:23" s="49" customFormat="1" ht="12.75" customHeight="1" x14ac:dyDescent="0.2">
      <c r="A148" s="44" t="s">
        <v>172</v>
      </c>
      <c r="C148" s="44" t="s">
        <v>103</v>
      </c>
      <c r="D148" s="35"/>
      <c r="E148" s="45">
        <v>749873</v>
      </c>
      <c r="F148" s="45"/>
      <c r="G148" s="45">
        <v>6600141</v>
      </c>
      <c r="H148" s="45"/>
      <c r="I148" s="45">
        <v>0</v>
      </c>
      <c r="J148" s="45"/>
      <c r="K148" s="45">
        <v>51302</v>
      </c>
      <c r="L148" s="45"/>
      <c r="M148" s="45">
        <v>763222</v>
      </c>
      <c r="N148" s="45"/>
      <c r="O148" s="45">
        <v>1750</v>
      </c>
      <c r="P148" s="45"/>
      <c r="Q148" s="45">
        <f>145068+542932</f>
        <v>688000</v>
      </c>
      <c r="R148" s="45"/>
      <c r="S148" s="44">
        <f t="shared" si="5"/>
        <v>279349</v>
      </c>
      <c r="T148" s="45"/>
      <c r="U148" s="45">
        <v>9133637</v>
      </c>
      <c r="V148" s="35"/>
      <c r="W148" s="45">
        <v>0</v>
      </c>
    </row>
    <row r="149" spans="1:23" s="49" customFormat="1" ht="12.75" customHeight="1" x14ac:dyDescent="0.2">
      <c r="A149" s="46" t="s">
        <v>66</v>
      </c>
      <c r="B149" s="46"/>
      <c r="C149" s="46" t="s">
        <v>45</v>
      </c>
      <c r="D149" s="64"/>
      <c r="E149" s="45">
        <v>7788546</v>
      </c>
      <c r="F149" s="45"/>
      <c r="G149" s="45">
        <v>0</v>
      </c>
      <c r="H149" s="45"/>
      <c r="I149" s="45">
        <v>0</v>
      </c>
      <c r="J149" s="45"/>
      <c r="K149" s="45">
        <v>215027</v>
      </c>
      <c r="L149" s="45"/>
      <c r="M149" s="45">
        <v>560317</v>
      </c>
      <c r="N149" s="45"/>
      <c r="O149" s="45">
        <v>0</v>
      </c>
      <c r="P149" s="45"/>
      <c r="Q149" s="45">
        <f>316243+137384</f>
        <v>453627</v>
      </c>
      <c r="R149" s="45"/>
      <c r="S149" s="44">
        <f t="shared" si="5"/>
        <v>152654</v>
      </c>
      <c r="T149" s="45"/>
      <c r="U149" s="45">
        <v>9170171</v>
      </c>
      <c r="V149" s="35"/>
      <c r="W149" s="45">
        <v>18280</v>
      </c>
    </row>
    <row r="150" spans="1:23" s="49" customFormat="1" ht="12.75" customHeight="1" x14ac:dyDescent="0.2">
      <c r="A150" s="44" t="s">
        <v>173</v>
      </c>
      <c r="C150" s="44" t="s">
        <v>66</v>
      </c>
      <c r="D150" s="35"/>
      <c r="E150" s="45">
        <v>417657</v>
      </c>
      <c r="F150" s="45"/>
      <c r="G150" s="45">
        <v>8699957</v>
      </c>
      <c r="H150" s="45"/>
      <c r="I150" s="45">
        <v>50059</v>
      </c>
      <c r="J150" s="45"/>
      <c r="K150" s="45">
        <v>779610</v>
      </c>
      <c r="L150" s="45"/>
      <c r="M150" s="45">
        <v>263010</v>
      </c>
      <c r="N150" s="45"/>
      <c r="O150" s="45">
        <v>0</v>
      </c>
      <c r="P150" s="45"/>
      <c r="Q150" s="45">
        <f>327188+10246</f>
        <v>337434</v>
      </c>
      <c r="R150" s="45"/>
      <c r="S150" s="44">
        <f t="shared" si="5"/>
        <v>915473</v>
      </c>
      <c r="T150" s="45"/>
      <c r="U150" s="45">
        <v>11463200</v>
      </c>
      <c r="V150" s="35"/>
      <c r="W150" s="45">
        <v>17987</v>
      </c>
    </row>
    <row r="151" spans="1:23" s="49" customFormat="1" ht="12.75" customHeight="1" x14ac:dyDescent="0.2">
      <c r="A151" s="44" t="s">
        <v>174</v>
      </c>
      <c r="C151" s="44" t="s">
        <v>45</v>
      </c>
      <c r="D151" s="35"/>
      <c r="E151" s="45">
        <v>358836</v>
      </c>
      <c r="F151" s="45"/>
      <c r="G151" s="45">
        <v>1435368</v>
      </c>
      <c r="H151" s="45"/>
      <c r="I151" s="45">
        <v>71635</v>
      </c>
      <c r="J151" s="45"/>
      <c r="K151" s="45">
        <v>618597</v>
      </c>
      <c r="L151" s="45"/>
      <c r="M151" s="45">
        <v>283621</v>
      </c>
      <c r="N151" s="45"/>
      <c r="O151" s="45">
        <v>0</v>
      </c>
      <c r="P151" s="45"/>
      <c r="Q151" s="45">
        <v>262774</v>
      </c>
      <c r="R151" s="45"/>
      <c r="S151" s="44">
        <f t="shared" si="5"/>
        <v>28090</v>
      </c>
      <c r="T151" s="45"/>
      <c r="U151" s="45">
        <v>3058921</v>
      </c>
      <c r="V151" s="35"/>
      <c r="W151" s="45">
        <v>0</v>
      </c>
    </row>
    <row r="152" spans="1:23" s="49" customFormat="1" ht="12.75" customHeight="1" x14ac:dyDescent="0.2">
      <c r="A152" s="44" t="s">
        <v>175</v>
      </c>
      <c r="C152" s="44" t="s">
        <v>176</v>
      </c>
      <c r="D152" s="35"/>
      <c r="E152" s="45">
        <v>8566799</v>
      </c>
      <c r="F152" s="45"/>
      <c r="G152" s="45">
        <v>0</v>
      </c>
      <c r="H152" s="45"/>
      <c r="I152" s="45">
        <v>0</v>
      </c>
      <c r="J152" s="45"/>
      <c r="K152" s="45">
        <v>1536511</v>
      </c>
      <c r="L152" s="45"/>
      <c r="M152" s="45">
        <v>1078295</v>
      </c>
      <c r="N152" s="45"/>
      <c r="O152" s="45">
        <v>0</v>
      </c>
      <c r="P152" s="45"/>
      <c r="Q152" s="45">
        <f>678614+9525</f>
        <v>688139</v>
      </c>
      <c r="R152" s="45"/>
      <c r="S152" s="44">
        <f t="shared" si="5"/>
        <v>219761</v>
      </c>
      <c r="T152" s="45"/>
      <c r="U152" s="45">
        <v>12089505</v>
      </c>
      <c r="V152" s="35"/>
      <c r="W152" s="45">
        <v>38177</v>
      </c>
    </row>
    <row r="153" spans="1:23" s="49" customFormat="1" ht="12.75" customHeight="1" x14ac:dyDescent="0.2">
      <c r="A153" s="46" t="s">
        <v>177</v>
      </c>
      <c r="B153" s="46"/>
      <c r="C153" s="46" t="s">
        <v>13</v>
      </c>
      <c r="D153" s="64"/>
      <c r="E153" s="45">
        <v>242186</v>
      </c>
      <c r="F153" s="45"/>
      <c r="G153" s="45">
        <v>1010845</v>
      </c>
      <c r="H153" s="45"/>
      <c r="I153" s="45">
        <v>0</v>
      </c>
      <c r="J153" s="45"/>
      <c r="K153" s="45">
        <v>9699</v>
      </c>
      <c r="L153" s="45"/>
      <c r="M153" s="45">
        <v>505085</v>
      </c>
      <c r="N153" s="45"/>
      <c r="O153" s="45">
        <v>0</v>
      </c>
      <c r="P153" s="45"/>
      <c r="Q153" s="45">
        <v>161851</v>
      </c>
      <c r="R153" s="45"/>
      <c r="S153" s="44">
        <f t="shared" si="5"/>
        <v>106030</v>
      </c>
      <c r="T153" s="45"/>
      <c r="U153" s="45">
        <v>2035696</v>
      </c>
      <c r="V153" s="35"/>
      <c r="W153" s="45">
        <v>0</v>
      </c>
    </row>
    <row r="154" spans="1:23" s="49" customFormat="1" ht="12.75" customHeight="1" x14ac:dyDescent="0.2">
      <c r="A154" s="44" t="s">
        <v>178</v>
      </c>
      <c r="C154" s="44" t="s">
        <v>179</v>
      </c>
      <c r="D154" s="35"/>
      <c r="E154" s="45">
        <v>268487</v>
      </c>
      <c r="F154" s="45"/>
      <c r="G154" s="45">
        <v>2837394</v>
      </c>
      <c r="H154" s="45"/>
      <c r="I154" s="45">
        <v>522615</v>
      </c>
      <c r="J154" s="45"/>
      <c r="K154" s="45">
        <v>281638</v>
      </c>
      <c r="L154" s="45"/>
      <c r="M154" s="45">
        <v>542646</v>
      </c>
      <c r="N154" s="45"/>
      <c r="O154" s="45">
        <v>236</v>
      </c>
      <c r="P154" s="45"/>
      <c r="Q154" s="45">
        <f>248556+68203</f>
        <v>316759</v>
      </c>
      <c r="R154" s="45"/>
      <c r="S154" s="44">
        <f t="shared" si="5"/>
        <v>410947</v>
      </c>
      <c r="T154" s="45"/>
      <c r="U154" s="45">
        <v>5180722</v>
      </c>
      <c r="V154" s="35"/>
      <c r="W154" s="45">
        <f>26+440118</f>
        <v>440144</v>
      </c>
    </row>
    <row r="155" spans="1:23" s="46" customFormat="1" ht="12.75" customHeight="1" x14ac:dyDescent="0.2">
      <c r="A155" s="44" t="s">
        <v>180</v>
      </c>
      <c r="B155" s="49"/>
      <c r="C155" s="44" t="s">
        <v>20</v>
      </c>
      <c r="D155" s="35"/>
      <c r="E155" s="45">
        <v>171753</v>
      </c>
      <c r="F155" s="45"/>
      <c r="G155" s="45">
        <v>1104138</v>
      </c>
      <c r="H155" s="45"/>
      <c r="I155" s="45">
        <v>201398</v>
      </c>
      <c r="J155" s="45"/>
      <c r="K155" s="45">
        <v>10039</v>
      </c>
      <c r="L155" s="45"/>
      <c r="M155" s="45">
        <v>201398</v>
      </c>
      <c r="N155" s="45"/>
      <c r="O155" s="45">
        <v>0</v>
      </c>
      <c r="P155" s="45"/>
      <c r="Q155" s="45">
        <v>46364</v>
      </c>
      <c r="R155" s="45"/>
      <c r="S155" s="44">
        <f t="shared" si="5"/>
        <v>-167495</v>
      </c>
      <c r="T155" s="45"/>
      <c r="U155" s="45">
        <v>1567595</v>
      </c>
      <c r="V155" s="35"/>
      <c r="W155" s="45">
        <v>46660</v>
      </c>
    </row>
    <row r="156" spans="1:23" s="46" customFormat="1" ht="12.75" customHeight="1" x14ac:dyDescent="0.2">
      <c r="A156" s="44" t="s">
        <v>508</v>
      </c>
      <c r="B156" s="47"/>
      <c r="C156" s="44" t="s">
        <v>43</v>
      </c>
      <c r="D156" s="35"/>
      <c r="E156" s="45">
        <v>963499</v>
      </c>
      <c r="F156" s="45"/>
      <c r="G156" s="45">
        <v>10318645</v>
      </c>
      <c r="H156" s="45"/>
      <c r="I156" s="45">
        <v>0</v>
      </c>
      <c r="J156" s="45"/>
      <c r="K156" s="45">
        <v>392586</v>
      </c>
      <c r="L156" s="45"/>
      <c r="M156" s="45">
        <v>548298</v>
      </c>
      <c r="N156" s="45"/>
      <c r="O156" s="45">
        <v>0</v>
      </c>
      <c r="P156" s="45"/>
      <c r="Q156" s="45">
        <f>588124+115695</f>
        <v>703819</v>
      </c>
      <c r="R156" s="45"/>
      <c r="S156" s="44">
        <f t="shared" si="5"/>
        <v>295154</v>
      </c>
      <c r="T156" s="45"/>
      <c r="U156" s="45">
        <v>13222001</v>
      </c>
      <c r="V156" s="35"/>
      <c r="W156" s="45">
        <f>12417+52772</f>
        <v>65189</v>
      </c>
    </row>
    <row r="157" spans="1:23" s="49" customFormat="1" ht="12.75" customHeight="1" x14ac:dyDescent="0.2">
      <c r="A157" s="44" t="s">
        <v>182</v>
      </c>
      <c r="C157" s="44" t="s">
        <v>183</v>
      </c>
      <c r="D157" s="35"/>
      <c r="E157" s="45">
        <v>168441</v>
      </c>
      <c r="F157" s="45"/>
      <c r="G157" s="45">
        <v>960506</v>
      </c>
      <c r="H157" s="45"/>
      <c r="I157" s="45">
        <v>57308</v>
      </c>
      <c r="J157" s="45"/>
      <c r="K157" s="45">
        <v>0</v>
      </c>
      <c r="L157" s="45"/>
      <c r="M157" s="45">
        <v>92113</v>
      </c>
      <c r="N157" s="45"/>
      <c r="O157" s="45">
        <v>13588</v>
      </c>
      <c r="P157" s="45"/>
      <c r="Q157" s="45">
        <f>24540+18864</f>
        <v>43404</v>
      </c>
      <c r="R157" s="45"/>
      <c r="S157" s="44">
        <f t="shared" si="5"/>
        <v>4399</v>
      </c>
      <c r="T157" s="45"/>
      <c r="U157" s="45">
        <v>1339759</v>
      </c>
      <c r="V157" s="35"/>
      <c r="W157" s="45">
        <v>3525</v>
      </c>
    </row>
    <row r="158" spans="1:23" s="49" customFormat="1" ht="12.75" customHeight="1" x14ac:dyDescent="0.2">
      <c r="A158" s="44" t="s">
        <v>487</v>
      </c>
      <c r="C158" s="44" t="s">
        <v>13</v>
      </c>
      <c r="D158" s="35"/>
      <c r="E158" s="45">
        <v>1002991</v>
      </c>
      <c r="F158" s="45"/>
      <c r="G158" s="45">
        <v>0</v>
      </c>
      <c r="H158" s="45"/>
      <c r="I158" s="45">
        <v>0</v>
      </c>
      <c r="J158" s="45"/>
      <c r="K158" s="45">
        <v>235059</v>
      </c>
      <c r="L158" s="45"/>
      <c r="M158" s="45">
        <v>976725</v>
      </c>
      <c r="N158" s="45"/>
      <c r="O158" s="45">
        <v>0</v>
      </c>
      <c r="P158" s="45"/>
      <c r="Q158" s="45">
        <f>122592+1034</f>
        <v>123626</v>
      </c>
      <c r="R158" s="45"/>
      <c r="S158" s="44">
        <f t="shared" si="5"/>
        <v>37896</v>
      </c>
      <c r="T158" s="45"/>
      <c r="U158" s="45">
        <v>2376297</v>
      </c>
      <c r="V158" s="35"/>
      <c r="W158" s="45">
        <v>0</v>
      </c>
    </row>
    <row r="159" spans="1:23" s="49" customFormat="1" ht="12.75" customHeight="1" x14ac:dyDescent="0.2">
      <c r="A159" s="44" t="s">
        <v>184</v>
      </c>
      <c r="C159" s="44" t="s">
        <v>89</v>
      </c>
      <c r="D159" s="35"/>
      <c r="E159" s="45">
        <v>894139</v>
      </c>
      <c r="F159" s="45"/>
      <c r="G159" s="45">
        <v>2680543</v>
      </c>
      <c r="H159" s="45"/>
      <c r="I159" s="45">
        <v>0</v>
      </c>
      <c r="J159" s="45"/>
      <c r="K159" s="45">
        <v>139486</v>
      </c>
      <c r="L159" s="45"/>
      <c r="M159" s="45">
        <v>2131203</v>
      </c>
      <c r="N159" s="45"/>
      <c r="O159" s="45">
        <v>7584</v>
      </c>
      <c r="P159" s="45"/>
      <c r="Q159" s="45">
        <f>20173+265846</f>
        <v>286019</v>
      </c>
      <c r="R159" s="45"/>
      <c r="S159" s="44">
        <f t="shared" si="5"/>
        <v>234794</v>
      </c>
      <c r="T159" s="45"/>
      <c r="U159" s="45">
        <v>6373768</v>
      </c>
      <c r="V159" s="35"/>
      <c r="W159" s="45">
        <v>0</v>
      </c>
    </row>
    <row r="160" spans="1:23" s="49" customFormat="1" ht="12.75" customHeight="1" x14ac:dyDescent="0.2">
      <c r="A160" s="46" t="s">
        <v>181</v>
      </c>
      <c r="B160" s="46"/>
      <c r="C160" s="46" t="s">
        <v>125</v>
      </c>
      <c r="D160" s="64"/>
      <c r="E160" s="45">
        <v>21920742</v>
      </c>
      <c r="F160" s="45"/>
      <c r="G160" s="45">
        <v>0</v>
      </c>
      <c r="H160" s="45"/>
      <c r="I160" s="45">
        <v>0</v>
      </c>
      <c r="J160" s="45"/>
      <c r="K160" s="45">
        <v>2021145</v>
      </c>
      <c r="L160" s="45"/>
      <c r="M160" s="45">
        <v>3460597</v>
      </c>
      <c r="N160" s="45"/>
      <c r="O160" s="45">
        <v>18166</v>
      </c>
      <c r="P160" s="45"/>
      <c r="Q160" s="45">
        <f>136677+1457495</f>
        <v>1594172</v>
      </c>
      <c r="R160" s="45"/>
      <c r="S160" s="44">
        <f t="shared" si="5"/>
        <v>432883</v>
      </c>
      <c r="T160" s="45"/>
      <c r="U160" s="45">
        <v>29447705</v>
      </c>
      <c r="V160" s="35"/>
      <c r="W160" s="45">
        <v>223707</v>
      </c>
    </row>
    <row r="161" spans="1:24" s="49" customFormat="1" ht="12.75" customHeight="1" x14ac:dyDescent="0.2">
      <c r="A161" s="44" t="s">
        <v>185</v>
      </c>
      <c r="C161" s="44" t="s">
        <v>80</v>
      </c>
      <c r="D161" s="35"/>
      <c r="E161" s="45">
        <v>596848</v>
      </c>
      <c r="F161" s="45"/>
      <c r="G161" s="45">
        <v>3783415</v>
      </c>
      <c r="H161" s="45"/>
      <c r="I161" s="45">
        <v>0</v>
      </c>
      <c r="J161" s="45"/>
      <c r="K161" s="45">
        <v>1174752</v>
      </c>
      <c r="L161" s="45"/>
      <c r="M161" s="45">
        <v>592431</v>
      </c>
      <c r="N161" s="45"/>
      <c r="O161" s="45">
        <v>0</v>
      </c>
      <c r="P161" s="45"/>
      <c r="Q161" s="45">
        <f>536406+312035</f>
        <v>848441</v>
      </c>
      <c r="R161" s="45"/>
      <c r="S161" s="44">
        <f t="shared" si="5"/>
        <v>440866</v>
      </c>
      <c r="T161" s="45"/>
      <c r="U161" s="45">
        <v>7436753</v>
      </c>
      <c r="V161" s="35"/>
      <c r="W161" s="45">
        <f>3245000+26489</f>
        <v>3271489</v>
      </c>
    </row>
    <row r="162" spans="1:24" s="49" customFormat="1" ht="12.75" customHeight="1" x14ac:dyDescent="0.2">
      <c r="A162" s="44" t="s">
        <v>471</v>
      </c>
      <c r="C162" s="44"/>
      <c r="D162" s="3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4"/>
      <c r="T162" s="45"/>
      <c r="U162" s="45"/>
      <c r="V162" s="35"/>
      <c r="W162" s="48" t="s">
        <v>484</v>
      </c>
    </row>
    <row r="163" spans="1:24" s="49" customFormat="1" ht="12.75" customHeight="1" x14ac:dyDescent="0.2">
      <c r="A163" s="44" t="s">
        <v>186</v>
      </c>
      <c r="C163" s="44" t="s">
        <v>15</v>
      </c>
      <c r="D163" s="35"/>
      <c r="E163" s="94">
        <v>795580</v>
      </c>
      <c r="F163" s="94"/>
      <c r="G163" s="94">
        <v>4842001</v>
      </c>
      <c r="H163" s="94"/>
      <c r="I163" s="94">
        <v>0</v>
      </c>
      <c r="J163" s="94"/>
      <c r="K163" s="94">
        <v>283421</v>
      </c>
      <c r="L163" s="94"/>
      <c r="M163" s="94">
        <v>2620454</v>
      </c>
      <c r="N163" s="94"/>
      <c r="O163" s="94">
        <v>0</v>
      </c>
      <c r="P163" s="94"/>
      <c r="Q163" s="94">
        <f>194781+69083</f>
        <v>263864</v>
      </c>
      <c r="R163" s="94"/>
      <c r="S163" s="46">
        <f t="shared" si="5"/>
        <v>320664</v>
      </c>
      <c r="T163" s="94"/>
      <c r="U163" s="94">
        <v>9125984</v>
      </c>
      <c r="V163" s="64"/>
      <c r="W163" s="94">
        <f>700000+14417+108000</f>
        <v>822417</v>
      </c>
    </row>
    <row r="164" spans="1:24" s="44" customFormat="1" ht="12.75" customHeight="1" x14ac:dyDescent="0.2">
      <c r="A164" s="44" t="s">
        <v>187</v>
      </c>
      <c r="C164" s="44" t="s">
        <v>27</v>
      </c>
      <c r="D164" s="35"/>
      <c r="E164" s="45">
        <v>4871496</v>
      </c>
      <c r="F164" s="45"/>
      <c r="G164" s="45">
        <v>8642516</v>
      </c>
      <c r="H164" s="45"/>
      <c r="I164" s="45">
        <v>0</v>
      </c>
      <c r="J164" s="45"/>
      <c r="K164" s="45">
        <v>1085547</v>
      </c>
      <c r="L164" s="45"/>
      <c r="M164" s="45">
        <v>3463109</v>
      </c>
      <c r="N164" s="45"/>
      <c r="O164" s="45">
        <v>0</v>
      </c>
      <c r="P164" s="45"/>
      <c r="Q164" s="45">
        <v>1397495</v>
      </c>
      <c r="R164" s="45"/>
      <c r="S164" s="44">
        <f t="shared" si="5"/>
        <v>38900</v>
      </c>
      <c r="T164" s="45"/>
      <c r="U164" s="45">
        <v>19499063</v>
      </c>
      <c r="V164" s="35"/>
      <c r="W164" s="45">
        <f>13673+79957</f>
        <v>93630</v>
      </c>
    </row>
    <row r="165" spans="1:24" s="49" customFormat="1" ht="12.75" customHeight="1" x14ac:dyDescent="0.2">
      <c r="A165" s="44" t="s">
        <v>189</v>
      </c>
      <c r="C165" s="44" t="s">
        <v>17</v>
      </c>
      <c r="D165" s="35"/>
      <c r="E165" s="45">
        <v>1088317</v>
      </c>
      <c r="F165" s="45"/>
      <c r="G165" s="45">
        <v>8302962</v>
      </c>
      <c r="H165" s="45"/>
      <c r="I165" s="45">
        <v>0</v>
      </c>
      <c r="J165" s="45"/>
      <c r="K165" s="45">
        <v>0</v>
      </c>
      <c r="L165" s="45"/>
      <c r="M165" s="45">
        <v>1413051</v>
      </c>
      <c r="N165" s="45"/>
      <c r="O165" s="45">
        <v>0</v>
      </c>
      <c r="P165" s="45"/>
      <c r="Q165" s="45">
        <v>1174351</v>
      </c>
      <c r="R165" s="45"/>
      <c r="S165" s="44">
        <f t="shared" si="5"/>
        <v>718559</v>
      </c>
      <c r="T165" s="45"/>
      <c r="U165" s="45">
        <v>12697240</v>
      </c>
      <c r="V165" s="35"/>
      <c r="W165" s="45">
        <v>0</v>
      </c>
    </row>
    <row r="166" spans="1:24" s="49" customFormat="1" ht="12.75" customHeight="1" x14ac:dyDescent="0.2">
      <c r="A166" s="44" t="s">
        <v>188</v>
      </c>
      <c r="C166" s="44" t="s">
        <v>27</v>
      </c>
      <c r="D166" s="35"/>
      <c r="E166" s="45">
        <v>747221</v>
      </c>
      <c r="F166" s="45"/>
      <c r="G166" s="45">
        <v>11023091</v>
      </c>
      <c r="H166" s="45"/>
      <c r="I166" s="45">
        <v>0</v>
      </c>
      <c r="J166" s="45"/>
      <c r="K166" s="45">
        <v>177932</v>
      </c>
      <c r="L166" s="45"/>
      <c r="M166" s="45">
        <v>1530143</v>
      </c>
      <c r="N166" s="45"/>
      <c r="O166" s="45">
        <v>0</v>
      </c>
      <c r="P166" s="45"/>
      <c r="Q166" s="45">
        <f>396181+311603</f>
        <v>707784</v>
      </c>
      <c r="R166" s="45"/>
      <c r="S166" s="44">
        <f t="shared" si="5"/>
        <v>40093</v>
      </c>
      <c r="T166" s="45"/>
      <c r="U166" s="45">
        <v>14226264</v>
      </c>
      <c r="V166" s="35"/>
      <c r="W166" s="45">
        <f>11696+15000</f>
        <v>26696</v>
      </c>
    </row>
    <row r="167" spans="1:24" s="49" customFormat="1" ht="12.75" customHeight="1" x14ac:dyDescent="0.2">
      <c r="A167" s="44" t="s">
        <v>190</v>
      </c>
      <c r="C167" s="44" t="s">
        <v>47</v>
      </c>
      <c r="D167" s="35"/>
      <c r="E167" s="45">
        <v>229764</v>
      </c>
      <c r="F167" s="45"/>
      <c r="G167" s="45">
        <v>3447358</v>
      </c>
      <c r="H167" s="45"/>
      <c r="I167" s="45">
        <v>28322</v>
      </c>
      <c r="J167" s="45"/>
      <c r="K167" s="45">
        <v>87650</v>
      </c>
      <c r="L167" s="45"/>
      <c r="M167" s="45">
        <v>561667</v>
      </c>
      <c r="N167" s="45"/>
      <c r="O167" s="45">
        <v>91002</v>
      </c>
      <c r="P167" s="45"/>
      <c r="Q167" s="45">
        <f>142576+93000</f>
        <v>235576</v>
      </c>
      <c r="R167" s="45"/>
      <c r="S167" s="44">
        <f t="shared" si="5"/>
        <v>204962</v>
      </c>
      <c r="T167" s="45"/>
      <c r="U167" s="45">
        <v>4886301</v>
      </c>
      <c r="V167" s="35"/>
      <c r="W167" s="45">
        <v>0</v>
      </c>
    </row>
    <row r="168" spans="1:24" s="49" customFormat="1" ht="12.75" customHeight="1" x14ac:dyDescent="0.2">
      <c r="A168" s="44" t="s">
        <v>191</v>
      </c>
      <c r="C168" s="44" t="s">
        <v>13</v>
      </c>
      <c r="D168" s="35"/>
      <c r="E168" s="45">
        <v>330861</v>
      </c>
      <c r="F168" s="45"/>
      <c r="G168" s="45">
        <v>4497929</v>
      </c>
      <c r="H168" s="45"/>
      <c r="I168" s="45">
        <v>0</v>
      </c>
      <c r="J168" s="45"/>
      <c r="K168" s="45">
        <v>154639</v>
      </c>
      <c r="L168" s="45"/>
      <c r="M168" s="45">
        <v>1180606</v>
      </c>
      <c r="N168" s="45"/>
      <c r="O168" s="45">
        <v>0</v>
      </c>
      <c r="P168" s="45"/>
      <c r="Q168" s="45">
        <f>135826+33694</f>
        <v>169520</v>
      </c>
      <c r="R168" s="45"/>
      <c r="S168" s="44">
        <f t="shared" si="5"/>
        <v>172218</v>
      </c>
      <c r="T168" s="45"/>
      <c r="U168" s="45">
        <v>6505773</v>
      </c>
      <c r="V168" s="35"/>
      <c r="W168" s="45">
        <f>540000+92836</f>
        <v>632836</v>
      </c>
    </row>
    <row r="169" spans="1:24" s="49" customFormat="1" ht="12.75" customHeight="1" x14ac:dyDescent="0.2">
      <c r="A169" s="44" t="s">
        <v>192</v>
      </c>
      <c r="C169" s="44" t="s">
        <v>38</v>
      </c>
      <c r="D169" s="35"/>
      <c r="E169" s="45">
        <v>626349</v>
      </c>
      <c r="F169" s="45"/>
      <c r="G169" s="45">
        <v>4110894</v>
      </c>
      <c r="H169" s="45"/>
      <c r="I169" s="45">
        <v>0</v>
      </c>
      <c r="J169" s="45"/>
      <c r="K169" s="45">
        <v>97615</v>
      </c>
      <c r="L169" s="45"/>
      <c r="M169" s="45">
        <f>1009275+393742</f>
        <v>1403017</v>
      </c>
      <c r="N169" s="45"/>
      <c r="O169" s="45">
        <v>4924</v>
      </c>
      <c r="P169" s="45"/>
      <c r="Q169" s="45">
        <f>14996+772602</f>
        <v>787598</v>
      </c>
      <c r="R169" s="45"/>
      <c r="S169" s="44">
        <f t="shared" si="5"/>
        <v>128460</v>
      </c>
      <c r="T169" s="45"/>
      <c r="U169" s="45">
        <v>7158857</v>
      </c>
      <c r="V169" s="35"/>
      <c r="W169" s="45">
        <v>0</v>
      </c>
    </row>
    <row r="170" spans="1:24" s="46" customFormat="1" ht="12.75" customHeight="1" x14ac:dyDescent="0.2">
      <c r="A170" s="44" t="s">
        <v>193</v>
      </c>
      <c r="B170" s="49"/>
      <c r="C170" s="44" t="s">
        <v>45</v>
      </c>
      <c r="D170" s="35"/>
      <c r="E170" s="45">
        <v>2727581</v>
      </c>
      <c r="F170" s="45"/>
      <c r="G170" s="45">
        <v>13643613</v>
      </c>
      <c r="H170" s="45"/>
      <c r="I170" s="45">
        <v>9684</v>
      </c>
      <c r="J170" s="45"/>
      <c r="K170" s="45">
        <v>684191</v>
      </c>
      <c r="L170" s="45"/>
      <c r="M170" s="45">
        <v>1153473</v>
      </c>
      <c r="N170" s="45"/>
      <c r="O170" s="45">
        <v>0</v>
      </c>
      <c r="P170" s="45"/>
      <c r="Q170" s="45">
        <v>586253</v>
      </c>
      <c r="R170" s="45"/>
      <c r="S170" s="44">
        <f t="shared" si="5"/>
        <v>105922</v>
      </c>
      <c r="T170" s="45"/>
      <c r="U170" s="45">
        <v>18910717</v>
      </c>
      <c r="V170" s="35"/>
      <c r="W170" s="45">
        <v>0</v>
      </c>
      <c r="X170" s="65"/>
    </row>
    <row r="171" spans="1:24" s="49" customFormat="1" ht="12.75" customHeight="1" x14ac:dyDescent="0.2">
      <c r="A171" s="44" t="s">
        <v>194</v>
      </c>
      <c r="C171" s="44" t="s">
        <v>66</v>
      </c>
      <c r="D171" s="35"/>
      <c r="E171" s="45">
        <v>1372558</v>
      </c>
      <c r="F171" s="45"/>
      <c r="G171" s="45">
        <v>6320391</v>
      </c>
      <c r="H171" s="45"/>
      <c r="I171" s="45">
        <v>0</v>
      </c>
      <c r="J171" s="45"/>
      <c r="K171" s="45">
        <v>1239933</v>
      </c>
      <c r="L171" s="45"/>
      <c r="M171" s="45">
        <v>916032</v>
      </c>
      <c r="N171" s="45"/>
      <c r="O171" s="45">
        <v>14402</v>
      </c>
      <c r="P171" s="45"/>
      <c r="Q171" s="45">
        <v>122096</v>
      </c>
      <c r="R171" s="45"/>
      <c r="S171" s="44">
        <f t="shared" si="5"/>
        <v>128387</v>
      </c>
      <c r="T171" s="45"/>
      <c r="U171" s="45">
        <v>10113799</v>
      </c>
      <c r="V171" s="35"/>
      <c r="W171" s="45">
        <v>0</v>
      </c>
    </row>
    <row r="172" spans="1:24" s="49" customFormat="1" ht="12.75" customHeight="1" x14ac:dyDescent="0.2">
      <c r="A172" s="44" t="s">
        <v>195</v>
      </c>
      <c r="C172" s="44" t="s">
        <v>17</v>
      </c>
      <c r="D172" s="35"/>
      <c r="E172" s="45">
        <v>511847</v>
      </c>
      <c r="F172" s="45"/>
      <c r="G172" s="45">
        <v>3294166</v>
      </c>
      <c r="H172" s="45"/>
      <c r="I172" s="45">
        <v>0</v>
      </c>
      <c r="J172" s="45"/>
      <c r="K172" s="45">
        <v>138537</v>
      </c>
      <c r="L172" s="45"/>
      <c r="M172" s="45">
        <v>1718462</v>
      </c>
      <c r="N172" s="45"/>
      <c r="O172" s="45">
        <v>2583</v>
      </c>
      <c r="P172" s="45"/>
      <c r="Q172" s="45">
        <f>814594+262725</f>
        <v>1077319</v>
      </c>
      <c r="R172" s="45"/>
      <c r="S172" s="44">
        <f t="shared" si="5"/>
        <v>1077670</v>
      </c>
      <c r="T172" s="45"/>
      <c r="U172" s="45">
        <v>7820584</v>
      </c>
      <c r="V172" s="35"/>
      <c r="W172" s="45">
        <f>3755+253243</f>
        <v>256998</v>
      </c>
    </row>
    <row r="173" spans="1:24" s="49" customFormat="1" ht="12.75" customHeight="1" x14ac:dyDescent="0.2">
      <c r="A173" s="44" t="s">
        <v>196</v>
      </c>
      <c r="C173" s="44" t="s">
        <v>27</v>
      </c>
      <c r="D173" s="35"/>
      <c r="E173" s="45">
        <v>636599</v>
      </c>
      <c r="F173" s="45"/>
      <c r="G173" s="45">
        <v>2468743</v>
      </c>
      <c r="H173" s="45"/>
      <c r="I173" s="45">
        <v>0</v>
      </c>
      <c r="J173" s="45"/>
      <c r="K173" s="45">
        <v>354918</v>
      </c>
      <c r="L173" s="45"/>
      <c r="M173" s="45">
        <v>623120</v>
      </c>
      <c r="N173" s="45"/>
      <c r="O173" s="45">
        <v>0</v>
      </c>
      <c r="P173" s="45"/>
      <c r="Q173" s="45">
        <f>145447+106696</f>
        <v>252143</v>
      </c>
      <c r="R173" s="45"/>
      <c r="S173" s="44">
        <f t="shared" si="5"/>
        <v>15090</v>
      </c>
      <c r="T173" s="45"/>
      <c r="U173" s="45">
        <v>4350613</v>
      </c>
      <c r="V173" s="35"/>
      <c r="W173" s="45">
        <v>0</v>
      </c>
    </row>
    <row r="174" spans="1:24" s="49" customFormat="1" ht="12.75" customHeight="1" x14ac:dyDescent="0.2">
      <c r="A174" s="44" t="s">
        <v>402</v>
      </c>
      <c r="C174" s="44" t="s">
        <v>153</v>
      </c>
      <c r="D174" s="35"/>
      <c r="E174" s="45">
        <v>337800</v>
      </c>
      <c r="F174" s="45"/>
      <c r="G174" s="45">
        <v>3373001</v>
      </c>
      <c r="H174" s="45"/>
      <c r="I174" s="45">
        <v>0</v>
      </c>
      <c r="J174" s="45"/>
      <c r="K174" s="45">
        <v>0</v>
      </c>
      <c r="L174" s="45"/>
      <c r="M174" s="45">
        <v>336963</v>
      </c>
      <c r="N174" s="45"/>
      <c r="O174" s="45">
        <v>0</v>
      </c>
      <c r="P174" s="45"/>
      <c r="Q174" s="45">
        <v>237509</v>
      </c>
      <c r="R174" s="45"/>
      <c r="S174" s="44">
        <f t="shared" si="5"/>
        <v>318127</v>
      </c>
      <c r="T174" s="45"/>
      <c r="U174" s="45">
        <v>4603400</v>
      </c>
      <c r="V174" s="35"/>
      <c r="W174" s="45">
        <v>11928</v>
      </c>
    </row>
    <row r="175" spans="1:24" s="49" customFormat="1" ht="12.75" customHeight="1" x14ac:dyDescent="0.2">
      <c r="A175" s="46" t="s">
        <v>197</v>
      </c>
      <c r="B175" s="46"/>
      <c r="C175" s="46" t="s">
        <v>163</v>
      </c>
      <c r="D175" s="64"/>
      <c r="E175" s="45">
        <v>830572</v>
      </c>
      <c r="F175" s="45"/>
      <c r="G175" s="45">
        <v>23197458</v>
      </c>
      <c r="H175" s="45"/>
      <c r="I175" s="45">
        <v>0</v>
      </c>
      <c r="J175" s="45"/>
      <c r="K175" s="45">
        <v>1515710</v>
      </c>
      <c r="L175" s="45"/>
      <c r="M175" s="45">
        <v>1329531</v>
      </c>
      <c r="N175" s="45"/>
      <c r="O175" s="45">
        <v>7466</v>
      </c>
      <c r="P175" s="45"/>
      <c r="Q175" s="45">
        <f>389646+175193</f>
        <v>564839</v>
      </c>
      <c r="R175" s="45"/>
      <c r="S175" s="44">
        <f t="shared" si="5"/>
        <v>1151082</v>
      </c>
      <c r="T175" s="45"/>
      <c r="U175" s="45">
        <v>28596658</v>
      </c>
      <c r="V175" s="35"/>
      <c r="W175" s="45">
        <f>1871+10000</f>
        <v>11871</v>
      </c>
    </row>
    <row r="176" spans="1:24" s="49" customFormat="1" ht="12.75" customHeight="1" x14ac:dyDescent="0.2">
      <c r="A176" s="44" t="s">
        <v>198</v>
      </c>
      <c r="C176" s="44" t="s">
        <v>199</v>
      </c>
      <c r="D176" s="35"/>
      <c r="E176" s="45">
        <v>422801</v>
      </c>
      <c r="F176" s="45"/>
      <c r="G176" s="45">
        <v>3561564</v>
      </c>
      <c r="H176" s="45"/>
      <c r="I176" s="45">
        <v>884285</v>
      </c>
      <c r="J176" s="45"/>
      <c r="K176" s="45">
        <v>243950</v>
      </c>
      <c r="L176" s="45"/>
      <c r="M176" s="45">
        <v>548934</v>
      </c>
      <c r="N176" s="45"/>
      <c r="O176" s="45">
        <v>0</v>
      </c>
      <c r="P176" s="45"/>
      <c r="Q176" s="45">
        <v>34172</v>
      </c>
      <c r="R176" s="45"/>
      <c r="S176" s="44">
        <f t="shared" si="5"/>
        <v>133031</v>
      </c>
      <c r="T176" s="45"/>
      <c r="U176" s="45">
        <v>5828737</v>
      </c>
      <c r="V176" s="35"/>
      <c r="W176" s="45">
        <v>0</v>
      </c>
    </row>
    <row r="177" spans="1:23" s="49" customFormat="1" ht="12.75" customHeight="1" x14ac:dyDescent="0.2">
      <c r="A177" s="44" t="s">
        <v>200</v>
      </c>
      <c r="C177" s="44" t="s">
        <v>103</v>
      </c>
      <c r="D177" s="35"/>
      <c r="E177" s="45">
        <v>1284812</v>
      </c>
      <c r="F177" s="45"/>
      <c r="G177" s="45">
        <v>6735204</v>
      </c>
      <c r="H177" s="45"/>
      <c r="I177" s="45">
        <v>0</v>
      </c>
      <c r="J177" s="45"/>
      <c r="K177" s="45">
        <v>459672</v>
      </c>
      <c r="L177" s="45"/>
      <c r="M177" s="45">
        <v>1061372</v>
      </c>
      <c r="N177" s="45"/>
      <c r="O177" s="45">
        <v>0</v>
      </c>
      <c r="P177" s="45"/>
      <c r="Q177" s="45">
        <f>240886+443995</f>
        <v>684881</v>
      </c>
      <c r="R177" s="45"/>
      <c r="S177" s="44">
        <f t="shared" si="5"/>
        <v>174108</v>
      </c>
      <c r="T177" s="45"/>
      <c r="U177" s="45">
        <v>10400049</v>
      </c>
      <c r="V177" s="35"/>
      <c r="W177" s="45">
        <v>0</v>
      </c>
    </row>
    <row r="178" spans="1:23" s="46" customFormat="1" ht="12.75" customHeight="1" x14ac:dyDescent="0.2">
      <c r="A178" s="44" t="s">
        <v>201</v>
      </c>
      <c r="B178" s="49"/>
      <c r="C178" s="44" t="s">
        <v>92</v>
      </c>
      <c r="D178" s="35"/>
      <c r="E178" s="45">
        <v>405271</v>
      </c>
      <c r="F178" s="45"/>
      <c r="G178" s="45">
        <v>7167242</v>
      </c>
      <c r="H178" s="45"/>
      <c r="I178" s="45">
        <v>6400</v>
      </c>
      <c r="J178" s="45"/>
      <c r="K178" s="45">
        <v>66485</v>
      </c>
      <c r="L178" s="45"/>
      <c r="M178" s="45">
        <v>1940597</v>
      </c>
      <c r="N178" s="45"/>
      <c r="O178" s="45">
        <v>0</v>
      </c>
      <c r="P178" s="45"/>
      <c r="Q178" s="45">
        <f>296994+914774</f>
        <v>1211768</v>
      </c>
      <c r="R178" s="45"/>
      <c r="S178" s="44">
        <f t="shared" si="5"/>
        <v>942710</v>
      </c>
      <c r="T178" s="45"/>
      <c r="U178" s="45">
        <v>11740473</v>
      </c>
      <c r="V178" s="35"/>
      <c r="W178" s="45">
        <f>226000+1243475</f>
        <v>1469475</v>
      </c>
    </row>
    <row r="179" spans="1:23" s="49" customFormat="1" ht="12.75" customHeight="1" x14ac:dyDescent="0.2">
      <c r="A179" s="46" t="s">
        <v>202</v>
      </c>
      <c r="B179" s="46"/>
      <c r="C179" s="46" t="s">
        <v>27</v>
      </c>
      <c r="D179" s="64"/>
      <c r="E179" s="45">
        <v>3437778</v>
      </c>
      <c r="F179" s="45"/>
      <c r="G179" s="45">
        <v>27963961</v>
      </c>
      <c r="H179" s="45"/>
      <c r="I179" s="45">
        <v>0</v>
      </c>
      <c r="J179" s="45"/>
      <c r="K179" s="45">
        <v>687955</v>
      </c>
      <c r="L179" s="45"/>
      <c r="M179" s="45">
        <v>6543192</v>
      </c>
      <c r="N179" s="45"/>
      <c r="O179" s="45">
        <v>0</v>
      </c>
      <c r="P179" s="45"/>
      <c r="Q179" s="45">
        <f>2259775+3680927</f>
        <v>5940702</v>
      </c>
      <c r="R179" s="45"/>
      <c r="S179" s="44">
        <f t="shared" si="5"/>
        <v>1547474</v>
      </c>
      <c r="T179" s="45"/>
      <c r="U179" s="45">
        <v>46121062</v>
      </c>
      <c r="V179" s="35"/>
      <c r="W179" s="45">
        <v>0</v>
      </c>
    </row>
    <row r="180" spans="1:23" s="49" customFormat="1" ht="12.75" customHeight="1" x14ac:dyDescent="0.2">
      <c r="A180" s="44" t="s">
        <v>203</v>
      </c>
      <c r="C180" s="44" t="s">
        <v>27</v>
      </c>
      <c r="E180" s="45">
        <v>1906827</v>
      </c>
      <c r="F180" s="45"/>
      <c r="G180" s="45">
        <v>8079081</v>
      </c>
      <c r="H180" s="45"/>
      <c r="I180" s="45">
        <v>0</v>
      </c>
      <c r="J180" s="45"/>
      <c r="K180" s="45">
        <v>1230418</v>
      </c>
      <c r="L180" s="45"/>
      <c r="M180" s="45">
        <v>1520400</v>
      </c>
      <c r="N180" s="45"/>
      <c r="O180" s="45">
        <v>0</v>
      </c>
      <c r="P180" s="45"/>
      <c r="Q180" s="45">
        <v>1015259</v>
      </c>
      <c r="R180" s="45"/>
      <c r="S180" s="44">
        <f t="shared" si="5"/>
        <v>286236</v>
      </c>
      <c r="T180" s="45"/>
      <c r="U180" s="45">
        <v>14038221</v>
      </c>
      <c r="V180" s="35"/>
      <c r="W180" s="45">
        <v>178932</v>
      </c>
    </row>
    <row r="181" spans="1:23" s="49" customFormat="1" ht="12.75" customHeight="1" x14ac:dyDescent="0.2">
      <c r="A181" s="44" t="s">
        <v>204</v>
      </c>
      <c r="C181" s="44" t="s">
        <v>125</v>
      </c>
      <c r="D181" s="35"/>
      <c r="E181" s="45">
        <v>637042</v>
      </c>
      <c r="F181" s="45"/>
      <c r="G181" s="45">
        <v>0</v>
      </c>
      <c r="H181" s="45"/>
      <c r="I181" s="45">
        <v>0</v>
      </c>
      <c r="J181" s="45"/>
      <c r="K181" s="45">
        <v>14538</v>
      </c>
      <c r="L181" s="45"/>
      <c r="M181" s="45">
        <v>290109</v>
      </c>
      <c r="N181" s="45"/>
      <c r="O181" s="45">
        <v>2967</v>
      </c>
      <c r="P181" s="45"/>
      <c r="Q181" s="45">
        <f>233253+210877</f>
        <v>444130</v>
      </c>
      <c r="R181" s="45"/>
      <c r="S181" s="44">
        <f t="shared" si="5"/>
        <v>168376</v>
      </c>
      <c r="T181" s="45"/>
      <c r="U181" s="45">
        <v>1557162</v>
      </c>
      <c r="V181" s="35"/>
      <c r="W181" s="45">
        <v>0</v>
      </c>
    </row>
    <row r="182" spans="1:23" s="49" customFormat="1" ht="12.75" customHeight="1" x14ac:dyDescent="0.2">
      <c r="A182" s="44" t="s">
        <v>205</v>
      </c>
      <c r="C182" s="44" t="s">
        <v>27</v>
      </c>
      <c r="D182" s="35"/>
      <c r="E182" s="45">
        <v>1355263</v>
      </c>
      <c r="F182" s="45"/>
      <c r="G182" s="45">
        <v>4451604</v>
      </c>
      <c r="H182" s="45"/>
      <c r="I182" s="45">
        <f>400071+257036+84551</f>
        <v>741658</v>
      </c>
      <c r="J182" s="45"/>
      <c r="K182" s="45">
        <v>3900</v>
      </c>
      <c r="L182" s="45"/>
      <c r="M182" s="45">
        <v>329802</v>
      </c>
      <c r="N182" s="45"/>
      <c r="O182" s="45">
        <v>0</v>
      </c>
      <c r="P182" s="45"/>
      <c r="Q182" s="45">
        <f>295882+44404</f>
        <v>340286</v>
      </c>
      <c r="R182" s="45"/>
      <c r="S182" s="44">
        <f t="shared" si="5"/>
        <v>204492</v>
      </c>
      <c r="T182" s="45"/>
      <c r="U182" s="45">
        <v>7427005</v>
      </c>
      <c r="V182" s="35"/>
      <c r="W182" s="45">
        <v>0</v>
      </c>
    </row>
    <row r="183" spans="1:23" s="49" customFormat="1" ht="12.75" customHeight="1" x14ac:dyDescent="0.2">
      <c r="A183" s="44" t="s">
        <v>206</v>
      </c>
      <c r="C183" s="44" t="s">
        <v>47</v>
      </c>
      <c r="D183" s="35"/>
      <c r="E183" s="45">
        <v>1171711</v>
      </c>
      <c r="F183" s="45"/>
      <c r="G183" s="45">
        <v>14170930</v>
      </c>
      <c r="H183" s="45"/>
      <c r="I183" s="45">
        <v>0</v>
      </c>
      <c r="J183" s="45"/>
      <c r="K183" s="45">
        <v>871700</v>
      </c>
      <c r="L183" s="45"/>
      <c r="M183" s="45">
        <v>1932472</v>
      </c>
      <c r="N183" s="45"/>
      <c r="O183" s="45">
        <v>15597</v>
      </c>
      <c r="P183" s="45"/>
      <c r="Q183" s="45">
        <f>790865+163178</f>
        <v>954043</v>
      </c>
      <c r="R183" s="45"/>
      <c r="S183" s="44">
        <f t="shared" si="5"/>
        <v>153561</v>
      </c>
      <c r="T183" s="45"/>
      <c r="U183" s="45">
        <v>19270014</v>
      </c>
      <c r="V183" s="35"/>
      <c r="W183" s="45">
        <v>144318</v>
      </c>
    </row>
    <row r="184" spans="1:23" s="49" customFormat="1" ht="12.75" customHeight="1" x14ac:dyDescent="0.2">
      <c r="A184" s="44" t="s">
        <v>207</v>
      </c>
      <c r="C184" s="44" t="s">
        <v>102</v>
      </c>
      <c r="D184" s="35"/>
      <c r="E184" s="45">
        <v>901621</v>
      </c>
      <c r="F184" s="45"/>
      <c r="G184" s="45">
        <v>5040931</v>
      </c>
      <c r="H184" s="45"/>
      <c r="I184" s="45">
        <v>101141</v>
      </c>
      <c r="J184" s="45"/>
      <c r="K184" s="45">
        <v>269529</v>
      </c>
      <c r="L184" s="45"/>
      <c r="M184" s="45">
        <v>474714</v>
      </c>
      <c r="N184" s="45"/>
      <c r="O184" s="45">
        <v>0</v>
      </c>
      <c r="P184" s="45"/>
      <c r="Q184" s="45">
        <f>179368+407548</f>
        <v>586916</v>
      </c>
      <c r="R184" s="45"/>
      <c r="S184" s="44">
        <f t="shared" si="5"/>
        <v>373249</v>
      </c>
      <c r="T184" s="45"/>
      <c r="U184" s="45">
        <v>7748101</v>
      </c>
      <c r="V184" s="35"/>
      <c r="W184" s="45">
        <v>32724</v>
      </c>
    </row>
    <row r="185" spans="1:23" s="49" customFormat="1" ht="12.75" customHeight="1" x14ac:dyDescent="0.2">
      <c r="A185" s="44" t="s">
        <v>208</v>
      </c>
      <c r="C185" s="44" t="s">
        <v>209</v>
      </c>
      <c r="D185" s="35"/>
      <c r="E185" s="45">
        <v>1159672</v>
      </c>
      <c r="F185" s="45"/>
      <c r="G185" s="45">
        <v>5843149</v>
      </c>
      <c r="H185" s="45"/>
      <c r="I185" s="45">
        <f>1180220+1425381</f>
        <v>2605601</v>
      </c>
      <c r="J185" s="45"/>
      <c r="K185" s="45">
        <v>0</v>
      </c>
      <c r="L185" s="45"/>
      <c r="M185" s="45">
        <f>109763+36135</f>
        <v>145898</v>
      </c>
      <c r="N185" s="45"/>
      <c r="O185" s="45">
        <v>0</v>
      </c>
      <c r="P185" s="45"/>
      <c r="Q185" s="45">
        <v>1328674</v>
      </c>
      <c r="R185" s="45"/>
      <c r="S185" s="44">
        <f t="shared" si="5"/>
        <v>348022</v>
      </c>
      <c r="T185" s="45"/>
      <c r="U185" s="45">
        <v>11431016</v>
      </c>
      <c r="V185" s="35"/>
      <c r="W185" s="45">
        <v>6500</v>
      </c>
    </row>
    <row r="186" spans="1:23" s="49" customFormat="1" ht="12.75" customHeight="1" x14ac:dyDescent="0.2">
      <c r="A186" s="44" t="s">
        <v>210</v>
      </c>
      <c r="C186" s="44" t="s">
        <v>211</v>
      </c>
      <c r="D186" s="35"/>
      <c r="E186" s="45">
        <v>550918</v>
      </c>
      <c r="F186" s="45"/>
      <c r="G186" s="45">
        <v>2203726</v>
      </c>
      <c r="H186" s="45"/>
      <c r="I186" s="45">
        <v>163797</v>
      </c>
      <c r="J186" s="45"/>
      <c r="K186" s="45">
        <v>264473</v>
      </c>
      <c r="L186" s="45"/>
      <c r="M186" s="45">
        <v>794436</v>
      </c>
      <c r="N186" s="45"/>
      <c r="O186" s="45">
        <v>0</v>
      </c>
      <c r="P186" s="45"/>
      <c r="Q186" s="45">
        <f>107350+6710</f>
        <v>114060</v>
      </c>
      <c r="R186" s="45"/>
      <c r="S186" s="44">
        <f t="shared" si="5"/>
        <v>42096</v>
      </c>
      <c r="T186" s="45"/>
      <c r="U186" s="45">
        <v>4133506</v>
      </c>
      <c r="V186" s="35"/>
      <c r="W186" s="45">
        <v>1755</v>
      </c>
    </row>
    <row r="187" spans="1:23" s="49" customFormat="1" ht="12.75" customHeight="1" x14ac:dyDescent="0.2">
      <c r="A187" s="44" t="s">
        <v>212</v>
      </c>
      <c r="C187" s="44" t="s">
        <v>213</v>
      </c>
      <c r="D187" s="35"/>
      <c r="E187" s="45">
        <v>7089636</v>
      </c>
      <c r="F187" s="45"/>
      <c r="G187" s="45">
        <v>0</v>
      </c>
      <c r="H187" s="45"/>
      <c r="I187" s="45">
        <v>0</v>
      </c>
      <c r="J187" s="45"/>
      <c r="K187" s="45">
        <v>314657</v>
      </c>
      <c r="L187" s="45"/>
      <c r="M187" s="45">
        <v>2407487</v>
      </c>
      <c r="N187" s="45"/>
      <c r="O187" s="45">
        <v>0</v>
      </c>
      <c r="P187" s="45"/>
      <c r="Q187" s="45">
        <f>590141+200268</f>
        <v>790409</v>
      </c>
      <c r="R187" s="45"/>
      <c r="S187" s="44">
        <f t="shared" si="5"/>
        <v>97008</v>
      </c>
      <c r="T187" s="45"/>
      <c r="U187" s="45">
        <v>10699197</v>
      </c>
      <c r="V187" s="35"/>
      <c r="W187" s="45">
        <v>33034</v>
      </c>
    </row>
    <row r="188" spans="1:23" s="49" customFormat="1" ht="12.75" hidden="1" customHeight="1" x14ac:dyDescent="0.2">
      <c r="A188" s="44" t="s">
        <v>214</v>
      </c>
      <c r="C188" s="44" t="s">
        <v>86</v>
      </c>
      <c r="D188" s="35"/>
      <c r="E188" s="45">
        <v>528572</v>
      </c>
      <c r="F188" s="45"/>
      <c r="G188" s="45">
        <v>4357270</v>
      </c>
      <c r="H188" s="45"/>
      <c r="I188" s="45">
        <v>441785</v>
      </c>
      <c r="J188" s="45"/>
      <c r="K188" s="45">
        <v>14900</v>
      </c>
      <c r="L188" s="45"/>
      <c r="M188" s="45">
        <v>396852</v>
      </c>
      <c r="N188" s="45"/>
      <c r="O188" s="45">
        <v>0</v>
      </c>
      <c r="P188" s="45"/>
      <c r="Q188" s="45">
        <f>559094+7153</f>
        <v>566247</v>
      </c>
      <c r="R188" s="45"/>
      <c r="S188" s="44">
        <f>U188-E188-G188-K188-M188-O188-Q188-I188</f>
        <v>97285</v>
      </c>
      <c r="T188" s="45"/>
      <c r="U188" s="45">
        <v>6402911</v>
      </c>
      <c r="V188" s="35"/>
      <c r="W188" s="45">
        <v>0</v>
      </c>
    </row>
    <row r="189" spans="1:23" s="49" customFormat="1" ht="12.75" customHeight="1" x14ac:dyDescent="0.2">
      <c r="A189" s="46" t="s">
        <v>215</v>
      </c>
      <c r="B189" s="46"/>
      <c r="C189" s="46" t="s">
        <v>22</v>
      </c>
      <c r="D189" s="64"/>
      <c r="E189" s="45">
        <v>594945</v>
      </c>
      <c r="F189" s="45"/>
      <c r="G189" s="45">
        <v>4484953</v>
      </c>
      <c r="H189" s="45"/>
      <c r="I189" s="45">
        <v>0</v>
      </c>
      <c r="J189" s="45"/>
      <c r="K189" s="45">
        <v>0</v>
      </c>
      <c r="L189" s="45"/>
      <c r="M189" s="45">
        <v>1160391</v>
      </c>
      <c r="N189" s="45"/>
      <c r="O189" s="45">
        <v>0</v>
      </c>
      <c r="P189" s="45"/>
      <c r="Q189" s="45">
        <f>389354+59953</f>
        <v>449307</v>
      </c>
      <c r="R189" s="45"/>
      <c r="S189" s="44">
        <f t="shared" ref="S189:S247" si="6">U189-E189-G189-K189-M189-O189-Q189-I189</f>
        <v>97900</v>
      </c>
      <c r="T189" s="45"/>
      <c r="U189" s="45">
        <v>6787496</v>
      </c>
      <c r="V189" s="35"/>
      <c r="W189" s="45">
        <v>61939</v>
      </c>
    </row>
    <row r="190" spans="1:23" s="49" customFormat="1" ht="12.75" customHeight="1" x14ac:dyDescent="0.2">
      <c r="A190" s="44" t="s">
        <v>216</v>
      </c>
      <c r="C190" s="44" t="s">
        <v>45</v>
      </c>
      <c r="D190" s="35"/>
      <c r="E190" s="45">
        <v>6570253</v>
      </c>
      <c r="F190" s="45"/>
      <c r="G190" s="45">
        <v>0</v>
      </c>
      <c r="H190" s="45"/>
      <c r="I190" s="45">
        <v>0</v>
      </c>
      <c r="J190" s="45"/>
      <c r="K190" s="45">
        <v>809709</v>
      </c>
      <c r="L190" s="45"/>
      <c r="M190" s="45">
        <v>652142</v>
      </c>
      <c r="N190" s="45"/>
      <c r="O190" s="45">
        <v>0</v>
      </c>
      <c r="P190" s="45"/>
      <c r="Q190" s="45">
        <v>270113</v>
      </c>
      <c r="R190" s="45"/>
      <c r="S190" s="44">
        <f t="shared" si="6"/>
        <v>28377</v>
      </c>
      <c r="T190" s="45"/>
      <c r="U190" s="45">
        <v>8330594</v>
      </c>
      <c r="V190" s="35"/>
      <c r="W190" s="45">
        <f>2021+115000</f>
        <v>117021</v>
      </c>
    </row>
    <row r="191" spans="1:23" s="49" customFormat="1" ht="12.75" customHeight="1" x14ac:dyDescent="0.2">
      <c r="A191" s="44" t="s">
        <v>217</v>
      </c>
      <c r="C191" s="44" t="s">
        <v>43</v>
      </c>
      <c r="D191" s="35"/>
      <c r="E191" s="45">
        <v>10507625</v>
      </c>
      <c r="F191" s="45"/>
      <c r="G191" s="45">
        <v>0</v>
      </c>
      <c r="H191" s="45"/>
      <c r="I191" s="45">
        <v>0</v>
      </c>
      <c r="J191" s="45"/>
      <c r="K191" s="45">
        <v>181777</v>
      </c>
      <c r="L191" s="45"/>
      <c r="M191" s="45">
        <v>1881628</v>
      </c>
      <c r="N191" s="45"/>
      <c r="O191" s="45">
        <v>0</v>
      </c>
      <c r="P191" s="45"/>
      <c r="Q191" s="45">
        <f>572420+270647</f>
        <v>843067</v>
      </c>
      <c r="R191" s="45"/>
      <c r="S191" s="44">
        <f t="shared" si="6"/>
        <v>709237</v>
      </c>
      <c r="T191" s="45"/>
      <c r="U191" s="45">
        <v>14123334</v>
      </c>
      <c r="V191" s="35"/>
      <c r="W191" s="45">
        <v>0</v>
      </c>
    </row>
    <row r="192" spans="1:23" s="49" customFormat="1" ht="12.75" customHeight="1" x14ac:dyDescent="0.2">
      <c r="A192" s="44" t="s">
        <v>218</v>
      </c>
      <c r="C192" s="44" t="s">
        <v>27</v>
      </c>
      <c r="D192" s="35"/>
      <c r="E192" s="45">
        <v>1174042</v>
      </c>
      <c r="F192" s="45"/>
      <c r="G192" s="45">
        <v>4436243</v>
      </c>
      <c r="H192" s="45"/>
      <c r="I192" s="45">
        <v>66164</v>
      </c>
      <c r="J192" s="45"/>
      <c r="K192" s="45">
        <v>22215</v>
      </c>
      <c r="L192" s="45"/>
      <c r="M192" s="45">
        <v>1044128</v>
      </c>
      <c r="N192" s="45"/>
      <c r="O192" s="45">
        <v>0</v>
      </c>
      <c r="P192" s="45"/>
      <c r="Q192" s="45">
        <v>408727</v>
      </c>
      <c r="R192" s="45"/>
      <c r="S192" s="44">
        <f t="shared" si="6"/>
        <v>720520</v>
      </c>
      <c r="T192" s="45"/>
      <c r="U192" s="45">
        <v>7872039</v>
      </c>
      <c r="V192" s="35"/>
      <c r="W192" s="45">
        <v>10000</v>
      </c>
    </row>
    <row r="193" spans="1:24" s="49" customFormat="1" ht="12.75" customHeight="1" x14ac:dyDescent="0.2">
      <c r="A193" s="44" t="s">
        <v>219</v>
      </c>
      <c r="C193" s="44" t="s">
        <v>199</v>
      </c>
      <c r="D193" s="35"/>
      <c r="E193" s="45">
        <v>361844</v>
      </c>
      <c r="F193" s="45"/>
      <c r="G193" s="45">
        <v>660548</v>
      </c>
      <c r="H193" s="45"/>
      <c r="I193" s="45">
        <v>0</v>
      </c>
      <c r="J193" s="45"/>
      <c r="K193" s="45">
        <v>1023539</v>
      </c>
      <c r="L193" s="45"/>
      <c r="M193" s="45">
        <v>523841</v>
      </c>
      <c r="N193" s="45"/>
      <c r="O193" s="45">
        <v>0</v>
      </c>
      <c r="P193" s="45"/>
      <c r="Q193" s="45">
        <v>31542</v>
      </c>
      <c r="R193" s="45"/>
      <c r="S193" s="44">
        <f t="shared" si="6"/>
        <v>76658</v>
      </c>
      <c r="T193" s="45"/>
      <c r="U193" s="45">
        <v>2677972</v>
      </c>
      <c r="V193" s="35"/>
      <c r="W193" s="45">
        <v>0</v>
      </c>
    </row>
    <row r="194" spans="1:24" s="49" customFormat="1" ht="12.75" customHeight="1" x14ac:dyDescent="0.2">
      <c r="A194" s="44" t="s">
        <v>220</v>
      </c>
      <c r="C194" s="44" t="s">
        <v>66</v>
      </c>
      <c r="D194" s="35"/>
      <c r="E194" s="45">
        <v>512652</v>
      </c>
      <c r="F194" s="45"/>
      <c r="G194" s="45">
        <v>2707556</v>
      </c>
      <c r="H194" s="45"/>
      <c r="I194" s="45">
        <v>262960</v>
      </c>
      <c r="J194" s="45"/>
      <c r="K194" s="45">
        <v>9959</v>
      </c>
      <c r="L194" s="45"/>
      <c r="M194" s="45">
        <v>851501</v>
      </c>
      <c r="N194" s="45"/>
      <c r="O194" s="45">
        <v>0</v>
      </c>
      <c r="P194" s="45"/>
      <c r="Q194" s="45">
        <v>17030</v>
      </c>
      <c r="R194" s="45"/>
      <c r="S194" s="44">
        <f t="shared" si="6"/>
        <v>22258</v>
      </c>
      <c r="T194" s="45"/>
      <c r="U194" s="45">
        <v>4383916</v>
      </c>
      <c r="V194" s="35"/>
      <c r="W194" s="45">
        <v>24799</v>
      </c>
    </row>
    <row r="195" spans="1:24" s="49" customFormat="1" ht="12.75" customHeight="1" x14ac:dyDescent="0.2">
      <c r="A195" s="44" t="s">
        <v>221</v>
      </c>
      <c r="C195" s="44" t="s">
        <v>27</v>
      </c>
      <c r="D195" s="35"/>
      <c r="E195" s="45">
        <v>3741837</v>
      </c>
      <c r="F195" s="45"/>
      <c r="G195" s="45">
        <v>8570317</v>
      </c>
      <c r="H195" s="45"/>
      <c r="I195" s="45">
        <v>29304</v>
      </c>
      <c r="J195" s="45"/>
      <c r="K195" s="45">
        <v>31422</v>
      </c>
      <c r="L195" s="45"/>
      <c r="M195" s="45">
        <v>2386601</v>
      </c>
      <c r="N195" s="45"/>
      <c r="O195" s="45">
        <v>0</v>
      </c>
      <c r="P195" s="45"/>
      <c r="Q195" s="45">
        <v>3180246</v>
      </c>
      <c r="R195" s="45"/>
      <c r="S195" s="44">
        <f t="shared" si="6"/>
        <v>185165</v>
      </c>
      <c r="T195" s="45"/>
      <c r="U195" s="45">
        <v>18124892</v>
      </c>
      <c r="V195" s="35"/>
      <c r="W195" s="45">
        <v>0</v>
      </c>
    </row>
    <row r="196" spans="1:24" s="49" customFormat="1" ht="12.75" customHeight="1" x14ac:dyDescent="0.2">
      <c r="A196" s="44" t="s">
        <v>222</v>
      </c>
      <c r="C196" s="44" t="s">
        <v>47</v>
      </c>
      <c r="D196" s="35"/>
      <c r="E196" s="45">
        <v>948382</v>
      </c>
      <c r="F196" s="45"/>
      <c r="G196" s="45">
        <v>3000128</v>
      </c>
      <c r="H196" s="45"/>
      <c r="I196" s="45">
        <v>0</v>
      </c>
      <c r="J196" s="45"/>
      <c r="K196" s="45">
        <v>132534</v>
      </c>
      <c r="L196" s="45"/>
      <c r="M196" s="45">
        <v>688188</v>
      </c>
      <c r="N196" s="45"/>
      <c r="O196" s="45">
        <v>0</v>
      </c>
      <c r="P196" s="45"/>
      <c r="Q196" s="45">
        <v>39612</v>
      </c>
      <c r="R196" s="45"/>
      <c r="S196" s="44">
        <f t="shared" si="6"/>
        <v>76170</v>
      </c>
      <c r="T196" s="45"/>
      <c r="U196" s="45">
        <v>4885014</v>
      </c>
      <c r="V196" s="35"/>
      <c r="W196" s="45">
        <v>0</v>
      </c>
    </row>
    <row r="197" spans="1:24" s="49" customFormat="1" ht="12.75" customHeight="1" x14ac:dyDescent="0.2">
      <c r="A197" s="44" t="s">
        <v>223</v>
      </c>
      <c r="C197" s="44" t="s">
        <v>94</v>
      </c>
      <c r="D197" s="35"/>
      <c r="E197" s="45">
        <v>559348</v>
      </c>
      <c r="F197" s="45"/>
      <c r="G197" s="45">
        <v>3626236</v>
      </c>
      <c r="H197" s="45"/>
      <c r="I197" s="45">
        <v>0</v>
      </c>
      <c r="J197" s="45"/>
      <c r="K197" s="45">
        <v>70809</v>
      </c>
      <c r="L197" s="45"/>
      <c r="M197" s="45">
        <v>457463</v>
      </c>
      <c r="N197" s="45"/>
      <c r="O197" s="45">
        <v>3403</v>
      </c>
      <c r="P197" s="45"/>
      <c r="Q197" s="45">
        <f>91539+16624</f>
        <v>108163</v>
      </c>
      <c r="R197" s="45"/>
      <c r="S197" s="44">
        <f t="shared" si="6"/>
        <v>220394</v>
      </c>
      <c r="T197" s="45"/>
      <c r="U197" s="45">
        <v>5045816</v>
      </c>
      <c r="V197" s="35"/>
      <c r="W197" s="45">
        <v>0</v>
      </c>
    </row>
    <row r="198" spans="1:24" s="49" customFormat="1" ht="12.75" customHeight="1" x14ac:dyDescent="0.2">
      <c r="A198" s="44" t="s">
        <v>76</v>
      </c>
      <c r="C198" s="44" t="s">
        <v>132</v>
      </c>
      <c r="D198" s="35"/>
      <c r="E198" s="45">
        <v>1592168</v>
      </c>
      <c r="F198" s="45"/>
      <c r="G198" s="45">
        <v>6478772</v>
      </c>
      <c r="H198" s="45"/>
      <c r="I198" s="45">
        <f>3279+3835329</f>
        <v>3838608</v>
      </c>
      <c r="J198" s="45"/>
      <c r="K198" s="45">
        <v>659684</v>
      </c>
      <c r="L198" s="45"/>
      <c r="M198" s="45">
        <v>1391170</v>
      </c>
      <c r="N198" s="45"/>
      <c r="O198" s="45">
        <v>0</v>
      </c>
      <c r="P198" s="45"/>
      <c r="Q198" s="45">
        <f>575077+967415</f>
        <v>1542492</v>
      </c>
      <c r="R198" s="45"/>
      <c r="S198" s="44">
        <f t="shared" si="6"/>
        <v>901794</v>
      </c>
      <c r="T198" s="45"/>
      <c r="U198" s="45">
        <v>16404688</v>
      </c>
      <c r="V198" s="35"/>
      <c r="W198" s="45">
        <v>376112</v>
      </c>
    </row>
    <row r="199" spans="1:24" s="49" customFormat="1" ht="12.75" customHeight="1" x14ac:dyDescent="0.2">
      <c r="A199" s="44" t="s">
        <v>224</v>
      </c>
      <c r="C199" s="44" t="s">
        <v>27</v>
      </c>
      <c r="D199" s="35"/>
      <c r="E199" s="45">
        <v>5597395</v>
      </c>
      <c r="F199" s="45"/>
      <c r="G199" s="45">
        <v>0</v>
      </c>
      <c r="H199" s="45"/>
      <c r="I199" s="45">
        <v>0</v>
      </c>
      <c r="J199" s="45"/>
      <c r="K199" s="45">
        <v>912740</v>
      </c>
      <c r="L199" s="45"/>
      <c r="M199" s="45">
        <v>1034512</v>
      </c>
      <c r="N199" s="45"/>
      <c r="O199" s="45">
        <v>0</v>
      </c>
      <c r="P199" s="45"/>
      <c r="Q199" s="45">
        <v>508360</v>
      </c>
      <c r="R199" s="45"/>
      <c r="S199" s="44">
        <f t="shared" si="6"/>
        <v>34197</v>
      </c>
      <c r="T199" s="45"/>
      <c r="U199" s="45">
        <v>8087204</v>
      </c>
      <c r="V199" s="35"/>
      <c r="W199" s="45">
        <v>0</v>
      </c>
    </row>
    <row r="200" spans="1:24" s="49" customFormat="1" ht="12.75" customHeight="1" x14ac:dyDescent="0.2">
      <c r="A200" s="44" t="s">
        <v>225</v>
      </c>
      <c r="C200" s="44" t="s">
        <v>27</v>
      </c>
      <c r="D200" s="35"/>
      <c r="E200" s="45">
        <v>6357917</v>
      </c>
      <c r="F200" s="45"/>
      <c r="G200" s="45">
        <v>21185654</v>
      </c>
      <c r="H200" s="45"/>
      <c r="I200" s="45">
        <v>63867</v>
      </c>
      <c r="J200" s="45"/>
      <c r="K200" s="45">
        <v>5822026</v>
      </c>
      <c r="L200" s="45"/>
      <c r="M200" s="45">
        <v>6649340</v>
      </c>
      <c r="N200" s="45"/>
      <c r="O200" s="45">
        <v>105613</v>
      </c>
      <c r="P200" s="45"/>
      <c r="Q200" s="45">
        <f>639272+629997</f>
        <v>1269269</v>
      </c>
      <c r="R200" s="45"/>
      <c r="S200" s="44">
        <f t="shared" si="6"/>
        <v>561097</v>
      </c>
      <c r="T200" s="45"/>
      <c r="U200" s="45">
        <v>42014783</v>
      </c>
      <c r="V200" s="35"/>
      <c r="W200" s="45">
        <v>16849</v>
      </c>
      <c r="X200" s="46"/>
    </row>
    <row r="201" spans="1:24" s="49" customFormat="1" ht="12.75" customHeight="1" x14ac:dyDescent="0.2">
      <c r="A201" s="44" t="s">
        <v>226</v>
      </c>
      <c r="C201" s="44" t="s">
        <v>45</v>
      </c>
      <c r="D201" s="35"/>
      <c r="E201" s="45">
        <v>13567301</v>
      </c>
      <c r="F201" s="45"/>
      <c r="G201" s="45">
        <v>0</v>
      </c>
      <c r="H201" s="45"/>
      <c r="I201" s="45">
        <v>0</v>
      </c>
      <c r="J201" s="45"/>
      <c r="K201" s="45">
        <v>340551</v>
      </c>
      <c r="L201" s="45"/>
      <c r="M201" s="45">
        <v>897206</v>
      </c>
      <c r="N201" s="45"/>
      <c r="O201" s="45">
        <v>0</v>
      </c>
      <c r="P201" s="45"/>
      <c r="Q201" s="45">
        <f>360446+525503</f>
        <v>885949</v>
      </c>
      <c r="R201" s="45"/>
      <c r="S201" s="44">
        <f t="shared" si="6"/>
        <v>439026</v>
      </c>
      <c r="T201" s="45"/>
      <c r="U201" s="45">
        <v>16130033</v>
      </c>
      <c r="V201" s="35"/>
      <c r="W201" s="45">
        <v>164</v>
      </c>
    </row>
    <row r="202" spans="1:24" s="46" customFormat="1" ht="12.75" customHeight="1" x14ac:dyDescent="0.2">
      <c r="A202" s="46" t="s">
        <v>227</v>
      </c>
      <c r="C202" s="46" t="s">
        <v>17</v>
      </c>
      <c r="D202" s="64"/>
      <c r="E202" s="45">
        <v>339557</v>
      </c>
      <c r="F202" s="45"/>
      <c r="G202" s="45">
        <v>1642517</v>
      </c>
      <c r="H202" s="45"/>
      <c r="I202" s="45">
        <v>0</v>
      </c>
      <c r="J202" s="45"/>
      <c r="K202" s="45">
        <v>983047</v>
      </c>
      <c r="L202" s="45"/>
      <c r="M202" s="45">
        <v>406245</v>
      </c>
      <c r="N202" s="45"/>
      <c r="O202" s="45">
        <v>0</v>
      </c>
      <c r="P202" s="45"/>
      <c r="Q202" s="45">
        <v>171904</v>
      </c>
      <c r="R202" s="45"/>
      <c r="S202" s="44">
        <f t="shared" si="6"/>
        <v>610541</v>
      </c>
      <c r="T202" s="45"/>
      <c r="U202" s="45">
        <v>4153811</v>
      </c>
      <c r="V202" s="35"/>
      <c r="W202" s="45">
        <v>90390</v>
      </c>
    </row>
    <row r="203" spans="1:24" s="49" customFormat="1" ht="12.75" customHeight="1" x14ac:dyDescent="0.2">
      <c r="A203" s="44" t="s">
        <v>228</v>
      </c>
      <c r="C203" s="44" t="s">
        <v>153</v>
      </c>
      <c r="D203" s="35"/>
      <c r="E203" s="45">
        <v>3121355</v>
      </c>
      <c r="F203" s="45"/>
      <c r="G203" s="45">
        <v>0</v>
      </c>
      <c r="H203" s="45"/>
      <c r="I203" s="45">
        <v>0</v>
      </c>
      <c r="J203" s="45"/>
      <c r="K203" s="45">
        <v>376100</v>
      </c>
      <c r="L203" s="45"/>
      <c r="M203" s="45">
        <v>720836</v>
      </c>
      <c r="N203" s="45"/>
      <c r="O203" s="45">
        <v>0</v>
      </c>
      <c r="P203" s="45"/>
      <c r="Q203" s="45">
        <v>221994</v>
      </c>
      <c r="R203" s="45"/>
      <c r="S203" s="44">
        <f t="shared" si="6"/>
        <v>27123</v>
      </c>
      <c r="T203" s="45"/>
      <c r="U203" s="45">
        <v>4467408</v>
      </c>
      <c r="V203" s="35"/>
      <c r="W203" s="45">
        <v>0</v>
      </c>
    </row>
    <row r="204" spans="1:24" s="49" customFormat="1" ht="12.75" customHeight="1" x14ac:dyDescent="0.2">
      <c r="A204" s="44" t="s">
        <v>229</v>
      </c>
      <c r="C204" s="44" t="s">
        <v>228</v>
      </c>
      <c r="D204" s="35"/>
      <c r="E204" s="45">
        <v>11322260</v>
      </c>
      <c r="F204" s="45"/>
      <c r="G204" s="45">
        <v>0</v>
      </c>
      <c r="H204" s="45"/>
      <c r="I204" s="45">
        <v>0</v>
      </c>
      <c r="J204" s="45"/>
      <c r="K204" s="45">
        <v>1339979</v>
      </c>
      <c r="L204" s="45"/>
      <c r="M204" s="45">
        <v>1206690</v>
      </c>
      <c r="N204" s="45"/>
      <c r="O204" s="45">
        <v>230939</v>
      </c>
      <c r="P204" s="45"/>
      <c r="Q204" s="45">
        <v>122682</v>
      </c>
      <c r="R204" s="45"/>
      <c r="S204" s="44">
        <f t="shared" si="6"/>
        <v>367355</v>
      </c>
      <c r="T204" s="45"/>
      <c r="U204" s="45">
        <v>14589905</v>
      </c>
      <c r="V204" s="35"/>
      <c r="W204" s="45">
        <f>345000+2007</f>
        <v>347007</v>
      </c>
    </row>
    <row r="205" spans="1:24" s="123" customFormat="1" ht="12.75" hidden="1" customHeight="1" x14ac:dyDescent="0.2">
      <c r="A205" s="121" t="s">
        <v>230</v>
      </c>
      <c r="B205" s="129"/>
      <c r="C205" s="121" t="s">
        <v>45</v>
      </c>
      <c r="D205" s="126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1">
        <f t="shared" si="6"/>
        <v>0</v>
      </c>
      <c r="T205" s="127"/>
      <c r="U205" s="127"/>
      <c r="V205" s="126"/>
      <c r="W205" s="127">
        <v>0</v>
      </c>
      <c r="X205" s="121" t="s">
        <v>509</v>
      </c>
    </row>
    <row r="206" spans="1:24" s="49" customFormat="1" ht="12.75" customHeight="1" x14ac:dyDescent="0.2">
      <c r="A206" s="44" t="s">
        <v>231</v>
      </c>
      <c r="C206" s="44" t="s">
        <v>27</v>
      </c>
      <c r="D206" s="35"/>
      <c r="E206" s="45">
        <v>1339863</v>
      </c>
      <c r="F206" s="45"/>
      <c r="G206" s="45">
        <v>29042214</v>
      </c>
      <c r="H206" s="45"/>
      <c r="I206" s="45">
        <v>0</v>
      </c>
      <c r="J206" s="45"/>
      <c r="K206" s="45">
        <v>928851</v>
      </c>
      <c r="L206" s="45"/>
      <c r="M206" s="45">
        <v>1533746</v>
      </c>
      <c r="N206" s="45"/>
      <c r="O206" s="45">
        <v>0</v>
      </c>
      <c r="P206" s="45"/>
      <c r="Q206" s="45">
        <f>387657+330578</f>
        <v>718235</v>
      </c>
      <c r="R206" s="45"/>
      <c r="S206" s="44">
        <f t="shared" si="6"/>
        <v>1031502</v>
      </c>
      <c r="T206" s="45"/>
      <c r="U206" s="45">
        <v>34594411</v>
      </c>
      <c r="V206" s="35"/>
      <c r="W206" s="45">
        <v>41610</v>
      </c>
    </row>
    <row r="207" spans="1:24" s="49" customFormat="1" ht="12.75" customHeight="1" x14ac:dyDescent="0.2">
      <c r="A207" s="44" t="s">
        <v>232</v>
      </c>
      <c r="C207" s="44" t="s">
        <v>27</v>
      </c>
      <c r="D207" s="35"/>
      <c r="E207" s="45">
        <v>3407003</v>
      </c>
      <c r="F207" s="45"/>
      <c r="G207" s="45">
        <v>8722342</v>
      </c>
      <c r="H207" s="45"/>
      <c r="I207" s="45">
        <v>0</v>
      </c>
      <c r="J207" s="45"/>
      <c r="K207" s="45">
        <v>553729</v>
      </c>
      <c r="L207" s="45"/>
      <c r="M207" s="45">
        <v>2487449</v>
      </c>
      <c r="N207" s="45"/>
      <c r="O207" s="45">
        <v>68738</v>
      </c>
      <c r="P207" s="45"/>
      <c r="Q207" s="45">
        <f>515075+654367</f>
        <v>1169442</v>
      </c>
      <c r="R207" s="45"/>
      <c r="S207" s="44">
        <f t="shared" si="6"/>
        <v>212221</v>
      </c>
      <c r="T207" s="45"/>
      <c r="U207" s="45">
        <v>16620924</v>
      </c>
      <c r="V207" s="35"/>
      <c r="W207" s="45">
        <v>4115</v>
      </c>
    </row>
    <row r="208" spans="1:24" s="49" customFormat="1" ht="12.75" customHeight="1" x14ac:dyDescent="0.2">
      <c r="A208" s="44" t="s">
        <v>233</v>
      </c>
      <c r="C208" s="44" t="s">
        <v>111</v>
      </c>
      <c r="D208" s="35"/>
      <c r="E208" s="45">
        <v>627381</v>
      </c>
      <c r="F208" s="45"/>
      <c r="G208" s="45">
        <v>6908427</v>
      </c>
      <c r="H208" s="45"/>
      <c r="I208" s="45">
        <v>0</v>
      </c>
      <c r="J208" s="45"/>
      <c r="K208" s="45">
        <v>1301646</v>
      </c>
      <c r="L208" s="45"/>
      <c r="M208" s="45">
        <v>498544</v>
      </c>
      <c r="N208" s="45"/>
      <c r="O208" s="45">
        <v>28985</v>
      </c>
      <c r="P208" s="45"/>
      <c r="Q208" s="45">
        <v>362906</v>
      </c>
      <c r="R208" s="45"/>
      <c r="S208" s="44">
        <f t="shared" si="6"/>
        <v>274111</v>
      </c>
      <c r="T208" s="45"/>
      <c r="U208" s="45">
        <v>10002000</v>
      </c>
      <c r="V208" s="35"/>
      <c r="W208" s="45">
        <v>502926</v>
      </c>
    </row>
    <row r="209" spans="1:25" s="49" customFormat="1" ht="12.75" customHeight="1" x14ac:dyDescent="0.2">
      <c r="A209" s="44" t="s">
        <v>234</v>
      </c>
      <c r="C209" s="44" t="s">
        <v>45</v>
      </c>
      <c r="D209" s="35"/>
      <c r="E209" s="45">
        <v>1245380</v>
      </c>
      <c r="F209" s="45"/>
      <c r="G209" s="45">
        <v>12058356</v>
      </c>
      <c r="H209" s="45"/>
      <c r="I209" s="45">
        <v>0</v>
      </c>
      <c r="J209" s="45"/>
      <c r="K209" s="45">
        <v>309450</v>
      </c>
      <c r="L209" s="45"/>
      <c r="M209" s="45">
        <v>1376561</v>
      </c>
      <c r="N209" s="45"/>
      <c r="O209" s="45">
        <v>2934</v>
      </c>
      <c r="P209" s="45"/>
      <c r="Q209" s="45">
        <f>262058+410064</f>
        <v>672122</v>
      </c>
      <c r="R209" s="45"/>
      <c r="S209" s="44">
        <f t="shared" si="6"/>
        <v>208958</v>
      </c>
      <c r="T209" s="45"/>
      <c r="U209" s="45">
        <v>15873761</v>
      </c>
      <c r="V209" s="35"/>
      <c r="W209" s="45">
        <v>0</v>
      </c>
    </row>
    <row r="210" spans="1:25" s="49" customFormat="1" ht="12.75" customHeight="1" x14ac:dyDescent="0.2">
      <c r="A210" s="44" t="s">
        <v>235</v>
      </c>
      <c r="C210" s="44" t="s">
        <v>183</v>
      </c>
      <c r="D210" s="35"/>
      <c r="E210" s="45">
        <v>0</v>
      </c>
      <c r="F210" s="45"/>
      <c r="G210" s="45">
        <v>26178114</v>
      </c>
      <c r="H210" s="45"/>
      <c r="I210" s="45">
        <f>302253+4087187</f>
        <v>4389440</v>
      </c>
      <c r="J210" s="45"/>
      <c r="K210" s="45">
        <v>1107457</v>
      </c>
      <c r="L210" s="45"/>
      <c r="M210" s="45">
        <v>409038</v>
      </c>
      <c r="N210" s="45"/>
      <c r="O210" s="45">
        <v>0</v>
      </c>
      <c r="P210" s="45"/>
      <c r="Q210" s="45">
        <f>553213+1798674</f>
        <v>2351887</v>
      </c>
      <c r="R210" s="45"/>
      <c r="S210" s="44">
        <f t="shared" si="6"/>
        <v>895447</v>
      </c>
      <c r="T210" s="45"/>
      <c r="U210" s="45">
        <v>35331383</v>
      </c>
      <c r="V210" s="35"/>
      <c r="W210" s="45">
        <v>2382</v>
      </c>
    </row>
    <row r="211" spans="1:25" s="49" customFormat="1" ht="12.75" customHeight="1" x14ac:dyDescent="0.2">
      <c r="A211" s="44" t="s">
        <v>471</v>
      </c>
      <c r="C211" s="44"/>
      <c r="D211" s="3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4"/>
      <c r="T211" s="45"/>
      <c r="U211" s="45"/>
      <c r="V211" s="35"/>
      <c r="W211" s="48" t="s">
        <v>484</v>
      </c>
    </row>
    <row r="212" spans="1:25" s="49" customFormat="1" ht="12.75" customHeight="1" x14ac:dyDescent="0.2">
      <c r="A212" s="44" t="s">
        <v>236</v>
      </c>
      <c r="C212" s="44" t="s">
        <v>45</v>
      </c>
      <c r="D212" s="35"/>
      <c r="E212" s="94">
        <v>11529564</v>
      </c>
      <c r="F212" s="94"/>
      <c r="G212" s="94">
        <v>0</v>
      </c>
      <c r="H212" s="94"/>
      <c r="I212" s="94">
        <v>0</v>
      </c>
      <c r="J212" s="94"/>
      <c r="K212" s="94">
        <v>161923</v>
      </c>
      <c r="L212" s="94"/>
      <c r="M212" s="94">
        <v>616545</v>
      </c>
      <c r="N212" s="94"/>
      <c r="O212" s="94">
        <v>0</v>
      </c>
      <c r="P212" s="94"/>
      <c r="Q212" s="94">
        <f>49072+48430</f>
        <v>97502</v>
      </c>
      <c r="R212" s="94"/>
      <c r="S212" s="46">
        <f t="shared" si="6"/>
        <v>382012</v>
      </c>
      <c r="T212" s="94"/>
      <c r="U212" s="94">
        <v>12787546</v>
      </c>
      <c r="V212" s="64"/>
      <c r="W212" s="94">
        <v>19439</v>
      </c>
    </row>
    <row r="213" spans="1:25" s="49" customFormat="1" ht="12.75" customHeight="1" x14ac:dyDescent="0.2">
      <c r="A213" s="44" t="s">
        <v>237</v>
      </c>
      <c r="C213" s="44" t="s">
        <v>33</v>
      </c>
      <c r="D213" s="35"/>
      <c r="E213" s="45">
        <v>446684</v>
      </c>
      <c r="F213" s="45"/>
      <c r="G213" s="45">
        <v>248669</v>
      </c>
      <c r="H213" s="45"/>
      <c r="I213" s="45">
        <v>0</v>
      </c>
      <c r="J213" s="45"/>
      <c r="K213" s="45">
        <v>0</v>
      </c>
      <c r="L213" s="45"/>
      <c r="M213" s="45">
        <v>321487</v>
      </c>
      <c r="N213" s="45"/>
      <c r="O213" s="45">
        <v>0</v>
      </c>
      <c r="P213" s="45"/>
      <c r="Q213" s="45">
        <f>119146+10626</f>
        <v>129772</v>
      </c>
      <c r="R213" s="45"/>
      <c r="S213" s="44">
        <f t="shared" si="6"/>
        <v>67885</v>
      </c>
      <c r="T213" s="45"/>
      <c r="U213" s="45">
        <v>1214497</v>
      </c>
      <c r="V213" s="35"/>
      <c r="W213" s="45">
        <v>0</v>
      </c>
    </row>
    <row r="214" spans="1:25" s="49" customFormat="1" ht="12.75" customHeight="1" x14ac:dyDescent="0.2">
      <c r="A214" s="44" t="s">
        <v>238</v>
      </c>
      <c r="C214" s="44" t="s">
        <v>239</v>
      </c>
      <c r="D214" s="35"/>
      <c r="E214" s="45">
        <v>1112629</v>
      </c>
      <c r="F214" s="45"/>
      <c r="G214" s="45">
        <v>1911194</v>
      </c>
      <c r="H214" s="45"/>
      <c r="I214" s="45">
        <v>0</v>
      </c>
      <c r="J214" s="45"/>
      <c r="K214" s="45">
        <v>470649</v>
      </c>
      <c r="L214" s="45"/>
      <c r="M214" s="45">
        <v>616857</v>
      </c>
      <c r="N214" s="45"/>
      <c r="O214" s="45">
        <v>0</v>
      </c>
      <c r="P214" s="45"/>
      <c r="Q214" s="45">
        <f>92787+15568</f>
        <v>108355</v>
      </c>
      <c r="R214" s="45"/>
      <c r="S214" s="44">
        <f t="shared" si="6"/>
        <v>226435</v>
      </c>
      <c r="T214" s="45"/>
      <c r="U214" s="45">
        <v>4446119</v>
      </c>
      <c r="V214" s="35"/>
      <c r="W214" s="45">
        <v>0</v>
      </c>
    </row>
    <row r="215" spans="1:25" s="49" customFormat="1" ht="12.75" customHeight="1" x14ac:dyDescent="0.2">
      <c r="A215" s="44" t="s">
        <v>486</v>
      </c>
      <c r="C215" s="44" t="s">
        <v>249</v>
      </c>
      <c r="D215" s="35"/>
      <c r="E215" s="45">
        <v>1151698</v>
      </c>
      <c r="F215" s="45"/>
      <c r="G215" s="45">
        <v>7637051</v>
      </c>
      <c r="H215" s="45"/>
      <c r="I215" s="45">
        <v>0</v>
      </c>
      <c r="J215" s="45"/>
      <c r="K215" s="45">
        <v>80498</v>
      </c>
      <c r="L215" s="45"/>
      <c r="M215" s="45">
        <v>2142315</v>
      </c>
      <c r="N215" s="45"/>
      <c r="O215" s="45">
        <v>0</v>
      </c>
      <c r="P215" s="45"/>
      <c r="Q215" s="45">
        <f>633902+293272</f>
        <v>927174</v>
      </c>
      <c r="R215" s="45"/>
      <c r="S215" s="44">
        <f t="shared" si="6"/>
        <v>262276</v>
      </c>
      <c r="T215" s="45"/>
      <c r="U215" s="45">
        <v>12201012</v>
      </c>
      <c r="V215" s="35"/>
      <c r="W215" s="45">
        <v>42008</v>
      </c>
    </row>
    <row r="216" spans="1:25" s="49" customFormat="1" ht="12.75" customHeight="1" x14ac:dyDescent="0.2">
      <c r="A216" s="44" t="s">
        <v>240</v>
      </c>
      <c r="C216" s="44" t="s">
        <v>13</v>
      </c>
      <c r="D216" s="35"/>
      <c r="E216" s="45">
        <v>5031502</v>
      </c>
      <c r="F216" s="45"/>
      <c r="G216" s="45">
        <v>9258875</v>
      </c>
      <c r="H216" s="45"/>
      <c r="I216" s="45">
        <v>0</v>
      </c>
      <c r="J216" s="45"/>
      <c r="K216" s="45">
        <v>378610</v>
      </c>
      <c r="L216" s="45"/>
      <c r="M216" s="45">
        <v>3020482</v>
      </c>
      <c r="N216" s="45"/>
      <c r="O216" s="45">
        <v>4675</v>
      </c>
      <c r="P216" s="45"/>
      <c r="Q216" s="45">
        <f>610777+2415373</f>
        <v>3026150</v>
      </c>
      <c r="R216" s="45"/>
      <c r="S216" s="44">
        <f t="shared" si="6"/>
        <v>715049</v>
      </c>
      <c r="T216" s="45"/>
      <c r="U216" s="45">
        <v>21435343</v>
      </c>
      <c r="V216" s="35"/>
      <c r="W216" s="45">
        <v>500000</v>
      </c>
    </row>
    <row r="217" spans="1:25" s="49" customFormat="1" ht="12.75" customHeight="1" x14ac:dyDescent="0.2">
      <c r="A217" s="44" t="s">
        <v>241</v>
      </c>
      <c r="C217" s="44" t="s">
        <v>22</v>
      </c>
      <c r="D217" s="35"/>
      <c r="E217" s="45">
        <v>1127502</v>
      </c>
      <c r="F217" s="45"/>
      <c r="G217" s="45">
        <v>8107569</v>
      </c>
      <c r="H217" s="45"/>
      <c r="I217" s="45">
        <v>0</v>
      </c>
      <c r="J217" s="45"/>
      <c r="K217" s="45">
        <v>207101</v>
      </c>
      <c r="L217" s="45"/>
      <c r="M217" s="45">
        <v>430626</v>
      </c>
      <c r="N217" s="45"/>
      <c r="O217" s="45">
        <v>0</v>
      </c>
      <c r="P217" s="45"/>
      <c r="Q217" s="45">
        <f>414285+110293</f>
        <v>524578</v>
      </c>
      <c r="R217" s="45"/>
      <c r="S217" s="44">
        <f t="shared" si="6"/>
        <v>324132</v>
      </c>
      <c r="T217" s="45"/>
      <c r="U217" s="45">
        <v>10721508</v>
      </c>
      <c r="V217" s="35"/>
      <c r="W217" s="45">
        <v>4300000</v>
      </c>
    </row>
    <row r="218" spans="1:25" s="49" customFormat="1" ht="12.75" customHeight="1" x14ac:dyDescent="0.2">
      <c r="A218" s="44" t="s">
        <v>242</v>
      </c>
      <c r="C218" s="44" t="s">
        <v>27</v>
      </c>
      <c r="D218" s="35"/>
      <c r="E218" s="45">
        <v>430177</v>
      </c>
      <c r="F218" s="45"/>
      <c r="G218" s="45">
        <v>25537183</v>
      </c>
      <c r="H218" s="45"/>
      <c r="I218" s="45">
        <v>171572</v>
      </c>
      <c r="J218" s="45"/>
      <c r="K218" s="45">
        <v>284483</v>
      </c>
      <c r="L218" s="45"/>
      <c r="M218" s="45">
        <v>2314320</v>
      </c>
      <c r="N218" s="45"/>
      <c r="O218" s="45">
        <v>0</v>
      </c>
      <c r="P218" s="45"/>
      <c r="Q218" s="45">
        <f>756234+555031</f>
        <v>1311265</v>
      </c>
      <c r="R218" s="45"/>
      <c r="S218" s="44">
        <f t="shared" si="6"/>
        <v>334885</v>
      </c>
      <c r="T218" s="45"/>
      <c r="U218" s="45">
        <v>30383885</v>
      </c>
      <c r="V218" s="35"/>
      <c r="W218" s="45">
        <v>17250</v>
      </c>
    </row>
    <row r="219" spans="1:25" s="49" customFormat="1" ht="12.75" customHeight="1" x14ac:dyDescent="0.2">
      <c r="A219" s="44" t="s">
        <v>243</v>
      </c>
      <c r="C219" s="44" t="s">
        <v>163</v>
      </c>
      <c r="D219" s="35"/>
      <c r="E219" s="45">
        <v>925893</v>
      </c>
      <c r="F219" s="45"/>
      <c r="G219" s="45">
        <v>7157474</v>
      </c>
      <c r="H219" s="45"/>
      <c r="I219" s="45">
        <v>0</v>
      </c>
      <c r="J219" s="45"/>
      <c r="K219" s="45">
        <v>504393</v>
      </c>
      <c r="L219" s="45"/>
      <c r="M219" s="45">
        <v>1504956</v>
      </c>
      <c r="N219" s="45"/>
      <c r="O219" s="45">
        <v>0</v>
      </c>
      <c r="P219" s="45"/>
      <c r="Q219" s="45">
        <f>842069+304913</f>
        <v>1146982</v>
      </c>
      <c r="R219" s="45"/>
      <c r="S219" s="44">
        <f t="shared" si="6"/>
        <v>287299</v>
      </c>
      <c r="T219" s="45"/>
      <c r="U219" s="45">
        <v>11526997</v>
      </c>
      <c r="V219" s="35"/>
      <c r="W219" s="45">
        <v>4100000</v>
      </c>
    </row>
    <row r="220" spans="1:25" s="49" customFormat="1" ht="12.75" customHeight="1" x14ac:dyDescent="0.2">
      <c r="A220" s="44" t="s">
        <v>244</v>
      </c>
      <c r="C220" s="44" t="s">
        <v>13</v>
      </c>
      <c r="D220" s="35"/>
      <c r="E220" s="45">
        <v>757357</v>
      </c>
      <c r="F220" s="45"/>
      <c r="G220" s="45">
        <v>7893880</v>
      </c>
      <c r="H220" s="45"/>
      <c r="I220" s="45">
        <v>0</v>
      </c>
      <c r="J220" s="45"/>
      <c r="K220" s="45">
        <v>1748893</v>
      </c>
      <c r="L220" s="45"/>
      <c r="M220" s="45">
        <v>1750999</v>
      </c>
      <c r="N220" s="45"/>
      <c r="O220" s="45">
        <v>10918</v>
      </c>
      <c r="P220" s="45"/>
      <c r="Q220" s="45">
        <v>408660</v>
      </c>
      <c r="R220" s="45"/>
      <c r="S220" s="44">
        <f t="shared" si="6"/>
        <v>97880</v>
      </c>
      <c r="T220" s="45"/>
      <c r="U220" s="45">
        <v>12668587</v>
      </c>
      <c r="V220" s="35"/>
      <c r="W220" s="45">
        <v>79680</v>
      </c>
    </row>
    <row r="221" spans="1:25" s="46" customFormat="1" ht="12.75" customHeight="1" x14ac:dyDescent="0.2">
      <c r="A221" s="44" t="s">
        <v>245</v>
      </c>
      <c r="B221" s="49"/>
      <c r="C221" s="44" t="s">
        <v>110</v>
      </c>
      <c r="D221" s="35"/>
      <c r="E221" s="45">
        <v>973240</v>
      </c>
      <c r="F221" s="45"/>
      <c r="G221" s="45">
        <v>7118045</v>
      </c>
      <c r="H221" s="45"/>
      <c r="I221" s="45">
        <v>0</v>
      </c>
      <c r="J221" s="45"/>
      <c r="K221" s="45">
        <v>543152</v>
      </c>
      <c r="L221" s="45"/>
      <c r="M221" s="45">
        <v>1163596</v>
      </c>
      <c r="N221" s="45"/>
      <c r="O221" s="45">
        <v>0</v>
      </c>
      <c r="P221" s="45"/>
      <c r="Q221" s="45">
        <f>28872+295777</f>
        <v>324649</v>
      </c>
      <c r="R221" s="45"/>
      <c r="S221" s="44">
        <f t="shared" si="6"/>
        <v>313681</v>
      </c>
      <c r="T221" s="45"/>
      <c r="U221" s="45">
        <v>10436363</v>
      </c>
      <c r="V221" s="35"/>
      <c r="W221" s="45">
        <v>59</v>
      </c>
    </row>
    <row r="222" spans="1:25" s="49" customFormat="1" ht="12.75" customHeight="1" x14ac:dyDescent="0.2">
      <c r="A222" s="44" t="s">
        <v>246</v>
      </c>
      <c r="C222" s="44" t="s">
        <v>209</v>
      </c>
      <c r="D222" s="35"/>
      <c r="E222" s="45">
        <v>2828319</v>
      </c>
      <c r="F222" s="45"/>
      <c r="G222" s="45">
        <v>0</v>
      </c>
      <c r="H222" s="45"/>
      <c r="I222" s="45">
        <v>0</v>
      </c>
      <c r="J222" s="45"/>
      <c r="K222" s="45">
        <v>1479940</v>
      </c>
      <c r="L222" s="45"/>
      <c r="M222" s="45">
        <v>1252631</v>
      </c>
      <c r="N222" s="45"/>
      <c r="O222" s="45">
        <v>304</v>
      </c>
      <c r="P222" s="45"/>
      <c r="Q222" s="45">
        <f>12417+13092</f>
        <v>25509</v>
      </c>
      <c r="R222" s="45"/>
      <c r="S222" s="44">
        <f t="shared" si="6"/>
        <v>569639</v>
      </c>
      <c r="T222" s="45"/>
      <c r="U222" s="45">
        <v>6156342</v>
      </c>
      <c r="V222" s="35"/>
      <c r="W222" s="45">
        <v>0</v>
      </c>
    </row>
    <row r="223" spans="1:25" s="129" customFormat="1" ht="12.75" hidden="1" customHeight="1" x14ac:dyDescent="0.2">
      <c r="A223" s="121" t="s">
        <v>247</v>
      </c>
      <c r="C223" s="121" t="s">
        <v>163</v>
      </c>
      <c r="D223" s="126"/>
      <c r="E223" s="127">
        <v>11845000</v>
      </c>
      <c r="F223" s="127"/>
      <c r="G223" s="127">
        <v>153581000</v>
      </c>
      <c r="H223" s="127"/>
      <c r="I223" s="127">
        <v>0</v>
      </c>
      <c r="J223" s="127"/>
      <c r="K223" s="127">
        <v>24905000</v>
      </c>
      <c r="L223" s="127"/>
      <c r="M223" s="127">
        <v>22743000</v>
      </c>
      <c r="N223" s="127"/>
      <c r="O223" s="127">
        <v>0</v>
      </c>
      <c r="P223" s="127"/>
      <c r="Q223" s="127">
        <f>2297000+4681000</f>
        <v>6978000</v>
      </c>
      <c r="R223" s="127"/>
      <c r="S223" s="121">
        <f t="shared" si="6"/>
        <v>1025000</v>
      </c>
      <c r="T223" s="127"/>
      <c r="U223" s="127">
        <v>221077000</v>
      </c>
      <c r="V223" s="126"/>
      <c r="W223" s="127">
        <f>17327000+12129000</f>
        <v>29456000</v>
      </c>
      <c r="X223" s="122" t="s">
        <v>513</v>
      </c>
      <c r="Y223" s="122"/>
    </row>
    <row r="224" spans="1:25" s="49" customFormat="1" ht="12.75" customHeight="1" x14ac:dyDescent="0.2">
      <c r="A224" s="44" t="s">
        <v>248</v>
      </c>
      <c r="C224" s="44" t="s">
        <v>249</v>
      </c>
      <c r="D224" s="35"/>
      <c r="E224" s="45">
        <v>110705</v>
      </c>
      <c r="F224" s="45"/>
      <c r="G224" s="45">
        <v>2428194</v>
      </c>
      <c r="H224" s="45"/>
      <c r="I224" s="45">
        <v>0</v>
      </c>
      <c r="J224" s="45"/>
      <c r="K224" s="45">
        <v>61000</v>
      </c>
      <c r="L224" s="45"/>
      <c r="M224" s="45">
        <v>291299</v>
      </c>
      <c r="N224" s="45"/>
      <c r="O224" s="45">
        <v>0</v>
      </c>
      <c r="P224" s="45"/>
      <c r="Q224" s="45">
        <f>35284+33540</f>
        <v>68824</v>
      </c>
      <c r="R224" s="45"/>
      <c r="S224" s="44">
        <f t="shared" si="6"/>
        <v>4735</v>
      </c>
      <c r="T224" s="45"/>
      <c r="U224" s="45">
        <v>2964757</v>
      </c>
      <c r="V224" s="35"/>
      <c r="W224" s="45">
        <v>0</v>
      </c>
    </row>
    <row r="225" spans="1:23" s="49" customFormat="1" ht="12.75" customHeight="1" x14ac:dyDescent="0.2">
      <c r="A225" s="44" t="s">
        <v>250</v>
      </c>
      <c r="C225" s="44" t="s">
        <v>103</v>
      </c>
      <c r="D225" s="35"/>
      <c r="E225" s="45">
        <v>492166</v>
      </c>
      <c r="F225" s="45"/>
      <c r="G225" s="45">
        <v>1542230</v>
      </c>
      <c r="H225" s="45"/>
      <c r="I225" s="45">
        <v>0</v>
      </c>
      <c r="J225" s="45"/>
      <c r="K225" s="45">
        <v>118463</v>
      </c>
      <c r="L225" s="45"/>
      <c r="M225" s="45">
        <v>397962</v>
      </c>
      <c r="N225" s="45"/>
      <c r="O225" s="45">
        <v>83800</v>
      </c>
      <c r="P225" s="45"/>
      <c r="Q225" s="45">
        <f>215507+67520</f>
        <v>283027</v>
      </c>
      <c r="R225" s="45"/>
      <c r="S225" s="44">
        <f t="shared" si="6"/>
        <v>103118</v>
      </c>
      <c r="T225" s="45"/>
      <c r="U225" s="45">
        <v>3020766</v>
      </c>
      <c r="V225" s="35"/>
      <c r="W225" s="45">
        <v>0</v>
      </c>
    </row>
    <row r="226" spans="1:23" s="49" customFormat="1" ht="12.75" customHeight="1" x14ac:dyDescent="0.2">
      <c r="A226" s="44" t="s">
        <v>251</v>
      </c>
      <c r="C226" s="44" t="s">
        <v>66</v>
      </c>
      <c r="D226" s="35"/>
      <c r="E226" s="45">
        <v>6401869</v>
      </c>
      <c r="F226" s="45"/>
      <c r="G226" s="45">
        <v>0</v>
      </c>
      <c r="H226" s="45"/>
      <c r="I226" s="45">
        <v>0</v>
      </c>
      <c r="J226" s="45"/>
      <c r="K226" s="45">
        <v>306146</v>
      </c>
      <c r="L226" s="45"/>
      <c r="M226" s="45">
        <v>776485</v>
      </c>
      <c r="N226" s="45"/>
      <c r="O226" s="45">
        <v>46184</v>
      </c>
      <c r="P226" s="45"/>
      <c r="Q226" s="45">
        <v>532837</v>
      </c>
      <c r="R226" s="45"/>
      <c r="S226" s="44">
        <f t="shared" si="6"/>
        <v>225702</v>
      </c>
      <c r="T226" s="45"/>
      <c r="U226" s="45">
        <v>8289223</v>
      </c>
      <c r="V226" s="35"/>
      <c r="W226" s="45">
        <v>22500</v>
      </c>
    </row>
    <row r="227" spans="1:23" s="49" customFormat="1" ht="12.75" customHeight="1" x14ac:dyDescent="0.2">
      <c r="A227" s="44" t="s">
        <v>252</v>
      </c>
      <c r="C227" s="44" t="s">
        <v>209</v>
      </c>
      <c r="D227" s="35"/>
      <c r="E227" s="45">
        <v>15945806</v>
      </c>
      <c r="F227" s="45"/>
      <c r="G227" s="45">
        <v>0</v>
      </c>
      <c r="H227" s="45"/>
      <c r="I227" s="45">
        <v>0</v>
      </c>
      <c r="J227" s="45"/>
      <c r="K227" s="45">
        <v>3460744</v>
      </c>
      <c r="L227" s="45"/>
      <c r="M227" s="45">
        <v>1832918</v>
      </c>
      <c r="N227" s="45"/>
      <c r="O227" s="45">
        <v>1614</v>
      </c>
      <c r="P227" s="45"/>
      <c r="Q227" s="45">
        <v>59698</v>
      </c>
      <c r="R227" s="45"/>
      <c r="S227" s="44">
        <f t="shared" si="6"/>
        <v>1423289</v>
      </c>
      <c r="T227" s="45"/>
      <c r="U227" s="45">
        <v>22724069</v>
      </c>
      <c r="V227" s="35"/>
      <c r="W227" s="45">
        <v>12863</v>
      </c>
    </row>
    <row r="228" spans="1:23" s="49" customFormat="1" ht="12.75" customHeight="1" x14ac:dyDescent="0.2">
      <c r="A228" s="44" t="s">
        <v>253</v>
      </c>
      <c r="C228" s="44" t="s">
        <v>13</v>
      </c>
      <c r="D228" s="35"/>
      <c r="E228" s="45">
        <v>0</v>
      </c>
      <c r="F228" s="45"/>
      <c r="G228" s="45">
        <v>19945248</v>
      </c>
      <c r="H228" s="45"/>
      <c r="I228" s="45">
        <v>119445</v>
      </c>
      <c r="J228" s="45"/>
      <c r="K228" s="45">
        <v>1360371</v>
      </c>
      <c r="L228" s="45"/>
      <c r="M228" s="45">
        <v>1008483</v>
      </c>
      <c r="N228" s="45"/>
      <c r="O228" s="45">
        <v>0</v>
      </c>
      <c r="P228" s="45"/>
      <c r="Q228" s="45">
        <f>313924+108670</f>
        <v>422594</v>
      </c>
      <c r="R228" s="45"/>
      <c r="S228" s="44">
        <f t="shared" si="6"/>
        <v>678330</v>
      </c>
      <c r="T228" s="45"/>
      <c r="U228" s="45">
        <v>23534471</v>
      </c>
      <c r="V228" s="35"/>
      <c r="W228" s="45">
        <v>0</v>
      </c>
    </row>
    <row r="229" spans="1:23" s="49" customFormat="1" ht="12.75" customHeight="1" x14ac:dyDescent="0.2">
      <c r="A229" s="44" t="s">
        <v>254</v>
      </c>
      <c r="C229" s="44" t="s">
        <v>89</v>
      </c>
      <c r="D229" s="35"/>
      <c r="E229" s="45">
        <v>253434</v>
      </c>
      <c r="F229" s="45"/>
      <c r="G229" s="45">
        <v>954106</v>
      </c>
      <c r="H229" s="45"/>
      <c r="I229" s="45">
        <v>0</v>
      </c>
      <c r="J229" s="45"/>
      <c r="K229" s="45">
        <v>33894</v>
      </c>
      <c r="L229" s="45"/>
      <c r="M229" s="45">
        <v>316252</v>
      </c>
      <c r="N229" s="45"/>
      <c r="O229" s="45">
        <v>0</v>
      </c>
      <c r="P229" s="45"/>
      <c r="Q229" s="45">
        <f>69644+11723</f>
        <v>81367</v>
      </c>
      <c r="R229" s="45"/>
      <c r="S229" s="44">
        <f t="shared" si="6"/>
        <v>13138</v>
      </c>
      <c r="T229" s="45"/>
      <c r="U229" s="45">
        <v>1652191</v>
      </c>
      <c r="V229" s="35"/>
      <c r="W229" s="45">
        <v>9065</v>
      </c>
    </row>
    <row r="230" spans="1:23" s="49" customFormat="1" ht="12.75" customHeight="1" x14ac:dyDescent="0.2">
      <c r="A230" s="44" t="s">
        <v>159</v>
      </c>
      <c r="C230" s="44" t="s">
        <v>66</v>
      </c>
      <c r="D230" s="35"/>
      <c r="E230" s="45">
        <v>173103</v>
      </c>
      <c r="F230" s="45"/>
      <c r="G230" s="45">
        <v>541420</v>
      </c>
      <c r="H230" s="45"/>
      <c r="I230" s="45">
        <v>0</v>
      </c>
      <c r="J230" s="45"/>
      <c r="K230" s="45">
        <v>90992</v>
      </c>
      <c r="L230" s="45"/>
      <c r="M230" s="45">
        <v>310996</v>
      </c>
      <c r="N230" s="45"/>
      <c r="O230" s="45">
        <v>0</v>
      </c>
      <c r="P230" s="45"/>
      <c r="Q230" s="45">
        <v>31878</v>
      </c>
      <c r="R230" s="45"/>
      <c r="S230" s="44">
        <f t="shared" si="6"/>
        <v>1526</v>
      </c>
      <c r="T230" s="45"/>
      <c r="U230" s="45">
        <v>1149915</v>
      </c>
      <c r="V230" s="35"/>
      <c r="W230" s="45">
        <v>759</v>
      </c>
    </row>
    <row r="231" spans="1:23" s="49" customFormat="1" ht="12.75" customHeight="1" x14ac:dyDescent="0.2">
      <c r="A231" s="44" t="s">
        <v>255</v>
      </c>
      <c r="C231" s="44" t="s">
        <v>27</v>
      </c>
      <c r="D231" s="35"/>
      <c r="E231" s="45">
        <v>2196253</v>
      </c>
      <c r="F231" s="45"/>
      <c r="G231" s="45">
        <v>8016952</v>
      </c>
      <c r="H231" s="45"/>
      <c r="I231" s="45">
        <f>418369+149108</f>
        <v>567477</v>
      </c>
      <c r="J231" s="45"/>
      <c r="K231" s="45">
        <v>418000</v>
      </c>
      <c r="L231" s="45"/>
      <c r="M231" s="45">
        <v>1485216</v>
      </c>
      <c r="N231" s="45"/>
      <c r="O231" s="45">
        <v>20788</v>
      </c>
      <c r="P231" s="45"/>
      <c r="Q231" s="45">
        <v>573135</v>
      </c>
      <c r="R231" s="45"/>
      <c r="S231" s="44">
        <f t="shared" si="6"/>
        <v>117436</v>
      </c>
      <c r="T231" s="45"/>
      <c r="U231" s="45">
        <v>13395257</v>
      </c>
      <c r="V231" s="35"/>
      <c r="W231" s="45">
        <v>0</v>
      </c>
    </row>
    <row r="232" spans="1:23" s="44" customFormat="1" ht="12.75" customHeight="1" x14ac:dyDescent="0.2">
      <c r="A232" s="44" t="s">
        <v>256</v>
      </c>
      <c r="C232" s="44" t="s">
        <v>43</v>
      </c>
      <c r="D232" s="35"/>
      <c r="E232" s="45">
        <v>8171071</v>
      </c>
      <c r="F232" s="45"/>
      <c r="G232" s="45">
        <v>14546542</v>
      </c>
      <c r="H232" s="45"/>
      <c r="I232" s="45">
        <v>3520361</v>
      </c>
      <c r="J232" s="45"/>
      <c r="K232" s="45">
        <v>1639025</v>
      </c>
      <c r="L232" s="45"/>
      <c r="M232" s="45">
        <v>3352449</v>
      </c>
      <c r="N232" s="45"/>
      <c r="O232" s="45">
        <v>0</v>
      </c>
      <c r="P232" s="45"/>
      <c r="Q232" s="45">
        <f>944459+405635</f>
        <v>1350094</v>
      </c>
      <c r="R232" s="45"/>
      <c r="S232" s="44">
        <f t="shared" si="6"/>
        <v>1412907</v>
      </c>
      <c r="T232" s="45"/>
      <c r="U232" s="45">
        <v>33992449</v>
      </c>
      <c r="V232" s="35"/>
      <c r="W232" s="45">
        <v>34123</v>
      </c>
    </row>
    <row r="233" spans="1:23" s="49" customFormat="1" ht="12.75" customHeight="1" x14ac:dyDescent="0.2">
      <c r="A233" s="44" t="s">
        <v>257</v>
      </c>
      <c r="B233" s="44"/>
      <c r="C233" s="44" t="s">
        <v>258</v>
      </c>
      <c r="D233" s="44"/>
      <c r="E233" s="45">
        <v>269213</v>
      </c>
      <c r="F233" s="45"/>
      <c r="G233" s="45">
        <v>2278883</v>
      </c>
      <c r="H233" s="45"/>
      <c r="I233" s="45">
        <v>0</v>
      </c>
      <c r="J233" s="45"/>
      <c r="K233" s="45">
        <v>105717</v>
      </c>
      <c r="L233" s="45"/>
      <c r="M233" s="45">
        <v>632094</v>
      </c>
      <c r="N233" s="45"/>
      <c r="O233" s="45">
        <v>0</v>
      </c>
      <c r="P233" s="45"/>
      <c r="Q233" s="45">
        <f>122361+479507</f>
        <v>601868</v>
      </c>
      <c r="R233" s="45"/>
      <c r="S233" s="44">
        <f t="shared" si="6"/>
        <v>63804</v>
      </c>
      <c r="T233" s="45"/>
      <c r="U233" s="45">
        <v>3951579</v>
      </c>
      <c r="V233" s="35"/>
      <c r="W233" s="45">
        <v>0</v>
      </c>
    </row>
    <row r="234" spans="1:23" s="49" customFormat="1" ht="12.75" customHeight="1" x14ac:dyDescent="0.2">
      <c r="A234" s="44" t="s">
        <v>259</v>
      </c>
      <c r="C234" s="44" t="s">
        <v>260</v>
      </c>
      <c r="D234" s="35"/>
      <c r="E234" s="45">
        <v>470703</v>
      </c>
      <c r="F234" s="45"/>
      <c r="G234" s="45">
        <v>2710045</v>
      </c>
      <c r="H234" s="45"/>
      <c r="I234" s="45">
        <v>0</v>
      </c>
      <c r="J234" s="45"/>
      <c r="K234" s="45">
        <v>714070</v>
      </c>
      <c r="L234" s="45"/>
      <c r="M234" s="45">
        <v>1032238</v>
      </c>
      <c r="N234" s="45"/>
      <c r="O234" s="45">
        <v>0</v>
      </c>
      <c r="P234" s="45"/>
      <c r="Q234" s="45">
        <v>613219</v>
      </c>
      <c r="R234" s="45"/>
      <c r="S234" s="44">
        <f t="shared" si="6"/>
        <v>126981</v>
      </c>
      <c r="T234" s="45"/>
      <c r="U234" s="45">
        <v>5667256</v>
      </c>
      <c r="V234" s="35"/>
      <c r="W234" s="45">
        <v>0</v>
      </c>
    </row>
    <row r="235" spans="1:23" s="49" customFormat="1" ht="12.75" customHeight="1" x14ac:dyDescent="0.2">
      <c r="A235" s="44" t="s">
        <v>261</v>
      </c>
      <c r="C235" s="44" t="s">
        <v>66</v>
      </c>
      <c r="D235" s="35"/>
      <c r="E235" s="45">
        <v>1614735</v>
      </c>
      <c r="F235" s="45"/>
      <c r="G235" s="45">
        <v>11811152</v>
      </c>
      <c r="H235" s="45"/>
      <c r="I235" s="45">
        <v>0</v>
      </c>
      <c r="J235" s="45"/>
      <c r="K235" s="45">
        <v>3250789</v>
      </c>
      <c r="L235" s="45"/>
      <c r="M235" s="45">
        <v>1840821</v>
      </c>
      <c r="N235" s="45"/>
      <c r="O235" s="45">
        <v>0</v>
      </c>
      <c r="P235" s="45"/>
      <c r="Q235" s="45">
        <f>149335+1164722</f>
        <v>1314057</v>
      </c>
      <c r="R235" s="45"/>
      <c r="S235" s="44">
        <f t="shared" si="6"/>
        <v>543860</v>
      </c>
      <c r="T235" s="45"/>
      <c r="U235" s="45">
        <v>20375414</v>
      </c>
      <c r="V235" s="35"/>
      <c r="W235" s="45">
        <v>0</v>
      </c>
    </row>
    <row r="236" spans="1:23" s="49" customFormat="1" ht="12.75" customHeight="1" x14ac:dyDescent="0.2">
      <c r="A236" s="44" t="s">
        <v>262</v>
      </c>
      <c r="C236" s="44" t="s">
        <v>132</v>
      </c>
      <c r="D236" s="35"/>
      <c r="E236" s="45">
        <v>1980915</v>
      </c>
      <c r="F236" s="45"/>
      <c r="G236" s="45">
        <v>1320898</v>
      </c>
      <c r="H236" s="45"/>
      <c r="I236" s="45">
        <v>1798</v>
      </c>
      <c r="J236" s="45"/>
      <c r="K236" s="45">
        <v>241773</v>
      </c>
      <c r="L236" s="45"/>
      <c r="M236" s="45">
        <v>763004</v>
      </c>
      <c r="N236" s="45"/>
      <c r="O236" s="45">
        <v>0</v>
      </c>
      <c r="P236" s="45"/>
      <c r="Q236" s="45">
        <f>174215+437866</f>
        <v>612081</v>
      </c>
      <c r="R236" s="45"/>
      <c r="S236" s="44">
        <f t="shared" si="6"/>
        <v>314709</v>
      </c>
      <c r="T236" s="45"/>
      <c r="U236" s="45">
        <v>5235178</v>
      </c>
      <c r="V236" s="35"/>
      <c r="W236" s="45">
        <v>0</v>
      </c>
    </row>
    <row r="237" spans="1:23" s="49" customFormat="1" ht="12.75" customHeight="1" x14ac:dyDescent="0.2">
      <c r="A237" s="44" t="s">
        <v>512</v>
      </c>
      <c r="B237" s="47"/>
      <c r="C237" s="44" t="s">
        <v>45</v>
      </c>
      <c r="D237" s="35"/>
      <c r="E237" s="45">
        <v>813785</v>
      </c>
      <c r="F237" s="45"/>
      <c r="G237" s="45">
        <v>5685073</v>
      </c>
      <c r="H237" s="45"/>
      <c r="I237" s="45">
        <v>0</v>
      </c>
      <c r="J237" s="45"/>
      <c r="K237" s="45">
        <v>461661</v>
      </c>
      <c r="L237" s="45"/>
      <c r="M237" s="45">
        <v>5829331</v>
      </c>
      <c r="N237" s="45"/>
      <c r="O237" s="45">
        <v>0</v>
      </c>
      <c r="P237" s="45"/>
      <c r="Q237" s="45">
        <f>31263+400</f>
        <v>31663</v>
      </c>
      <c r="R237" s="45"/>
      <c r="S237" s="44">
        <f t="shared" si="6"/>
        <v>193785</v>
      </c>
      <c r="T237" s="45"/>
      <c r="U237" s="45">
        <v>13015298</v>
      </c>
      <c r="V237" s="35"/>
      <c r="W237" s="45">
        <v>0</v>
      </c>
    </row>
    <row r="238" spans="1:23" s="49" customFormat="1" ht="12.75" customHeight="1" x14ac:dyDescent="0.2">
      <c r="A238" s="44" t="s">
        <v>263</v>
      </c>
      <c r="C238" s="44" t="s">
        <v>53</v>
      </c>
      <c r="D238" s="35"/>
      <c r="E238" s="45">
        <v>997836</v>
      </c>
      <c r="F238" s="45"/>
      <c r="G238" s="45">
        <v>0</v>
      </c>
      <c r="H238" s="45"/>
      <c r="I238" s="45">
        <v>105000</v>
      </c>
      <c r="J238" s="45"/>
      <c r="K238" s="45">
        <v>506814</v>
      </c>
      <c r="L238" s="45"/>
      <c r="M238" s="45">
        <v>2384674</v>
      </c>
      <c r="N238" s="45"/>
      <c r="O238" s="45">
        <v>0</v>
      </c>
      <c r="P238" s="45"/>
      <c r="Q238" s="45">
        <f>511441+384113</f>
        <v>895554</v>
      </c>
      <c r="R238" s="45"/>
      <c r="S238" s="44">
        <f t="shared" si="6"/>
        <v>152340</v>
      </c>
      <c r="T238" s="45"/>
      <c r="U238" s="45">
        <v>5042218</v>
      </c>
      <c r="V238" s="35"/>
      <c r="W238" s="45">
        <f>4500000+1869</f>
        <v>4501869</v>
      </c>
    </row>
    <row r="239" spans="1:23" s="49" customFormat="1" ht="12.75" customHeight="1" x14ac:dyDescent="0.2">
      <c r="A239" s="44" t="s">
        <v>264</v>
      </c>
      <c r="C239" s="44" t="s">
        <v>239</v>
      </c>
      <c r="D239" s="35"/>
      <c r="E239" s="45">
        <v>373148</v>
      </c>
      <c r="F239" s="45"/>
      <c r="G239" s="45">
        <v>2230352</v>
      </c>
      <c r="H239" s="45"/>
      <c r="I239" s="45">
        <v>642164</v>
      </c>
      <c r="J239" s="45"/>
      <c r="K239" s="45">
        <v>664378</v>
      </c>
      <c r="L239" s="45"/>
      <c r="M239" s="45">
        <v>632437</v>
      </c>
      <c r="N239" s="45"/>
      <c r="O239" s="45">
        <v>0</v>
      </c>
      <c r="P239" s="45"/>
      <c r="Q239" s="45">
        <f>90097+18106</f>
        <v>108203</v>
      </c>
      <c r="R239" s="45"/>
      <c r="S239" s="44">
        <f t="shared" si="6"/>
        <v>95629</v>
      </c>
      <c r="T239" s="45"/>
      <c r="U239" s="45">
        <v>4746311</v>
      </c>
      <c r="V239" s="35"/>
      <c r="W239" s="45">
        <v>0</v>
      </c>
    </row>
    <row r="240" spans="1:23" s="49" customFormat="1" ht="12.75" customHeight="1" x14ac:dyDescent="0.2">
      <c r="A240" s="44" t="s">
        <v>111</v>
      </c>
      <c r="C240" s="44" t="s">
        <v>80</v>
      </c>
      <c r="D240" s="35"/>
      <c r="E240" s="45">
        <v>0</v>
      </c>
      <c r="F240" s="45"/>
      <c r="G240" s="45">
        <v>16996981</v>
      </c>
      <c r="H240" s="45"/>
      <c r="I240" s="45">
        <v>0</v>
      </c>
      <c r="J240" s="45"/>
      <c r="K240" s="45">
        <v>2083620</v>
      </c>
      <c r="L240" s="45"/>
      <c r="M240" s="45">
        <v>4692931</v>
      </c>
      <c r="N240" s="45"/>
      <c r="O240" s="45">
        <v>0</v>
      </c>
      <c r="P240" s="45"/>
      <c r="Q240" s="45">
        <f>2040558+1283726</f>
        <v>3324284</v>
      </c>
      <c r="R240" s="45"/>
      <c r="S240" s="44">
        <f t="shared" si="6"/>
        <v>908343</v>
      </c>
      <c r="T240" s="45"/>
      <c r="U240" s="45">
        <v>28006159</v>
      </c>
      <c r="V240" s="35"/>
      <c r="W240" s="45">
        <v>0</v>
      </c>
    </row>
    <row r="241" spans="1:23" s="49" customFormat="1" ht="12.75" customHeight="1" x14ac:dyDescent="0.2">
      <c r="A241" s="44" t="s">
        <v>265</v>
      </c>
      <c r="C241" s="44" t="s">
        <v>27</v>
      </c>
      <c r="D241" s="35"/>
      <c r="E241" s="45">
        <v>435001</v>
      </c>
      <c r="F241" s="45"/>
      <c r="G241" s="45">
        <v>13326443</v>
      </c>
      <c r="H241" s="45"/>
      <c r="I241" s="45">
        <v>263982</v>
      </c>
      <c r="J241" s="45"/>
      <c r="K241" s="45">
        <v>414744</v>
      </c>
      <c r="L241" s="45"/>
      <c r="M241" s="45">
        <v>1039910</v>
      </c>
      <c r="N241" s="45"/>
      <c r="O241" s="45">
        <v>0</v>
      </c>
      <c r="P241" s="45"/>
      <c r="Q241" s="45">
        <f>348133+597017</f>
        <v>945150</v>
      </c>
      <c r="R241" s="45"/>
      <c r="S241" s="44">
        <f t="shared" si="6"/>
        <v>78353</v>
      </c>
      <c r="T241" s="45"/>
      <c r="U241" s="45">
        <v>16503583</v>
      </c>
      <c r="V241" s="35"/>
      <c r="W241" s="45">
        <f>705826+474500+14235</f>
        <v>1194561</v>
      </c>
    </row>
    <row r="242" spans="1:23" s="49" customFormat="1" ht="12.75" customHeight="1" x14ac:dyDescent="0.2">
      <c r="A242" s="44" t="s">
        <v>516</v>
      </c>
      <c r="C242" s="47" t="s">
        <v>451</v>
      </c>
      <c r="D242" s="35"/>
      <c r="E242" s="45">
        <v>337095</v>
      </c>
      <c r="F242" s="45"/>
      <c r="G242" s="45">
        <v>3433725</v>
      </c>
      <c r="H242" s="45"/>
      <c r="I242" s="45">
        <v>0</v>
      </c>
      <c r="J242" s="45"/>
      <c r="K242" s="45">
        <v>1007603</v>
      </c>
      <c r="L242" s="45"/>
      <c r="M242" s="45">
        <v>1120012</v>
      </c>
      <c r="N242" s="45"/>
      <c r="O242" s="45">
        <v>0</v>
      </c>
      <c r="P242" s="45"/>
      <c r="Q242" s="45">
        <v>565087</v>
      </c>
      <c r="R242" s="45"/>
      <c r="S242" s="44">
        <f t="shared" si="6"/>
        <v>189904</v>
      </c>
      <c r="T242" s="45"/>
      <c r="U242" s="45">
        <v>6653426</v>
      </c>
      <c r="V242" s="35"/>
      <c r="W242" s="45">
        <v>238161</v>
      </c>
    </row>
    <row r="243" spans="1:23" s="49" customFormat="1" ht="12.75" customHeight="1" x14ac:dyDescent="0.2">
      <c r="A243" s="44" t="s">
        <v>515</v>
      </c>
      <c r="B243" s="47"/>
      <c r="C243" s="44" t="s">
        <v>163</v>
      </c>
      <c r="D243" s="35"/>
      <c r="E243" s="45">
        <v>364200</v>
      </c>
      <c r="F243" s="45"/>
      <c r="G243" s="45">
        <v>2036852</v>
      </c>
      <c r="H243" s="45"/>
      <c r="I243" s="45">
        <v>0</v>
      </c>
      <c r="J243" s="45"/>
      <c r="K243" s="45">
        <v>313371</v>
      </c>
      <c r="L243" s="45"/>
      <c r="M243" s="45">
        <v>502268</v>
      </c>
      <c r="N243" s="45"/>
      <c r="O243" s="45">
        <v>0</v>
      </c>
      <c r="P243" s="45"/>
      <c r="Q243" s="45">
        <f>9108+10277</f>
        <v>19385</v>
      </c>
      <c r="R243" s="45"/>
      <c r="S243" s="44">
        <f t="shared" si="6"/>
        <v>83448</v>
      </c>
      <c r="T243" s="45"/>
      <c r="U243" s="45">
        <v>3319524</v>
      </c>
      <c r="V243" s="35"/>
      <c r="W243" s="45">
        <v>0</v>
      </c>
    </row>
    <row r="244" spans="1:23" s="49" customFormat="1" ht="12.75" customHeight="1" x14ac:dyDescent="0.2">
      <c r="A244" s="44" t="s">
        <v>266</v>
      </c>
      <c r="C244" s="44" t="s">
        <v>267</v>
      </c>
      <c r="D244" s="35"/>
      <c r="E244" s="45">
        <v>2220855</v>
      </c>
      <c r="F244" s="45"/>
      <c r="G244" s="45">
        <v>0</v>
      </c>
      <c r="H244" s="45"/>
      <c r="I244" s="45">
        <v>0</v>
      </c>
      <c r="J244" s="45"/>
      <c r="K244" s="45">
        <v>398581</v>
      </c>
      <c r="L244" s="45"/>
      <c r="M244" s="45">
        <v>411410</v>
      </c>
      <c r="N244" s="45"/>
      <c r="O244" s="45">
        <v>0</v>
      </c>
      <c r="P244" s="45"/>
      <c r="Q244" s="45">
        <f>7755+17222</f>
        <v>24977</v>
      </c>
      <c r="R244" s="45"/>
      <c r="S244" s="44">
        <f t="shared" si="6"/>
        <v>201999</v>
      </c>
      <c r="T244" s="45"/>
      <c r="U244" s="45">
        <v>3257822</v>
      </c>
      <c r="V244" s="35"/>
      <c r="W244" s="45">
        <f>94686+700000</f>
        <v>794686</v>
      </c>
    </row>
    <row r="245" spans="1:23" s="49" customFormat="1" ht="12.75" customHeight="1" x14ac:dyDescent="0.2">
      <c r="A245" s="44" t="s">
        <v>268</v>
      </c>
      <c r="C245" s="44" t="s">
        <v>269</v>
      </c>
      <c r="D245" s="35"/>
      <c r="E245" s="45">
        <v>1364956</v>
      </c>
      <c r="F245" s="45"/>
      <c r="G245" s="45">
        <v>0</v>
      </c>
      <c r="H245" s="45"/>
      <c r="I245" s="45">
        <v>0</v>
      </c>
      <c r="J245" s="45"/>
      <c r="K245" s="45">
        <v>0</v>
      </c>
      <c r="L245" s="45"/>
      <c r="M245" s="45">
        <v>210549</v>
      </c>
      <c r="N245" s="45"/>
      <c r="O245" s="45">
        <v>0</v>
      </c>
      <c r="P245" s="45"/>
      <c r="Q245" s="45">
        <f>10791+104261</f>
        <v>115052</v>
      </c>
      <c r="R245" s="45"/>
      <c r="S245" s="44">
        <f t="shared" si="6"/>
        <v>47443</v>
      </c>
      <c r="T245" s="45"/>
      <c r="U245" s="45">
        <v>1738000</v>
      </c>
      <c r="V245" s="35"/>
      <c r="W245" s="45">
        <v>0</v>
      </c>
    </row>
    <row r="246" spans="1:23" s="49" customFormat="1" ht="12.75" customHeight="1" x14ac:dyDescent="0.2">
      <c r="A246" s="44" t="s">
        <v>270</v>
      </c>
      <c r="C246" s="44" t="s">
        <v>136</v>
      </c>
      <c r="D246" s="35"/>
      <c r="E246" s="45">
        <v>177210</v>
      </c>
      <c r="F246" s="45"/>
      <c r="G246" s="45">
        <v>1069108</v>
      </c>
      <c r="H246" s="45"/>
      <c r="I246" s="45">
        <v>0</v>
      </c>
      <c r="J246" s="45"/>
      <c r="K246" s="45">
        <v>15858</v>
      </c>
      <c r="L246" s="45"/>
      <c r="M246" s="45">
        <v>228023</v>
      </c>
      <c r="N246" s="45"/>
      <c r="O246" s="45">
        <v>0</v>
      </c>
      <c r="P246" s="45"/>
      <c r="Q246" s="45">
        <f>21436+10868</f>
        <v>32304</v>
      </c>
      <c r="R246" s="45"/>
      <c r="S246" s="44">
        <f t="shared" si="6"/>
        <v>114588</v>
      </c>
      <c r="T246" s="45"/>
      <c r="U246" s="45">
        <v>1637091</v>
      </c>
      <c r="V246" s="35"/>
      <c r="W246" s="45">
        <v>5031</v>
      </c>
    </row>
    <row r="247" spans="1:23" s="49" customFormat="1" ht="12.75" customHeight="1" x14ac:dyDescent="0.2">
      <c r="A247" s="44" t="s">
        <v>271</v>
      </c>
      <c r="C247" s="44" t="s">
        <v>66</v>
      </c>
      <c r="D247" s="35"/>
      <c r="E247" s="45">
        <v>0</v>
      </c>
      <c r="F247" s="45"/>
      <c r="G247" s="45">
        <v>5831233</v>
      </c>
      <c r="H247" s="45"/>
      <c r="I247" s="45">
        <v>0</v>
      </c>
      <c r="J247" s="45"/>
      <c r="K247" s="45">
        <v>335645</v>
      </c>
      <c r="L247" s="45"/>
      <c r="M247" s="45">
        <v>474744</v>
      </c>
      <c r="N247" s="45"/>
      <c r="O247" s="45">
        <v>0</v>
      </c>
      <c r="P247" s="45"/>
      <c r="Q247" s="45">
        <f>300274+75153</f>
        <v>375427</v>
      </c>
      <c r="R247" s="45"/>
      <c r="S247" s="44">
        <f t="shared" si="6"/>
        <v>287083</v>
      </c>
      <c r="T247" s="45"/>
      <c r="U247" s="45">
        <v>7304132</v>
      </c>
      <c r="V247" s="35"/>
      <c r="W247" s="45">
        <v>0</v>
      </c>
    </row>
    <row r="248" spans="1:23" s="49" customFormat="1" ht="12.75" customHeight="1" x14ac:dyDescent="0.2">
      <c r="A248" s="44" t="s">
        <v>272</v>
      </c>
      <c r="C248" s="44" t="s">
        <v>43</v>
      </c>
      <c r="D248" s="35"/>
      <c r="E248" s="45">
        <v>2989599</v>
      </c>
      <c r="F248" s="45"/>
      <c r="G248" s="45">
        <v>26157152</v>
      </c>
      <c r="H248" s="45"/>
      <c r="I248" s="45">
        <v>643454</v>
      </c>
      <c r="J248" s="45"/>
      <c r="K248" s="45">
        <v>303171</v>
      </c>
      <c r="L248" s="45"/>
      <c r="M248" s="45">
        <v>6058067</v>
      </c>
      <c r="N248" s="45"/>
      <c r="O248" s="45">
        <v>0</v>
      </c>
      <c r="P248" s="45"/>
      <c r="Q248" s="45">
        <f>645956+561656</f>
        <v>1207612</v>
      </c>
      <c r="R248" s="45"/>
      <c r="S248" s="44">
        <f>U248-E248-G248-K248-M248-O248-Q248-I248</f>
        <v>1956903</v>
      </c>
      <c r="T248" s="45"/>
      <c r="U248" s="45">
        <v>39315958</v>
      </c>
      <c r="V248" s="35"/>
      <c r="W248" s="44">
        <v>2046</v>
      </c>
    </row>
    <row r="249" spans="1:23" s="49" customFormat="1" ht="12.75" customHeight="1" x14ac:dyDescent="0.2">
      <c r="A249" s="44" t="s">
        <v>273</v>
      </c>
      <c r="C249" s="44" t="s">
        <v>27</v>
      </c>
      <c r="D249" s="35"/>
      <c r="E249" s="45">
        <v>9724481</v>
      </c>
      <c r="F249" s="45"/>
      <c r="G249" s="45">
        <v>13504485</v>
      </c>
      <c r="H249" s="45"/>
      <c r="I249" s="45">
        <f>187280+431774+523339</f>
        <v>1142393</v>
      </c>
      <c r="J249" s="45"/>
      <c r="K249" s="45">
        <v>493863</v>
      </c>
      <c r="L249" s="45"/>
      <c r="M249" s="45">
        <v>5659501</v>
      </c>
      <c r="N249" s="45"/>
      <c r="O249" s="45">
        <v>0</v>
      </c>
      <c r="P249" s="45"/>
      <c r="Q249" s="45">
        <f>484906+263917</f>
        <v>748823</v>
      </c>
      <c r="R249" s="45"/>
      <c r="S249" s="44">
        <f t="shared" ref="S249:S262" si="7">U249-E249-G249-K249-M249-O249-Q249-I249</f>
        <v>1907087</v>
      </c>
      <c r="T249" s="45"/>
      <c r="U249" s="45">
        <v>33180633</v>
      </c>
      <c r="V249" s="35"/>
      <c r="W249" s="45">
        <v>72597</v>
      </c>
    </row>
    <row r="250" spans="1:23" s="49" customFormat="1" ht="12.75" customHeight="1" x14ac:dyDescent="0.2">
      <c r="A250" s="44" t="s">
        <v>274</v>
      </c>
      <c r="C250" s="44" t="s">
        <v>43</v>
      </c>
      <c r="D250" s="35"/>
      <c r="E250" s="45">
        <v>409283</v>
      </c>
      <c r="F250" s="45"/>
      <c r="G250" s="45">
        <v>21034376</v>
      </c>
      <c r="H250" s="45"/>
      <c r="I250" s="45">
        <v>0</v>
      </c>
      <c r="J250" s="45"/>
      <c r="K250" s="45">
        <v>206048</v>
      </c>
      <c r="L250" s="45"/>
      <c r="M250" s="45">
        <v>1769239</v>
      </c>
      <c r="N250" s="45"/>
      <c r="O250" s="45">
        <v>144067</v>
      </c>
      <c r="P250" s="45"/>
      <c r="Q250" s="45">
        <f>444285+276376</f>
        <v>720661</v>
      </c>
      <c r="R250" s="45"/>
      <c r="S250" s="44">
        <f t="shared" si="7"/>
        <v>620379</v>
      </c>
      <c r="T250" s="45"/>
      <c r="U250" s="45">
        <v>24904053</v>
      </c>
      <c r="V250" s="35"/>
      <c r="W250" s="45">
        <v>0</v>
      </c>
    </row>
    <row r="251" spans="1:23" s="49" customFormat="1" ht="12.75" customHeight="1" x14ac:dyDescent="0.2">
      <c r="A251" s="44" t="s">
        <v>275</v>
      </c>
      <c r="C251" s="44" t="s">
        <v>92</v>
      </c>
      <c r="D251" s="35"/>
      <c r="E251" s="45">
        <v>1362635</v>
      </c>
      <c r="F251" s="45"/>
      <c r="G251" s="45">
        <v>11477820</v>
      </c>
      <c r="H251" s="45"/>
      <c r="I251" s="45">
        <v>203472</v>
      </c>
      <c r="J251" s="45"/>
      <c r="K251" s="45">
        <v>313113</v>
      </c>
      <c r="L251" s="45"/>
      <c r="M251" s="45">
        <f>2182486+217087</f>
        <v>2399573</v>
      </c>
      <c r="N251" s="45"/>
      <c r="O251" s="45">
        <v>0</v>
      </c>
      <c r="P251" s="45"/>
      <c r="Q251" s="45">
        <f>132170+466069</f>
        <v>598239</v>
      </c>
      <c r="R251" s="45"/>
      <c r="S251" s="44">
        <f t="shared" si="7"/>
        <v>183817</v>
      </c>
      <c r="T251" s="45"/>
      <c r="U251" s="45">
        <v>16538669</v>
      </c>
      <c r="V251" s="35"/>
      <c r="W251" s="45">
        <v>0</v>
      </c>
    </row>
    <row r="252" spans="1:23" s="46" customFormat="1" ht="12.75" customHeight="1" x14ac:dyDescent="0.2">
      <c r="A252" s="44" t="s">
        <v>276</v>
      </c>
      <c r="B252" s="49"/>
      <c r="C252" s="44" t="s">
        <v>38</v>
      </c>
      <c r="D252" s="35"/>
      <c r="E252" s="45">
        <v>245386</v>
      </c>
      <c r="F252" s="45"/>
      <c r="G252" s="45">
        <v>1993722</v>
      </c>
      <c r="H252" s="45"/>
      <c r="I252" s="45">
        <v>0</v>
      </c>
      <c r="J252" s="45"/>
      <c r="K252" s="45">
        <v>553778</v>
      </c>
      <c r="L252" s="45"/>
      <c r="M252" s="45">
        <v>492510</v>
      </c>
      <c r="N252" s="45"/>
      <c r="O252" s="45">
        <v>0</v>
      </c>
      <c r="P252" s="45"/>
      <c r="Q252" s="45">
        <f>48028+31520</f>
        <v>79548</v>
      </c>
      <c r="R252" s="45"/>
      <c r="S252" s="44">
        <f t="shared" si="7"/>
        <v>48349</v>
      </c>
      <c r="T252" s="45"/>
      <c r="U252" s="45">
        <v>3413293</v>
      </c>
      <c r="V252" s="35"/>
      <c r="W252" s="45">
        <v>2500</v>
      </c>
    </row>
    <row r="253" spans="1:23" s="49" customFormat="1" ht="12.75" customHeight="1" x14ac:dyDescent="0.2">
      <c r="A253" s="44" t="s">
        <v>277</v>
      </c>
      <c r="C253" s="44" t="s">
        <v>92</v>
      </c>
      <c r="D253" s="35"/>
      <c r="E253" s="45">
        <v>1847162</v>
      </c>
      <c r="F253" s="45"/>
      <c r="G253" s="45">
        <v>15125338</v>
      </c>
      <c r="H253" s="45"/>
      <c r="I253" s="45">
        <v>0</v>
      </c>
      <c r="J253" s="45"/>
      <c r="K253" s="45">
        <v>1384431</v>
      </c>
      <c r="L253" s="45"/>
      <c r="M253" s="45">
        <v>4572852</v>
      </c>
      <c r="N253" s="45"/>
      <c r="O253" s="45">
        <v>0</v>
      </c>
      <c r="P253" s="45"/>
      <c r="Q253" s="45">
        <f>1973322+235241</f>
        <v>2208563</v>
      </c>
      <c r="R253" s="45"/>
      <c r="S253" s="44">
        <f t="shared" si="7"/>
        <v>118227</v>
      </c>
      <c r="T253" s="45"/>
      <c r="U253" s="45">
        <v>25256573</v>
      </c>
      <c r="V253" s="35"/>
      <c r="W253" s="45">
        <v>0</v>
      </c>
    </row>
    <row r="254" spans="1:23" s="49" customFormat="1" ht="12.75" customHeight="1" x14ac:dyDescent="0.2">
      <c r="A254" s="44" t="s">
        <v>278</v>
      </c>
      <c r="C254" s="44" t="s">
        <v>92</v>
      </c>
      <c r="D254" s="35"/>
      <c r="E254" s="45">
        <v>603000</v>
      </c>
      <c r="F254" s="45"/>
      <c r="G254" s="45">
        <v>3523208</v>
      </c>
      <c r="H254" s="45"/>
      <c r="I254" s="45">
        <f>19776+94539</f>
        <v>114315</v>
      </c>
      <c r="J254" s="45"/>
      <c r="K254" s="45">
        <v>74013</v>
      </c>
      <c r="L254" s="45"/>
      <c r="M254" s="45">
        <v>858672</v>
      </c>
      <c r="N254" s="45"/>
      <c r="O254" s="45">
        <v>0</v>
      </c>
      <c r="P254" s="45"/>
      <c r="Q254" s="45">
        <f>240193+2046241</f>
        <v>2286434</v>
      </c>
      <c r="R254" s="45"/>
      <c r="S254" s="44">
        <f t="shared" si="7"/>
        <v>154741</v>
      </c>
      <c r="T254" s="45"/>
      <c r="U254" s="45">
        <v>7614383</v>
      </c>
      <c r="V254" s="35"/>
      <c r="W254" s="45">
        <v>17230</v>
      </c>
    </row>
    <row r="255" spans="1:23" s="49" customFormat="1" ht="12.75" customHeight="1" x14ac:dyDescent="0.2">
      <c r="A255" s="44" t="s">
        <v>279</v>
      </c>
      <c r="C255" s="44" t="s">
        <v>92</v>
      </c>
      <c r="D255" s="35"/>
      <c r="E255" s="45">
        <v>2311841</v>
      </c>
      <c r="F255" s="45"/>
      <c r="G255" s="45">
        <v>2315934</v>
      </c>
      <c r="H255" s="45"/>
      <c r="I255" s="45">
        <v>247051</v>
      </c>
      <c r="J255" s="45"/>
      <c r="K255" s="45">
        <v>449498</v>
      </c>
      <c r="L255" s="45"/>
      <c r="M255" s="45">
        <v>2277250</v>
      </c>
      <c r="N255" s="45"/>
      <c r="O255" s="45">
        <v>0</v>
      </c>
      <c r="P255" s="45"/>
      <c r="Q255" s="45">
        <f>312455+69648</f>
        <v>382103</v>
      </c>
      <c r="R255" s="45"/>
      <c r="S255" s="44">
        <f t="shared" si="7"/>
        <v>89349</v>
      </c>
      <c r="T255" s="45"/>
      <c r="U255" s="45">
        <v>8073026</v>
      </c>
      <c r="V255" s="35"/>
      <c r="W255" s="45">
        <v>5745</v>
      </c>
    </row>
    <row r="256" spans="1:23" s="49" customFormat="1" ht="12.75" customHeight="1" x14ac:dyDescent="0.2">
      <c r="A256" s="44" t="s">
        <v>280</v>
      </c>
      <c r="C256" s="44" t="s">
        <v>281</v>
      </c>
      <c r="D256" s="35"/>
      <c r="E256" s="45">
        <v>387049</v>
      </c>
      <c r="F256" s="45"/>
      <c r="G256" s="45">
        <v>4050378</v>
      </c>
      <c r="H256" s="45"/>
      <c r="I256" s="45">
        <v>0</v>
      </c>
      <c r="J256" s="45"/>
      <c r="K256" s="45">
        <v>1069147</v>
      </c>
      <c r="L256" s="45"/>
      <c r="M256" s="45">
        <v>1035311</v>
      </c>
      <c r="N256" s="45"/>
      <c r="O256" s="45">
        <v>77335</v>
      </c>
      <c r="P256" s="45"/>
      <c r="Q256" s="45">
        <f>36671+590010</f>
        <v>626681</v>
      </c>
      <c r="R256" s="45"/>
      <c r="S256" s="44">
        <f t="shared" si="7"/>
        <v>243754</v>
      </c>
      <c r="T256" s="45"/>
      <c r="U256" s="45">
        <v>7489655</v>
      </c>
      <c r="V256" s="35"/>
      <c r="W256" s="45">
        <v>0</v>
      </c>
    </row>
    <row r="257" spans="1:23" s="49" customFormat="1" ht="12.75" customHeight="1" x14ac:dyDescent="0.2">
      <c r="A257" s="44" t="s">
        <v>282</v>
      </c>
      <c r="C257" s="44" t="s">
        <v>199</v>
      </c>
      <c r="D257" s="35"/>
      <c r="E257" s="45">
        <v>12382087</v>
      </c>
      <c r="F257" s="45"/>
      <c r="G257" s="45">
        <v>0</v>
      </c>
      <c r="H257" s="45"/>
      <c r="I257" s="45">
        <v>0</v>
      </c>
      <c r="J257" s="45"/>
      <c r="K257" s="45">
        <v>1493695</v>
      </c>
      <c r="L257" s="45"/>
      <c r="M257" s="45">
        <v>1685562</v>
      </c>
      <c r="N257" s="45"/>
      <c r="O257" s="45">
        <v>0</v>
      </c>
      <c r="P257" s="45"/>
      <c r="Q257" s="45">
        <v>609103</v>
      </c>
      <c r="R257" s="45"/>
      <c r="S257" s="44">
        <f t="shared" si="7"/>
        <v>1755300</v>
      </c>
      <c r="T257" s="45"/>
      <c r="U257" s="45">
        <v>17925747</v>
      </c>
      <c r="V257" s="35"/>
      <c r="W257" s="45">
        <v>0</v>
      </c>
    </row>
    <row r="258" spans="1:23" s="49" customFormat="1" ht="12.75" customHeight="1" x14ac:dyDescent="0.2">
      <c r="A258" s="44" t="s">
        <v>283</v>
      </c>
      <c r="C258" s="44" t="s">
        <v>43</v>
      </c>
      <c r="D258" s="35"/>
      <c r="E258" s="45">
        <v>2277600</v>
      </c>
      <c r="F258" s="45"/>
      <c r="G258" s="45">
        <v>17100122</v>
      </c>
      <c r="H258" s="45"/>
      <c r="I258" s="45">
        <v>170836</v>
      </c>
      <c r="J258" s="45"/>
      <c r="K258" s="45">
        <v>2513965</v>
      </c>
      <c r="L258" s="45"/>
      <c r="M258" s="45">
        <v>1443932</v>
      </c>
      <c r="N258" s="45"/>
      <c r="O258" s="45">
        <v>15200</v>
      </c>
      <c r="P258" s="45"/>
      <c r="Q258" s="45">
        <f>403710+172230</f>
        <v>575940</v>
      </c>
      <c r="R258" s="45"/>
      <c r="S258" s="44">
        <f t="shared" si="7"/>
        <v>356857</v>
      </c>
      <c r="T258" s="45"/>
      <c r="U258" s="45">
        <v>24454452</v>
      </c>
      <c r="V258" s="35"/>
      <c r="W258" s="45">
        <v>300000</v>
      </c>
    </row>
    <row r="259" spans="1:23" s="49" customFormat="1" ht="12.75" customHeight="1" x14ac:dyDescent="0.2">
      <c r="A259" s="44" t="s">
        <v>284</v>
      </c>
      <c r="C259" s="44" t="s">
        <v>45</v>
      </c>
      <c r="D259" s="35"/>
      <c r="E259" s="45">
        <v>6765678</v>
      </c>
      <c r="F259" s="45"/>
      <c r="G259" s="45">
        <v>0</v>
      </c>
      <c r="H259" s="45"/>
      <c r="I259" s="45">
        <v>0</v>
      </c>
      <c r="J259" s="45"/>
      <c r="K259" s="45">
        <v>1117223</v>
      </c>
      <c r="L259" s="45"/>
      <c r="M259" s="45">
        <v>1163599</v>
      </c>
      <c r="N259" s="45"/>
      <c r="O259" s="45">
        <v>0</v>
      </c>
      <c r="P259" s="45"/>
      <c r="Q259" s="45">
        <v>104233</v>
      </c>
      <c r="R259" s="45"/>
      <c r="S259" s="44">
        <f t="shared" si="7"/>
        <v>166426</v>
      </c>
      <c r="T259" s="45"/>
      <c r="U259" s="45">
        <v>9317159</v>
      </c>
      <c r="V259" s="35"/>
      <c r="W259" s="45">
        <v>14006</v>
      </c>
    </row>
    <row r="260" spans="1:23" s="49" customFormat="1" ht="12.75" customHeight="1" x14ac:dyDescent="0.2">
      <c r="A260" s="44" t="s">
        <v>285</v>
      </c>
      <c r="C260" s="44" t="s">
        <v>30</v>
      </c>
      <c r="D260" s="35"/>
      <c r="E260" s="45">
        <v>0</v>
      </c>
      <c r="F260" s="45"/>
      <c r="G260" s="45">
        <v>4832824</v>
      </c>
      <c r="H260" s="45"/>
      <c r="I260" s="45">
        <v>1064394</v>
      </c>
      <c r="J260" s="45"/>
      <c r="K260" s="45">
        <v>30494</v>
      </c>
      <c r="L260" s="45"/>
      <c r="M260" s="45">
        <f>1871968+93875</f>
        <v>1965843</v>
      </c>
      <c r="N260" s="45"/>
      <c r="O260" s="45">
        <v>0</v>
      </c>
      <c r="P260" s="45"/>
      <c r="Q260" s="45">
        <v>1045890</v>
      </c>
      <c r="R260" s="45"/>
      <c r="S260" s="44">
        <f t="shared" si="7"/>
        <v>356435</v>
      </c>
      <c r="T260" s="45"/>
      <c r="U260" s="45">
        <v>9295880</v>
      </c>
      <c r="V260" s="35"/>
      <c r="W260" s="45">
        <v>0</v>
      </c>
    </row>
    <row r="261" spans="1:23" s="129" customFormat="1" ht="12.75" customHeight="1" x14ac:dyDescent="0.2">
      <c r="A261" s="44" t="s">
        <v>286</v>
      </c>
      <c r="B261" s="49"/>
      <c r="C261" s="44" t="s">
        <v>61</v>
      </c>
      <c r="D261" s="35"/>
      <c r="E261" s="45">
        <v>0</v>
      </c>
      <c r="F261" s="45"/>
      <c r="G261" s="45">
        <v>24256242</v>
      </c>
      <c r="H261" s="45"/>
      <c r="I261" s="45">
        <f>597137+373112</f>
        <v>970249</v>
      </c>
      <c r="J261" s="45"/>
      <c r="K261" s="45">
        <v>7223763</v>
      </c>
      <c r="L261" s="45"/>
      <c r="M261" s="45">
        <v>4138791</v>
      </c>
      <c r="N261" s="45"/>
      <c r="O261" s="45">
        <v>0</v>
      </c>
      <c r="P261" s="45"/>
      <c r="Q261" s="45">
        <f>509502+583621</f>
        <v>1093123</v>
      </c>
      <c r="R261" s="45"/>
      <c r="S261" s="44">
        <f t="shared" si="7"/>
        <v>422057</v>
      </c>
      <c r="T261" s="45"/>
      <c r="U261" s="45">
        <v>38104225</v>
      </c>
      <c r="V261" s="35"/>
      <c r="W261" s="45">
        <f>814+214866</f>
        <v>215680</v>
      </c>
    </row>
    <row r="262" spans="1:23" s="44" customFormat="1" ht="12.75" customHeight="1" x14ac:dyDescent="0.2">
      <c r="A262" s="44" t="s">
        <v>287</v>
      </c>
      <c r="B262" s="49"/>
      <c r="C262" s="44" t="s">
        <v>288</v>
      </c>
      <c r="D262" s="35"/>
      <c r="E262" s="45">
        <v>653410</v>
      </c>
      <c r="F262" s="45"/>
      <c r="G262" s="45">
        <v>8229434</v>
      </c>
      <c r="H262" s="45"/>
      <c r="I262" s="45">
        <v>396603</v>
      </c>
      <c r="J262" s="45"/>
      <c r="K262" s="45">
        <v>1087021</v>
      </c>
      <c r="L262" s="45"/>
      <c r="M262" s="45">
        <v>3324549</v>
      </c>
      <c r="N262" s="45"/>
      <c r="O262" s="45">
        <v>0</v>
      </c>
      <c r="P262" s="45"/>
      <c r="Q262" s="45">
        <v>289341</v>
      </c>
      <c r="R262" s="45"/>
      <c r="S262" s="44">
        <f t="shared" si="7"/>
        <v>111809</v>
      </c>
      <c r="T262" s="45"/>
      <c r="U262" s="45">
        <v>14092167</v>
      </c>
      <c r="V262" s="35"/>
      <c r="W262" s="45">
        <v>17325</v>
      </c>
    </row>
    <row r="263" spans="1:23" s="49" customFormat="1" ht="12.75" customHeight="1" x14ac:dyDescent="0.2">
      <c r="A263" s="44" t="s">
        <v>471</v>
      </c>
      <c r="C263" s="44"/>
      <c r="D263" s="35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5"/>
      <c r="R263" s="44"/>
      <c r="S263" s="44"/>
      <c r="T263" s="45"/>
      <c r="U263" s="48"/>
    </row>
    <row r="264" spans="1:23" s="47" customFormat="1" ht="12.75" customHeight="1" x14ac:dyDescent="0.2">
      <c r="A264" s="49"/>
      <c r="B264" s="51"/>
      <c r="C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4"/>
      <c r="T264" s="49"/>
      <c r="U264" s="48"/>
    </row>
    <row r="265" spans="1:23" s="49" customFormat="1" ht="12.75" customHeight="1" x14ac:dyDescent="0.2">
      <c r="D265" s="47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8"/>
    </row>
    <row r="266" spans="1:23" s="49" customFormat="1" ht="12.75" customHeight="1" x14ac:dyDescent="0.2"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8"/>
    </row>
    <row r="267" spans="1:23" s="49" customFormat="1" ht="12.75" customHeight="1" x14ac:dyDescent="0.2"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8"/>
    </row>
    <row r="268" spans="1:23" s="49" customFormat="1" ht="12.75" customHeight="1" x14ac:dyDescent="0.2"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8"/>
    </row>
    <row r="269" spans="1:23" s="49" customFormat="1" ht="12.75" customHeight="1" x14ac:dyDescent="0.2">
      <c r="D269" s="47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8"/>
    </row>
    <row r="270" spans="1:23" s="49" customFormat="1" ht="12.75" customHeight="1" x14ac:dyDescent="0.2">
      <c r="D270" s="47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8"/>
    </row>
    <row r="271" spans="1:23" s="49" customFormat="1" ht="12.75" customHeight="1" x14ac:dyDescent="0.2">
      <c r="D271" s="47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8"/>
    </row>
    <row r="272" spans="1:23" s="49" customFormat="1" ht="12.75" customHeight="1" x14ac:dyDescent="0.2">
      <c r="D272" s="47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8"/>
    </row>
    <row r="273" spans="4:22" s="49" customFormat="1" ht="12.75" customHeight="1" x14ac:dyDescent="0.2">
      <c r="D273" s="47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8"/>
    </row>
    <row r="274" spans="4:22" s="49" customFormat="1" ht="12.75" customHeight="1" x14ac:dyDescent="0.2">
      <c r="D274" s="47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8"/>
    </row>
    <row r="275" spans="4:22" s="49" customFormat="1" ht="12.75" customHeight="1" x14ac:dyDescent="0.2">
      <c r="D275" s="47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8"/>
    </row>
    <row r="276" spans="4:22" s="49" customFormat="1" ht="12.75" customHeight="1" x14ac:dyDescent="0.2">
      <c r="D276" s="47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8"/>
    </row>
    <row r="277" spans="4:22" s="49" customFormat="1" ht="12.75" customHeight="1" x14ac:dyDescent="0.2">
      <c r="D277" s="47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8"/>
      <c r="V277" s="47"/>
    </row>
    <row r="278" spans="4:22" s="49" customFormat="1" ht="12.75" customHeight="1" x14ac:dyDescent="0.2">
      <c r="D278" s="47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8"/>
      <c r="V278" s="47"/>
    </row>
    <row r="279" spans="4:22" s="49" customFormat="1" ht="12.75" customHeight="1" x14ac:dyDescent="0.2">
      <c r="D279" s="47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8"/>
      <c r="V279" s="47"/>
    </row>
    <row r="280" spans="4:22" s="49" customFormat="1" ht="12.75" customHeight="1" x14ac:dyDescent="0.2">
      <c r="D280" s="47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8"/>
      <c r="V280" s="47"/>
    </row>
    <row r="281" spans="4:22" s="49" customFormat="1" ht="12.75" customHeight="1" x14ac:dyDescent="0.2">
      <c r="D281" s="47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8"/>
      <c r="V281" s="47"/>
    </row>
    <row r="282" spans="4:22" s="49" customFormat="1" ht="12.75" customHeight="1" x14ac:dyDescent="0.2">
      <c r="D282" s="47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8"/>
      <c r="V282" s="47"/>
    </row>
    <row r="283" spans="4:22" s="49" customFormat="1" ht="12.75" customHeight="1" x14ac:dyDescent="0.2">
      <c r="D283" s="47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8"/>
      <c r="V283" s="47"/>
    </row>
    <row r="284" spans="4:22" s="49" customFormat="1" ht="12.75" customHeight="1" x14ac:dyDescent="0.2">
      <c r="D284" s="47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8"/>
      <c r="V284" s="47"/>
    </row>
    <row r="285" spans="4:22" s="49" customFormat="1" ht="12.75" customHeight="1" x14ac:dyDescent="0.2">
      <c r="D285" s="47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8"/>
      <c r="V285" s="47"/>
    </row>
    <row r="286" spans="4:22" s="49" customFormat="1" ht="12.75" customHeight="1" x14ac:dyDescent="0.2">
      <c r="D286" s="47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8"/>
      <c r="V286" s="47"/>
    </row>
    <row r="287" spans="4:22" s="49" customFormat="1" ht="12.75" customHeight="1" x14ac:dyDescent="0.2">
      <c r="D287" s="47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8"/>
      <c r="V287" s="47"/>
    </row>
    <row r="288" spans="4:22" s="49" customFormat="1" ht="12.75" customHeight="1" x14ac:dyDescent="0.2">
      <c r="D288" s="47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8"/>
      <c r="V288" s="47"/>
    </row>
    <row r="289" spans="4:22" s="49" customFormat="1" ht="12.75" customHeight="1" x14ac:dyDescent="0.2">
      <c r="D289" s="47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8"/>
      <c r="V289" s="47"/>
    </row>
    <row r="290" spans="4:22" s="49" customFormat="1" ht="12.75" customHeight="1" x14ac:dyDescent="0.2">
      <c r="D290" s="47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8"/>
      <c r="V290" s="47"/>
    </row>
    <row r="291" spans="4:22" s="49" customFormat="1" ht="12.75" customHeight="1" x14ac:dyDescent="0.2">
      <c r="D291" s="47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8"/>
      <c r="V291" s="47"/>
    </row>
    <row r="292" spans="4:22" s="49" customFormat="1" ht="12.75" customHeight="1" x14ac:dyDescent="0.2">
      <c r="D292" s="47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8"/>
      <c r="V292" s="47"/>
    </row>
    <row r="293" spans="4:22" s="49" customFormat="1" ht="12.75" customHeight="1" x14ac:dyDescent="0.2">
      <c r="D293" s="47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8"/>
      <c r="V293" s="47"/>
    </row>
    <row r="294" spans="4:22" s="49" customFormat="1" ht="12.75" customHeight="1" x14ac:dyDescent="0.2">
      <c r="D294" s="47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8"/>
      <c r="V294" s="47"/>
    </row>
    <row r="295" spans="4:22" s="49" customFormat="1" ht="12.75" customHeight="1" x14ac:dyDescent="0.2">
      <c r="D295" s="47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8"/>
      <c r="V295" s="47"/>
    </row>
    <row r="296" spans="4:22" s="49" customFormat="1" ht="12.75" customHeight="1" x14ac:dyDescent="0.2">
      <c r="D296" s="47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8"/>
      <c r="V296" s="47"/>
    </row>
    <row r="297" spans="4:22" s="49" customFormat="1" ht="12.75" customHeight="1" x14ac:dyDescent="0.2">
      <c r="D297" s="47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8"/>
      <c r="V297" s="47"/>
    </row>
    <row r="298" spans="4:22" s="49" customFormat="1" ht="12.75" customHeight="1" x14ac:dyDescent="0.2">
      <c r="D298" s="47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8"/>
      <c r="V298" s="47"/>
    </row>
    <row r="299" spans="4:22" s="49" customFormat="1" ht="12.75" customHeight="1" x14ac:dyDescent="0.2">
      <c r="D299" s="47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8"/>
      <c r="V299" s="47"/>
    </row>
    <row r="300" spans="4:22" s="49" customFormat="1" ht="12.75" customHeight="1" x14ac:dyDescent="0.2">
      <c r="D300" s="47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8"/>
      <c r="V300" s="47"/>
    </row>
    <row r="301" spans="4:22" s="49" customFormat="1" ht="12.75" customHeight="1" x14ac:dyDescent="0.2">
      <c r="D301" s="47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8"/>
      <c r="V301" s="47"/>
    </row>
    <row r="302" spans="4:22" s="49" customFormat="1" ht="12.75" customHeight="1" x14ac:dyDescent="0.2">
      <c r="D302" s="47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8"/>
      <c r="V302" s="47"/>
    </row>
    <row r="303" spans="4:22" s="49" customFormat="1" ht="12.75" customHeight="1" x14ac:dyDescent="0.2">
      <c r="D303" s="47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8"/>
      <c r="V303" s="47"/>
    </row>
    <row r="304" spans="4:22" s="49" customFormat="1" ht="12.75" customHeight="1" x14ac:dyDescent="0.2">
      <c r="D304" s="47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8"/>
      <c r="V304" s="47"/>
    </row>
    <row r="305" spans="4:22" s="49" customFormat="1" ht="12.75" customHeight="1" x14ac:dyDescent="0.2">
      <c r="D305" s="47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8"/>
      <c r="V305" s="47"/>
    </row>
    <row r="306" spans="4:22" s="49" customFormat="1" ht="12.75" customHeight="1" x14ac:dyDescent="0.2">
      <c r="D306" s="47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8"/>
      <c r="V306" s="47"/>
    </row>
    <row r="307" spans="4:22" s="49" customFormat="1" ht="12.75" customHeight="1" x14ac:dyDescent="0.2">
      <c r="D307" s="47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8"/>
      <c r="V307" s="47"/>
    </row>
    <row r="308" spans="4:22" s="49" customFormat="1" ht="12.75" customHeight="1" x14ac:dyDescent="0.2">
      <c r="D308" s="47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8"/>
      <c r="V308" s="47"/>
    </row>
    <row r="309" spans="4:22" s="49" customFormat="1" ht="12.75" customHeight="1" x14ac:dyDescent="0.2">
      <c r="D309" s="47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8"/>
      <c r="V309" s="47"/>
    </row>
    <row r="310" spans="4:22" s="49" customFormat="1" ht="12.75" customHeight="1" x14ac:dyDescent="0.2">
      <c r="D310" s="47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8"/>
      <c r="V310" s="47"/>
    </row>
    <row r="311" spans="4:22" s="49" customFormat="1" ht="12.75" customHeight="1" x14ac:dyDescent="0.2">
      <c r="D311" s="47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8"/>
      <c r="V311" s="47"/>
    </row>
    <row r="312" spans="4:22" s="49" customFormat="1" ht="12.75" customHeight="1" x14ac:dyDescent="0.2">
      <c r="D312" s="47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8"/>
      <c r="V312" s="47"/>
    </row>
    <row r="313" spans="4:22" s="49" customFormat="1" ht="12.75" customHeight="1" x14ac:dyDescent="0.2">
      <c r="D313" s="47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8"/>
      <c r="V313" s="47"/>
    </row>
    <row r="314" spans="4:22" s="49" customFormat="1" ht="12.75" customHeight="1" x14ac:dyDescent="0.2">
      <c r="D314" s="47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8"/>
      <c r="V314" s="47"/>
    </row>
    <row r="315" spans="4:22" s="49" customFormat="1" ht="12.75" customHeight="1" x14ac:dyDescent="0.2">
      <c r="D315" s="47"/>
      <c r="S315" s="44"/>
      <c r="U315" s="48"/>
      <c r="V315" s="47"/>
    </row>
    <row r="316" spans="4:22" s="49" customFormat="1" ht="12.75" customHeight="1" x14ac:dyDescent="0.2">
      <c r="D316" s="47"/>
      <c r="S316" s="44"/>
      <c r="U316" s="48"/>
      <c r="V316" s="47"/>
    </row>
    <row r="317" spans="4:22" s="49" customFormat="1" ht="12.75" customHeight="1" x14ac:dyDescent="0.2">
      <c r="D317" s="47"/>
      <c r="S317" s="44"/>
      <c r="U317" s="48"/>
      <c r="V317" s="47"/>
    </row>
    <row r="318" spans="4:22" s="49" customFormat="1" ht="12.75" customHeight="1" x14ac:dyDescent="0.2">
      <c r="D318" s="47"/>
      <c r="S318" s="44"/>
      <c r="U318" s="48"/>
      <c r="V318" s="47"/>
    </row>
    <row r="319" spans="4:22" s="49" customFormat="1" ht="12.75" customHeight="1" x14ac:dyDescent="0.2">
      <c r="D319" s="47"/>
      <c r="S319" s="44"/>
      <c r="U319" s="48"/>
      <c r="V319" s="47"/>
    </row>
    <row r="320" spans="4:22" s="49" customFormat="1" ht="12.75" customHeight="1" x14ac:dyDescent="0.2">
      <c r="D320" s="47"/>
      <c r="S320" s="44"/>
      <c r="U320" s="48"/>
      <c r="V320" s="47"/>
    </row>
    <row r="321" spans="1:22" s="49" customFormat="1" ht="12.75" customHeight="1" x14ac:dyDescent="0.2">
      <c r="D321" s="47"/>
      <c r="S321" s="44"/>
      <c r="U321" s="48"/>
      <c r="V321" s="47"/>
    </row>
    <row r="322" spans="1:22" s="49" customFormat="1" ht="12.75" customHeight="1" x14ac:dyDescent="0.2">
      <c r="D322" s="47"/>
      <c r="S322" s="44"/>
      <c r="U322" s="48"/>
      <c r="V322" s="47"/>
    </row>
    <row r="323" spans="1:22" s="49" customFormat="1" ht="12.75" customHeight="1" x14ac:dyDescent="0.2">
      <c r="D323" s="47"/>
      <c r="S323" s="44"/>
      <c r="U323" s="48"/>
      <c r="V323" s="47"/>
    </row>
    <row r="324" spans="1:22" s="49" customFormat="1" ht="12.75" customHeight="1" x14ac:dyDescent="0.2">
      <c r="D324" s="47"/>
      <c r="S324" s="44"/>
      <c r="U324" s="48"/>
      <c r="V324" s="47"/>
    </row>
    <row r="325" spans="1:22" s="49" customFormat="1" ht="12.75" customHeight="1" x14ac:dyDescent="0.2">
      <c r="D325" s="47"/>
      <c r="S325" s="44"/>
      <c r="U325" s="48"/>
      <c r="V325" s="47"/>
    </row>
    <row r="326" spans="1:22" s="49" customFormat="1" ht="12.75" customHeight="1" x14ac:dyDescent="0.2">
      <c r="D326" s="47"/>
      <c r="S326" s="44"/>
      <c r="U326" s="48"/>
      <c r="V326" s="47"/>
    </row>
    <row r="327" spans="1:22" s="49" customFormat="1" ht="12.75" customHeight="1" x14ac:dyDescent="0.2">
      <c r="D327" s="47"/>
      <c r="S327" s="44"/>
      <c r="U327" s="48"/>
      <c r="V327" s="47"/>
    </row>
    <row r="328" spans="1:22" s="49" customFormat="1" ht="12.75" customHeight="1" x14ac:dyDescent="0.2">
      <c r="D328" s="47"/>
      <c r="S328" s="44"/>
      <c r="U328" s="48"/>
      <c r="V328" s="47"/>
    </row>
    <row r="329" spans="1:22" s="49" customFormat="1" ht="12.75" customHeight="1" x14ac:dyDescent="0.2">
      <c r="D329" s="47"/>
      <c r="S329" s="44"/>
      <c r="U329" s="48"/>
      <c r="V329" s="47"/>
    </row>
    <row r="330" spans="1:22" s="49" customFormat="1" ht="12.75" customHeight="1" x14ac:dyDescent="0.2">
      <c r="D330" s="47"/>
      <c r="S330" s="44"/>
      <c r="U330" s="48"/>
      <c r="V330" s="47"/>
    </row>
    <row r="331" spans="1:22" s="49" customFormat="1" ht="12.75" customHeight="1" x14ac:dyDescent="0.2">
      <c r="D331" s="47"/>
      <c r="S331" s="44"/>
      <c r="U331" s="48"/>
      <c r="V331" s="47"/>
    </row>
    <row r="332" spans="1:22" s="49" customFormat="1" ht="12.75" customHeight="1" x14ac:dyDescent="0.2">
      <c r="D332" s="47"/>
      <c r="S332" s="44"/>
      <c r="U332" s="48"/>
      <c r="V332" s="47"/>
    </row>
    <row r="333" spans="1:22" s="47" customFormat="1" ht="12.75" customHeight="1" x14ac:dyDescent="0.2">
      <c r="A333" s="49"/>
      <c r="C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4"/>
      <c r="T333" s="49"/>
      <c r="U333" s="48"/>
    </row>
    <row r="334" spans="1:22" s="47" customFormat="1" ht="12.75" customHeight="1" x14ac:dyDescent="0.2">
      <c r="A334" s="49"/>
      <c r="C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4"/>
      <c r="T334" s="49"/>
      <c r="U334" s="48"/>
    </row>
    <row r="335" spans="1:22" s="47" customFormat="1" ht="12.75" customHeight="1" x14ac:dyDescent="0.2">
      <c r="A335" s="49"/>
      <c r="C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4"/>
      <c r="T335" s="49"/>
      <c r="U335" s="48"/>
    </row>
    <row r="336" spans="1:22" s="47" customFormat="1" ht="12.75" customHeight="1" x14ac:dyDescent="0.2">
      <c r="A336" s="49"/>
      <c r="B336" s="51"/>
      <c r="C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4"/>
      <c r="T336" s="49"/>
      <c r="U336" s="48"/>
    </row>
    <row r="337" spans="1:21" s="47" customFormat="1" ht="12.75" customHeight="1" x14ac:dyDescent="0.2">
      <c r="A337" s="49"/>
      <c r="B337" s="51"/>
      <c r="C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4"/>
      <c r="T337" s="49"/>
      <c r="U337" s="48"/>
    </row>
    <row r="338" spans="1:21" s="47" customFormat="1" ht="12.75" customHeight="1" x14ac:dyDescent="0.2">
      <c r="A338" s="49"/>
      <c r="B338" s="51"/>
      <c r="C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4"/>
      <c r="T338" s="49"/>
      <c r="U338" s="48"/>
    </row>
    <row r="339" spans="1:21" s="47" customFormat="1" ht="12.75" customHeight="1" x14ac:dyDescent="0.2">
      <c r="A339" s="49"/>
      <c r="B339" s="51"/>
      <c r="C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4"/>
      <c r="T339" s="49"/>
      <c r="U339" s="48"/>
    </row>
    <row r="340" spans="1:21" s="47" customFormat="1" ht="12.75" customHeight="1" x14ac:dyDescent="0.2">
      <c r="A340" s="49"/>
      <c r="B340" s="51"/>
      <c r="C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4"/>
      <c r="T340" s="49"/>
      <c r="U340" s="48"/>
    </row>
    <row r="341" spans="1:21" s="47" customFormat="1" ht="12.75" customHeight="1" x14ac:dyDescent="0.2">
      <c r="A341" s="49"/>
      <c r="B341" s="51"/>
      <c r="C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4"/>
      <c r="T341" s="49"/>
      <c r="U341" s="48"/>
    </row>
    <row r="342" spans="1:21" s="47" customFormat="1" ht="12.75" customHeight="1" x14ac:dyDescent="0.2">
      <c r="A342" s="49"/>
      <c r="B342" s="51"/>
      <c r="C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4"/>
      <c r="T342" s="49"/>
      <c r="U342" s="48"/>
    </row>
  </sheetData>
  <phoneticPr fontId="4" type="noConversion"/>
  <pageMargins left="0.75" right="0.75" top="0.5" bottom="0.8" header="0" footer="0.25"/>
  <pageSetup scale="91" firstPageNumber="52" pageOrder="overThenDown" orientation="portrait" useFirstPageNumber="1" r:id="rId1"/>
  <headerFooter alignWithMargins="0">
    <oddFooter>&amp;C&amp;"Times New Roman,Regular"&amp;11&amp;P</oddFooter>
  </headerFooter>
  <rowBreaks count="4" manualBreakCount="4">
    <brk id="59" max="22" man="1"/>
    <brk id="110" max="22" man="1"/>
    <brk id="162" max="22" man="1"/>
    <brk id="211" max="22" man="1"/>
  </rowBreaks>
  <colBreaks count="1" manualBreakCount="1">
    <brk id="11" min="9" max="25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63"/>
  <sheetViews>
    <sheetView view="pageBreakPreview" zoomScale="70" zoomScaleNormal="100" zoomScaleSheetLayoutView="70" workbookViewId="0">
      <pane xSplit="3" ySplit="8" topLeftCell="L9" activePane="bottomRight" state="frozen"/>
      <selection pane="topRight" activeCell="D1" sqref="D1"/>
      <selection pane="bottomLeft" activeCell="A9" sqref="A9"/>
      <selection pane="bottomRight" activeCell="A4" sqref="A4"/>
    </sheetView>
  </sheetViews>
  <sheetFormatPr defaultColWidth="0" defaultRowHeight="12.75" customHeight="1" x14ac:dyDescent="0.2"/>
  <cols>
    <col min="1" max="1" width="20.5703125" style="11" customWidth="1"/>
    <col min="2" max="2" width="1.5703125" customWidth="1"/>
    <col min="3" max="3" width="11.5703125" style="11" customWidth="1"/>
    <col min="4" max="4" width="1.5703125" style="10" customWidth="1"/>
    <col min="5" max="5" width="12" style="17" bestFit="1" customWidth="1"/>
    <col min="6" max="6" width="1.5703125" style="17" customWidth="1"/>
    <col min="7" max="7" width="12.140625" style="17" bestFit="1" customWidth="1"/>
    <col min="8" max="8" width="1.5703125" style="17" customWidth="1"/>
    <col min="9" max="9" width="10.28515625" style="17" bestFit="1" customWidth="1"/>
    <col min="10" max="10" width="1.5703125" style="17" customWidth="1"/>
    <col min="11" max="11" width="10.28515625" style="17" bestFit="1" customWidth="1"/>
    <col min="12" max="12" width="1.5703125" style="17" customWidth="1"/>
    <col min="13" max="13" width="11.7109375" style="17" bestFit="1" customWidth="1"/>
    <col min="14" max="14" width="1.5703125" style="17" customWidth="1"/>
    <col min="15" max="15" width="10.28515625" style="17" bestFit="1" customWidth="1"/>
    <col min="16" max="16" width="0.5703125" style="17" customWidth="1"/>
    <col min="17" max="17" width="11" style="17" bestFit="1" customWidth="1"/>
    <col min="18" max="18" width="1.42578125" style="17" customWidth="1"/>
    <col min="19" max="19" width="10" style="17" bestFit="1" customWidth="1"/>
    <col min="20" max="20" width="1.28515625" style="17" customWidth="1"/>
    <col min="21" max="21" width="10.42578125" style="17" bestFit="1" customWidth="1"/>
    <col min="22" max="22" width="1.42578125" style="17" customWidth="1"/>
    <col min="23" max="23" width="9.28515625" style="17" bestFit="1" customWidth="1"/>
    <col min="24" max="24" width="1.28515625" style="17" customWidth="1"/>
    <col min="25" max="25" width="11.140625" style="17" bestFit="1" customWidth="1"/>
    <col min="26" max="26" width="1.42578125" customWidth="1"/>
    <col min="27" max="27" width="10" customWidth="1"/>
    <col min="28" max="28" width="1.42578125" customWidth="1"/>
    <col min="29" max="29" width="12.140625" style="17" bestFit="1" customWidth="1"/>
    <col min="30" max="30" width="1" style="17" customWidth="1"/>
    <col min="31" max="31" width="6.28515625" style="17" customWidth="1"/>
    <col min="32" max="32" width="1.28515625" style="17" customWidth="1"/>
    <col min="33" max="33" width="12" style="17" customWidth="1"/>
    <col min="34" max="34" width="3.28515625" style="17" customWidth="1"/>
    <col min="35" max="35" width="12.7109375" style="17" customWidth="1"/>
    <col min="36" max="36" width="1.140625" style="17" customWidth="1"/>
    <col min="37" max="37" width="12.85546875" style="17" customWidth="1"/>
    <col min="38" max="38" width="1.7109375" style="17" customWidth="1"/>
    <col min="39" max="42" width="11.7109375" style="17" customWidth="1"/>
    <col min="43" max="43" width="1.7109375" style="17" customWidth="1"/>
    <col min="44" max="44" width="9.28515625" style="10" hidden="1" customWidth="1"/>
    <col min="45" max="16384" width="0" style="10" hidden="1"/>
  </cols>
  <sheetData>
    <row r="1" spans="1:45" s="9" customFormat="1" ht="12.75" customHeight="1" x14ac:dyDescent="0.2">
      <c r="A1" s="23" t="s">
        <v>388</v>
      </c>
      <c r="C1" s="24"/>
      <c r="D1" s="10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7"/>
      <c r="AS1" s="27"/>
    </row>
    <row r="2" spans="1:45" s="9" customFormat="1" ht="12.75" customHeight="1" x14ac:dyDescent="0.2">
      <c r="A2" s="23" t="s">
        <v>501</v>
      </c>
      <c r="C2" s="24"/>
      <c r="D2" s="10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7"/>
      <c r="AS2" s="27"/>
    </row>
    <row r="3" spans="1:45" ht="12.75" customHeight="1" x14ac:dyDescent="0.2">
      <c r="A3" s="24" t="s">
        <v>289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9"/>
      <c r="AS3" s="19"/>
    </row>
    <row r="4" spans="1:45" ht="12.75" customHeight="1" x14ac:dyDescent="0.2">
      <c r="A4" s="22" t="s">
        <v>484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9"/>
      <c r="AS4" s="19"/>
    </row>
    <row r="6" spans="1:45" s="12" customFormat="1" ht="12.75" customHeight="1" x14ac:dyDescent="0.2">
      <c r="A6" s="25"/>
      <c r="C6" s="25"/>
      <c r="E6" s="25"/>
      <c r="F6" s="25"/>
      <c r="G6" s="25" t="s">
        <v>396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AC6" s="25" t="s">
        <v>417</v>
      </c>
      <c r="AD6" s="25"/>
      <c r="AE6" s="25"/>
      <c r="AF6" s="25"/>
      <c r="AG6" s="25"/>
      <c r="AH6" s="25"/>
      <c r="AI6" s="25" t="s">
        <v>325</v>
      </c>
      <c r="AJ6" s="25"/>
      <c r="AK6" s="25" t="s">
        <v>454</v>
      </c>
      <c r="AL6" s="25"/>
      <c r="AM6" s="25"/>
      <c r="AN6" s="25"/>
      <c r="AO6" s="25"/>
      <c r="AP6" s="25"/>
      <c r="AQ6" s="25"/>
      <c r="AR6" s="15"/>
      <c r="AS6" s="15"/>
    </row>
    <row r="7" spans="1:45" s="30" customFormat="1" ht="12.75" customHeight="1" x14ac:dyDescent="0.2">
      <c r="A7" s="26"/>
      <c r="C7" s="26"/>
      <c r="D7" s="25"/>
      <c r="E7" s="25" t="s">
        <v>296</v>
      </c>
      <c r="F7" s="25"/>
      <c r="G7" s="30" t="s">
        <v>422</v>
      </c>
      <c r="H7" s="25"/>
      <c r="I7" s="25" t="s">
        <v>333</v>
      </c>
      <c r="J7" s="25"/>
      <c r="K7" s="25"/>
      <c r="L7" s="25"/>
      <c r="M7" s="25"/>
      <c r="N7" s="25"/>
      <c r="O7" s="25" t="s">
        <v>306</v>
      </c>
      <c r="P7" s="25"/>
      <c r="Q7" s="25" t="s">
        <v>334</v>
      </c>
      <c r="R7" s="25"/>
      <c r="S7" s="25" t="s">
        <v>4</v>
      </c>
      <c r="T7" s="25"/>
      <c r="U7" s="25" t="s">
        <v>327</v>
      </c>
      <c r="V7" s="25"/>
      <c r="W7" s="25"/>
      <c r="X7" s="25"/>
      <c r="Y7" s="25" t="s">
        <v>344</v>
      </c>
      <c r="AA7" s="30" t="s">
        <v>294</v>
      </c>
      <c r="AC7" s="25" t="s">
        <v>418</v>
      </c>
      <c r="AD7" s="25"/>
      <c r="AE7" s="25" t="s">
        <v>447</v>
      </c>
      <c r="AF7" s="25"/>
      <c r="AG7" s="25" t="s">
        <v>432</v>
      </c>
      <c r="AH7" s="25"/>
      <c r="AI7" s="25" t="s">
        <v>452</v>
      </c>
      <c r="AJ7" s="25"/>
      <c r="AK7" s="25" t="s">
        <v>455</v>
      </c>
      <c r="AL7" s="25"/>
      <c r="AM7" s="25" t="s">
        <v>428</v>
      </c>
      <c r="AN7" s="25"/>
      <c r="AO7" s="25"/>
      <c r="AP7" s="25"/>
      <c r="AQ7" s="25"/>
      <c r="AR7" s="25"/>
      <c r="AS7" s="25"/>
    </row>
    <row r="8" spans="1:45" s="98" customFormat="1" ht="12.75" customHeight="1" x14ac:dyDescent="0.2">
      <c r="A8" s="99" t="s">
        <v>8</v>
      </c>
      <c r="C8" s="99" t="s">
        <v>9</v>
      </c>
      <c r="D8" s="26"/>
      <c r="E8" s="100" t="s">
        <v>314</v>
      </c>
      <c r="F8" s="26"/>
      <c r="G8" s="100" t="s">
        <v>293</v>
      </c>
      <c r="H8" s="26"/>
      <c r="I8" s="100" t="s">
        <v>335</v>
      </c>
      <c r="J8" s="26"/>
      <c r="K8" s="100" t="s">
        <v>309</v>
      </c>
      <c r="L8" s="26"/>
      <c r="M8" s="100" t="s">
        <v>312</v>
      </c>
      <c r="N8" s="26"/>
      <c r="O8" s="100" t="s">
        <v>336</v>
      </c>
      <c r="P8" s="26"/>
      <c r="Q8" s="100" t="s">
        <v>337</v>
      </c>
      <c r="R8" s="26"/>
      <c r="S8" s="100" t="s">
        <v>338</v>
      </c>
      <c r="T8" s="26"/>
      <c r="U8" s="100" t="s">
        <v>331</v>
      </c>
      <c r="V8" s="26"/>
      <c r="W8" s="100" t="s">
        <v>339</v>
      </c>
      <c r="X8" s="26"/>
      <c r="Y8" s="100" t="s">
        <v>340</v>
      </c>
      <c r="AA8" s="99" t="s">
        <v>337</v>
      </c>
      <c r="AC8" s="99" t="s">
        <v>337</v>
      </c>
      <c r="AD8" s="26"/>
      <c r="AE8" s="99" t="s">
        <v>443</v>
      </c>
      <c r="AF8" s="26"/>
      <c r="AG8" s="99" t="s">
        <v>433</v>
      </c>
      <c r="AH8" s="26"/>
      <c r="AI8" s="99" t="s">
        <v>453</v>
      </c>
      <c r="AJ8" s="26"/>
      <c r="AK8" s="99" t="s">
        <v>431</v>
      </c>
      <c r="AL8" s="26"/>
      <c r="AM8" s="101" t="s">
        <v>429</v>
      </c>
      <c r="AN8" s="26"/>
      <c r="AO8" s="26"/>
      <c r="AP8" s="26"/>
      <c r="AQ8" s="26"/>
      <c r="AR8" s="26"/>
      <c r="AS8" s="26"/>
    </row>
    <row r="9" spans="1:45" s="98" customFormat="1" ht="12.75" customHeight="1" x14ac:dyDescent="0.2">
      <c r="A9" s="26"/>
      <c r="C9" s="26"/>
      <c r="D9" s="26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26"/>
      <c r="AS9" s="26"/>
    </row>
    <row r="10" spans="1:45" s="46" customFormat="1" ht="12.75" hidden="1" customHeight="1" x14ac:dyDescent="0.2">
      <c r="A10" s="64" t="s">
        <v>12</v>
      </c>
      <c r="C10" s="64" t="s">
        <v>13</v>
      </c>
      <c r="E10" s="94">
        <v>14422409</v>
      </c>
      <c r="F10" s="94"/>
      <c r="G10" s="94">
        <f>26407039+85233000</f>
        <v>111640039</v>
      </c>
      <c r="H10" s="94"/>
      <c r="I10" s="94">
        <v>1854121</v>
      </c>
      <c r="J10" s="94"/>
      <c r="K10" s="94">
        <v>2685401</v>
      </c>
      <c r="L10" s="94"/>
      <c r="M10" s="94">
        <v>0</v>
      </c>
      <c r="N10" s="94"/>
      <c r="O10" s="94">
        <v>3313918</v>
      </c>
      <c r="P10" s="94"/>
      <c r="Q10" s="94">
        <v>0</v>
      </c>
      <c r="R10" s="94"/>
      <c r="S10" s="94">
        <v>0</v>
      </c>
      <c r="T10" s="94"/>
      <c r="U10" s="94">
        <v>0</v>
      </c>
      <c r="V10" s="94"/>
      <c r="W10" s="94">
        <v>61453</v>
      </c>
      <c r="X10" s="94"/>
      <c r="Y10" s="94">
        <v>23768</v>
      </c>
      <c r="AA10" s="46">
        <v>0</v>
      </c>
      <c r="AC10" s="94">
        <f t="shared" ref="AC10" si="0">SUM(E10:AA10)</f>
        <v>134001109</v>
      </c>
      <c r="AD10" s="94"/>
      <c r="AE10" s="68">
        <v>0</v>
      </c>
      <c r="AF10" s="68"/>
      <c r="AG10" s="94">
        <v>5938822</v>
      </c>
      <c r="AH10" s="94"/>
      <c r="AI10" s="45">
        <v>2693289</v>
      </c>
      <c r="AJ10" s="45"/>
      <c r="AK10" s="45">
        <v>0</v>
      </c>
      <c r="AL10" s="94"/>
      <c r="AM10" s="94">
        <f>+'Gen rev'!U10-'Gen exp'!AC10-AG10+'Gen rev'!W10+AI10+AK10-'Gen Bal'!S10-'Gen exp'!AE10</f>
        <v>0</v>
      </c>
      <c r="AN10" s="94"/>
      <c r="AO10" s="94"/>
      <c r="AP10" s="94"/>
      <c r="AQ10" s="94"/>
      <c r="AR10" s="90"/>
      <c r="AS10" s="64"/>
    </row>
    <row r="11" spans="1:45" s="46" customFormat="1" ht="12.75" customHeight="1" x14ac:dyDescent="0.2">
      <c r="A11" s="64" t="s">
        <v>14</v>
      </c>
      <c r="C11" s="64" t="s">
        <v>15</v>
      </c>
      <c r="E11" s="94">
        <v>2633737</v>
      </c>
      <c r="F11" s="94"/>
      <c r="G11" s="94">
        <v>7100946</v>
      </c>
      <c r="H11" s="94"/>
      <c r="I11" s="94">
        <v>134055</v>
      </c>
      <c r="J11" s="94"/>
      <c r="K11" s="94">
        <v>603902</v>
      </c>
      <c r="L11" s="94"/>
      <c r="M11" s="94">
        <v>0</v>
      </c>
      <c r="N11" s="94"/>
      <c r="O11" s="94">
        <v>631225</v>
      </c>
      <c r="P11" s="94"/>
      <c r="Q11" s="94">
        <v>55238</v>
      </c>
      <c r="R11" s="94"/>
      <c r="S11" s="94">
        <v>0</v>
      </c>
      <c r="T11" s="94"/>
      <c r="U11" s="94">
        <v>0</v>
      </c>
      <c r="V11" s="94"/>
      <c r="W11" s="94">
        <v>0</v>
      </c>
      <c r="X11" s="94"/>
      <c r="Y11" s="94">
        <v>0</v>
      </c>
      <c r="AA11" s="46">
        <v>0</v>
      </c>
      <c r="AC11" s="94">
        <f t="shared" ref="AC11:AC70" si="1">SUM(E11:AA11)</f>
        <v>11159103</v>
      </c>
      <c r="AD11" s="94"/>
      <c r="AE11" s="68">
        <v>0</v>
      </c>
      <c r="AF11" s="68"/>
      <c r="AG11" s="94">
        <v>1303087</v>
      </c>
      <c r="AH11" s="94"/>
      <c r="AI11" s="45">
        <v>5244095</v>
      </c>
      <c r="AJ11" s="45"/>
      <c r="AK11" s="45">
        <v>0</v>
      </c>
      <c r="AL11" s="94"/>
      <c r="AM11" s="94">
        <f>+'Gen rev'!U11-'Gen exp'!AC11-AG11+'Gen rev'!W11+AI11+AK11-'Gen Bal'!S11-'Gen exp'!AE11</f>
        <v>0</v>
      </c>
      <c r="AN11" s="94"/>
      <c r="AO11" s="94"/>
      <c r="AP11" s="94"/>
      <c r="AQ11" s="94"/>
      <c r="AR11" s="90"/>
      <c r="AS11" s="64"/>
    </row>
    <row r="12" spans="1:45" s="49" customFormat="1" ht="12.75" customHeight="1" x14ac:dyDescent="0.2">
      <c r="A12" s="28" t="s">
        <v>16</v>
      </c>
      <c r="C12" s="28" t="s">
        <v>17</v>
      </c>
      <c r="E12" s="45">
        <v>951452</v>
      </c>
      <c r="F12" s="45"/>
      <c r="G12" s="45">
        <v>3287628</v>
      </c>
      <c r="H12" s="45"/>
      <c r="I12" s="45">
        <v>117204</v>
      </c>
      <c r="J12" s="45"/>
      <c r="K12" s="45">
        <v>58800</v>
      </c>
      <c r="L12" s="45"/>
      <c r="M12" s="45">
        <v>0</v>
      </c>
      <c r="N12" s="45"/>
      <c r="O12" s="45">
        <v>0</v>
      </c>
      <c r="P12" s="45"/>
      <c r="Q12" s="45">
        <v>0</v>
      </c>
      <c r="R12" s="45"/>
      <c r="S12" s="45">
        <v>45456</v>
      </c>
      <c r="T12" s="45"/>
      <c r="U12" s="45">
        <v>0</v>
      </c>
      <c r="V12" s="45"/>
      <c r="W12" s="45">
        <v>0</v>
      </c>
      <c r="X12" s="45"/>
      <c r="Y12" s="45">
        <v>0</v>
      </c>
      <c r="Z12" s="44"/>
      <c r="AA12" s="45">
        <v>0</v>
      </c>
      <c r="AB12" s="44"/>
      <c r="AC12" s="45">
        <f t="shared" si="1"/>
        <v>4460540</v>
      </c>
      <c r="AD12" s="45"/>
      <c r="AE12" s="48">
        <v>0</v>
      </c>
      <c r="AF12" s="48"/>
      <c r="AG12" s="45">
        <v>575711</v>
      </c>
      <c r="AH12" s="45"/>
      <c r="AI12" s="45">
        <v>2262504</v>
      </c>
      <c r="AJ12" s="45"/>
      <c r="AK12" s="45">
        <v>0</v>
      </c>
      <c r="AL12" s="45"/>
      <c r="AM12" s="45">
        <f>+'Gen rev'!U12-'Gen exp'!AC12-AG12+'Gen rev'!W12+AI12+AK12-'Gen Bal'!S12-'Gen exp'!AE12</f>
        <v>0</v>
      </c>
      <c r="AN12" s="45"/>
      <c r="AO12" s="45"/>
      <c r="AP12" s="45"/>
      <c r="AQ12" s="45"/>
      <c r="AR12" s="52"/>
      <c r="AS12" s="50"/>
    </row>
    <row r="13" spans="1:45" s="49" customFormat="1" ht="12.75" customHeight="1" x14ac:dyDescent="0.2">
      <c r="A13" s="28" t="s">
        <v>18</v>
      </c>
      <c r="C13" s="28" t="s">
        <v>18</v>
      </c>
      <c r="E13" s="45">
        <v>4510324</v>
      </c>
      <c r="F13" s="45"/>
      <c r="G13" s="45">
        <v>5618293</v>
      </c>
      <c r="H13" s="45"/>
      <c r="I13" s="45">
        <v>130231</v>
      </c>
      <c r="J13" s="45"/>
      <c r="K13" s="45">
        <v>295067</v>
      </c>
      <c r="L13" s="45"/>
      <c r="M13" s="45">
        <v>0</v>
      </c>
      <c r="N13" s="45"/>
      <c r="O13" s="45">
        <v>0</v>
      </c>
      <c r="P13" s="45"/>
      <c r="Q13" s="45">
        <v>0</v>
      </c>
      <c r="R13" s="45"/>
      <c r="S13" s="45">
        <v>188414</v>
      </c>
      <c r="T13" s="45"/>
      <c r="U13" s="45">
        <v>0</v>
      </c>
      <c r="V13" s="45"/>
      <c r="W13" s="45">
        <v>0</v>
      </c>
      <c r="X13" s="45"/>
      <c r="Y13" s="45">
        <v>0</v>
      </c>
      <c r="Z13" s="44"/>
      <c r="AA13" s="45">
        <v>0</v>
      </c>
      <c r="AB13" s="44"/>
      <c r="AC13" s="45">
        <f t="shared" si="1"/>
        <v>10742329</v>
      </c>
      <c r="AD13" s="45"/>
      <c r="AE13" s="48">
        <v>0</v>
      </c>
      <c r="AF13" s="48"/>
      <c r="AG13" s="45">
        <v>909019</v>
      </c>
      <c r="AH13" s="45"/>
      <c r="AI13" s="45">
        <v>2024471</v>
      </c>
      <c r="AJ13" s="45"/>
      <c r="AK13" s="45">
        <v>0</v>
      </c>
      <c r="AL13" s="45"/>
      <c r="AM13" s="45">
        <f>+'Gen rev'!U13-'Gen exp'!AC13-AG13+'Gen rev'!W13+AI13+AK13-'Gen Bal'!S13-'Gen exp'!AE13</f>
        <v>0</v>
      </c>
      <c r="AN13" s="45"/>
      <c r="AO13" s="45"/>
      <c r="AP13" s="45"/>
      <c r="AQ13" s="45"/>
      <c r="AR13" s="52"/>
      <c r="AS13" s="50"/>
    </row>
    <row r="14" spans="1:45" s="129" customFormat="1" ht="12.75" hidden="1" customHeight="1" x14ac:dyDescent="0.2">
      <c r="A14" s="150" t="s">
        <v>19</v>
      </c>
      <c r="C14" s="150" t="s">
        <v>19</v>
      </c>
      <c r="E14" s="127">
        <f>2539265+1064433</f>
        <v>3603698</v>
      </c>
      <c r="F14" s="127"/>
      <c r="G14" s="127">
        <f>2984663+2391106</f>
        <v>5375769</v>
      </c>
      <c r="H14" s="127"/>
      <c r="I14" s="127">
        <v>68513</v>
      </c>
      <c r="J14" s="127"/>
      <c r="K14" s="127">
        <v>181563</v>
      </c>
      <c r="L14" s="127"/>
      <c r="M14" s="127">
        <v>2223</v>
      </c>
      <c r="N14" s="127"/>
      <c r="O14" s="127">
        <v>0</v>
      </c>
      <c r="P14" s="127"/>
      <c r="Q14" s="127">
        <v>21122</v>
      </c>
      <c r="R14" s="127"/>
      <c r="S14" s="127">
        <v>0</v>
      </c>
      <c r="T14" s="127"/>
      <c r="U14" s="127">
        <v>0</v>
      </c>
      <c r="V14" s="127"/>
      <c r="W14" s="127"/>
      <c r="X14" s="127"/>
      <c r="Y14" s="127"/>
      <c r="Z14" s="121"/>
      <c r="AA14" s="127"/>
      <c r="AB14" s="121"/>
      <c r="AC14" s="127">
        <f t="shared" si="1"/>
        <v>9252888</v>
      </c>
      <c r="AD14" s="127"/>
      <c r="AE14" s="130">
        <v>0</v>
      </c>
      <c r="AF14" s="130"/>
      <c r="AG14" s="127">
        <v>184000</v>
      </c>
      <c r="AH14" s="127"/>
      <c r="AI14" s="127">
        <v>302882</v>
      </c>
      <c r="AJ14" s="127"/>
      <c r="AK14" s="127">
        <v>0</v>
      </c>
      <c r="AL14" s="127"/>
      <c r="AM14" s="127">
        <f>+'Gen rev'!U14-'Gen exp'!AC14-AG14+'Gen rev'!W14+AI14+AK14-'Gen Bal'!S14-'Gen exp'!AE14</f>
        <v>0</v>
      </c>
      <c r="AN14" s="121" t="s">
        <v>502</v>
      </c>
      <c r="AO14" s="127"/>
      <c r="AP14" s="127"/>
      <c r="AQ14" s="127"/>
      <c r="AR14" s="132"/>
      <c r="AS14" s="133"/>
    </row>
    <row r="15" spans="1:45" s="49" customFormat="1" ht="12.75" customHeight="1" x14ac:dyDescent="0.2">
      <c r="A15" s="28" t="s">
        <v>20</v>
      </c>
      <c r="C15" s="28" t="s">
        <v>20</v>
      </c>
      <c r="E15" s="45">
        <v>4409182</v>
      </c>
      <c r="F15" s="45"/>
      <c r="G15" s="45">
        <f>3390717+2802668</f>
        <v>6193385</v>
      </c>
      <c r="H15" s="45"/>
      <c r="I15" s="45">
        <v>509341</v>
      </c>
      <c r="J15" s="45"/>
      <c r="K15" s="45">
        <v>0</v>
      </c>
      <c r="L15" s="45"/>
      <c r="M15" s="45">
        <v>445690</v>
      </c>
      <c r="N15" s="45"/>
      <c r="O15" s="45">
        <v>0</v>
      </c>
      <c r="P15" s="45"/>
      <c r="Q15" s="45">
        <v>0</v>
      </c>
      <c r="R15" s="45"/>
      <c r="S15" s="45">
        <v>0</v>
      </c>
      <c r="T15" s="45"/>
      <c r="U15" s="45">
        <v>0</v>
      </c>
      <c r="V15" s="45"/>
      <c r="W15" s="45">
        <v>0</v>
      </c>
      <c r="X15" s="45"/>
      <c r="Y15" s="45">
        <v>94</v>
      </c>
      <c r="Z15" s="44"/>
      <c r="AA15" s="45">
        <v>0</v>
      </c>
      <c r="AB15" s="44"/>
      <c r="AC15" s="45">
        <f t="shared" si="1"/>
        <v>11557692</v>
      </c>
      <c r="AD15" s="45"/>
      <c r="AE15" s="48">
        <v>0</v>
      </c>
      <c r="AF15" s="48"/>
      <c r="AG15" s="45">
        <v>0</v>
      </c>
      <c r="AH15" s="45"/>
      <c r="AI15" s="45">
        <v>2031745</v>
      </c>
      <c r="AJ15" s="45"/>
      <c r="AK15" s="45">
        <v>0</v>
      </c>
      <c r="AL15" s="45"/>
      <c r="AM15" s="45">
        <f>+'Gen rev'!U15-'Gen exp'!AC15-AG15+'Gen rev'!W15+AI15+AK15-'Gen Bal'!S15-'Gen exp'!AE15</f>
        <v>0</v>
      </c>
      <c r="AN15" s="45"/>
      <c r="AO15" s="45"/>
      <c r="AP15" s="45"/>
      <c r="AQ15" s="45"/>
      <c r="AR15" s="52"/>
      <c r="AS15" s="50"/>
    </row>
    <row r="16" spans="1:45" s="49" customFormat="1" ht="12.75" customHeight="1" x14ac:dyDescent="0.2">
      <c r="A16" s="28" t="s">
        <v>21</v>
      </c>
      <c r="C16" s="28" t="s">
        <v>22</v>
      </c>
      <c r="E16" s="45">
        <v>2047293</v>
      </c>
      <c r="F16" s="45"/>
      <c r="G16" s="45">
        <v>6002382</v>
      </c>
      <c r="H16" s="45"/>
      <c r="I16" s="45">
        <v>746862</v>
      </c>
      <c r="J16" s="45"/>
      <c r="K16" s="45">
        <v>0</v>
      </c>
      <c r="L16" s="45"/>
      <c r="M16" s="45">
        <v>1891021</v>
      </c>
      <c r="N16" s="45"/>
      <c r="O16" s="45">
        <v>0</v>
      </c>
      <c r="P16" s="45"/>
      <c r="Q16" s="45">
        <v>0</v>
      </c>
      <c r="R16" s="45"/>
      <c r="S16" s="45">
        <v>94078</v>
      </c>
      <c r="T16" s="45"/>
      <c r="U16" s="45">
        <v>0</v>
      </c>
      <c r="V16" s="45"/>
      <c r="W16" s="45">
        <v>2172</v>
      </c>
      <c r="X16" s="45"/>
      <c r="Y16" s="45">
        <v>524</v>
      </c>
      <c r="Z16" s="44"/>
      <c r="AA16" s="45">
        <v>0</v>
      </c>
      <c r="AB16" s="44"/>
      <c r="AC16" s="45">
        <f t="shared" si="1"/>
        <v>10784332</v>
      </c>
      <c r="AD16" s="45"/>
      <c r="AE16" s="48">
        <v>0</v>
      </c>
      <c r="AF16" s="48"/>
      <c r="AG16" s="45">
        <v>2380281</v>
      </c>
      <c r="AH16" s="45"/>
      <c r="AI16" s="45">
        <v>6661814</v>
      </c>
      <c r="AJ16" s="45"/>
      <c r="AK16" s="45">
        <v>0</v>
      </c>
      <c r="AL16" s="45"/>
      <c r="AM16" s="45">
        <f>+'Gen rev'!U16-'Gen exp'!AC16-AG16+'Gen rev'!W16+AI16+AK16-'Gen Bal'!S16-'Gen exp'!AE16</f>
        <v>0</v>
      </c>
      <c r="AN16" s="45"/>
      <c r="AO16" s="45"/>
      <c r="AP16" s="45"/>
      <c r="AQ16" s="45"/>
      <c r="AR16" s="52"/>
      <c r="AS16" s="50"/>
    </row>
    <row r="17" spans="1:45" s="49" customFormat="1" ht="12.75" customHeight="1" x14ac:dyDescent="0.2">
      <c r="A17" s="28" t="s">
        <v>23</v>
      </c>
      <c r="C17" s="28" t="s">
        <v>17</v>
      </c>
      <c r="E17" s="45">
        <v>2449873</v>
      </c>
      <c r="F17" s="45"/>
      <c r="G17" s="45">
        <v>0</v>
      </c>
      <c r="H17" s="45"/>
      <c r="I17" s="45">
        <v>1147414</v>
      </c>
      <c r="J17" s="45"/>
      <c r="K17" s="45">
        <v>0</v>
      </c>
      <c r="L17" s="45"/>
      <c r="M17" s="45">
        <v>0</v>
      </c>
      <c r="N17" s="45"/>
      <c r="O17" s="45">
        <v>18545</v>
      </c>
      <c r="P17" s="45"/>
      <c r="Q17" s="45">
        <v>0</v>
      </c>
      <c r="R17" s="45"/>
      <c r="S17" s="45">
        <v>0</v>
      </c>
      <c r="T17" s="45"/>
      <c r="U17" s="45">
        <v>0</v>
      </c>
      <c r="V17" s="45"/>
      <c r="W17" s="45">
        <v>0</v>
      </c>
      <c r="X17" s="45"/>
      <c r="Y17" s="45">
        <v>0</v>
      </c>
      <c r="Z17" s="44"/>
      <c r="AA17" s="45">
        <v>0</v>
      </c>
      <c r="AB17" s="44"/>
      <c r="AC17" s="45">
        <f t="shared" si="1"/>
        <v>3615832</v>
      </c>
      <c r="AD17" s="45"/>
      <c r="AE17" s="48">
        <v>0</v>
      </c>
      <c r="AF17" s="48"/>
      <c r="AG17" s="45">
        <v>7112067</v>
      </c>
      <c r="AH17" s="45"/>
      <c r="AI17" s="45">
        <v>9716251</v>
      </c>
      <c r="AJ17" s="45"/>
      <c r="AK17" s="45">
        <v>0</v>
      </c>
      <c r="AL17" s="45"/>
      <c r="AM17" s="45">
        <f>+'Gen rev'!U17-'Gen exp'!AC17-AG17+'Gen rev'!W17+AI17+AK17-'Gen Bal'!S17-'Gen exp'!AE17</f>
        <v>0</v>
      </c>
      <c r="AN17" s="44"/>
      <c r="AO17" s="44"/>
      <c r="AP17" s="44"/>
      <c r="AQ17" s="44"/>
    </row>
    <row r="18" spans="1:45" s="49" customFormat="1" ht="12.75" customHeight="1" x14ac:dyDescent="0.2">
      <c r="A18" s="28" t="s">
        <v>24</v>
      </c>
      <c r="C18" s="28" t="s">
        <v>17</v>
      </c>
      <c r="E18" s="45">
        <v>2491839</v>
      </c>
      <c r="F18" s="45"/>
      <c r="G18" s="45">
        <v>6301426</v>
      </c>
      <c r="H18" s="45"/>
      <c r="I18" s="45">
        <v>394328</v>
      </c>
      <c r="J18" s="45"/>
      <c r="K18" s="45">
        <v>118787</v>
      </c>
      <c r="L18" s="45"/>
      <c r="M18" s="45">
        <v>2765269</v>
      </c>
      <c r="N18" s="45"/>
      <c r="O18" s="45">
        <v>874699</v>
      </c>
      <c r="P18" s="45"/>
      <c r="Q18" s="45">
        <v>667103</v>
      </c>
      <c r="R18" s="45"/>
      <c r="S18" s="45">
        <v>0</v>
      </c>
      <c r="T18" s="45"/>
      <c r="U18" s="45">
        <v>0</v>
      </c>
      <c r="V18" s="45"/>
      <c r="W18" s="45">
        <v>10476</v>
      </c>
      <c r="X18" s="45"/>
      <c r="Y18" s="45">
        <v>3916</v>
      </c>
      <c r="Z18" s="44"/>
      <c r="AA18" s="45">
        <v>0</v>
      </c>
      <c r="AB18" s="44"/>
      <c r="AC18" s="45">
        <f t="shared" ref="AC18" si="2">SUM(E18:AA18)</f>
        <v>13627843</v>
      </c>
      <c r="AD18" s="45"/>
      <c r="AE18" s="48">
        <v>0</v>
      </c>
      <c r="AF18" s="48"/>
      <c r="AG18" s="45">
        <v>1439659</v>
      </c>
      <c r="AH18" s="45"/>
      <c r="AI18" s="45">
        <v>4232157</v>
      </c>
      <c r="AJ18" s="45"/>
      <c r="AK18" s="45">
        <v>0</v>
      </c>
      <c r="AL18" s="45"/>
      <c r="AM18" s="45">
        <f>+'Gen rev'!U18-'Gen exp'!AC18-AG18+'Gen rev'!W18+AI18+AK18-'Gen Bal'!S18-'Gen exp'!AE18</f>
        <v>0</v>
      </c>
      <c r="AN18" s="44"/>
      <c r="AO18" s="44"/>
      <c r="AP18" s="44"/>
      <c r="AQ18" s="44"/>
    </row>
    <row r="19" spans="1:45" s="49" customFormat="1" ht="12.75" customHeight="1" x14ac:dyDescent="0.2">
      <c r="A19" s="28" t="s">
        <v>25</v>
      </c>
      <c r="C19" s="28" t="s">
        <v>13</v>
      </c>
      <c r="E19" s="45">
        <v>4301227</v>
      </c>
      <c r="F19" s="45"/>
      <c r="G19" s="45">
        <v>9465574</v>
      </c>
      <c r="H19" s="45"/>
      <c r="I19" s="45">
        <v>898457</v>
      </c>
      <c r="J19" s="45"/>
      <c r="K19" s="45">
        <v>0</v>
      </c>
      <c r="L19" s="45"/>
      <c r="M19" s="45">
        <v>167309</v>
      </c>
      <c r="N19" s="45"/>
      <c r="O19" s="45">
        <v>740872</v>
      </c>
      <c r="P19" s="45"/>
      <c r="Q19" s="45">
        <v>0</v>
      </c>
      <c r="R19" s="45"/>
      <c r="S19" s="45">
        <v>127691</v>
      </c>
      <c r="T19" s="45"/>
      <c r="U19" s="45">
        <v>0</v>
      </c>
      <c r="V19" s="45"/>
      <c r="W19" s="45">
        <v>33279</v>
      </c>
      <c r="X19" s="45"/>
      <c r="Y19" s="45">
        <v>1466</v>
      </c>
      <c r="Z19" s="44"/>
      <c r="AA19" s="45">
        <v>0</v>
      </c>
      <c r="AB19" s="44"/>
      <c r="AC19" s="45">
        <f t="shared" si="1"/>
        <v>15735875</v>
      </c>
      <c r="AD19" s="45"/>
      <c r="AE19" s="48">
        <v>0</v>
      </c>
      <c r="AF19" s="48"/>
      <c r="AG19" s="45">
        <v>1060000</v>
      </c>
      <c r="AH19" s="45"/>
      <c r="AI19" s="45">
        <v>3600185</v>
      </c>
      <c r="AJ19" s="45"/>
      <c r="AK19" s="45">
        <v>0</v>
      </c>
      <c r="AL19" s="45"/>
      <c r="AM19" s="45">
        <f>+'Gen rev'!U19-'Gen exp'!AC19-AG19+'Gen rev'!W19+AI19+AK19-'Gen Bal'!S19-'Gen exp'!AE19</f>
        <v>0</v>
      </c>
      <c r="AN19" s="44"/>
      <c r="AO19" s="44"/>
      <c r="AP19" s="44"/>
      <c r="AQ19" s="44"/>
    </row>
    <row r="20" spans="1:45" s="49" customFormat="1" ht="12.75" customHeight="1" x14ac:dyDescent="0.2">
      <c r="A20" s="28" t="s">
        <v>26</v>
      </c>
      <c r="C20" s="28" t="s">
        <v>27</v>
      </c>
      <c r="E20" s="45">
        <v>2804560</v>
      </c>
      <c r="F20" s="45"/>
      <c r="G20" s="45">
        <v>5164502</v>
      </c>
      <c r="H20" s="45"/>
      <c r="I20" s="45">
        <v>680202</v>
      </c>
      <c r="J20" s="45"/>
      <c r="K20" s="45">
        <v>283324</v>
      </c>
      <c r="L20" s="45"/>
      <c r="M20" s="45">
        <v>200962</v>
      </c>
      <c r="N20" s="45"/>
      <c r="O20" s="45">
        <v>0</v>
      </c>
      <c r="P20" s="45"/>
      <c r="Q20" s="45">
        <v>1810607</v>
      </c>
      <c r="R20" s="45"/>
      <c r="S20" s="45">
        <v>0</v>
      </c>
      <c r="T20" s="45"/>
      <c r="U20" s="45">
        <v>0</v>
      </c>
      <c r="V20" s="45"/>
      <c r="W20" s="45">
        <v>0</v>
      </c>
      <c r="X20" s="45"/>
      <c r="Y20" s="45">
        <v>0</v>
      </c>
      <c r="Z20" s="44"/>
      <c r="AA20" s="45">
        <v>0</v>
      </c>
      <c r="AB20" s="44"/>
      <c r="AC20" s="45">
        <f t="shared" si="1"/>
        <v>10944157</v>
      </c>
      <c r="AD20" s="45"/>
      <c r="AE20" s="48">
        <v>0</v>
      </c>
      <c r="AF20" s="48"/>
      <c r="AG20" s="45">
        <v>1093000</v>
      </c>
      <c r="AH20" s="45"/>
      <c r="AI20" s="45">
        <v>2619995</v>
      </c>
      <c r="AJ20" s="45"/>
      <c r="AK20" s="45">
        <v>0</v>
      </c>
      <c r="AL20" s="45"/>
      <c r="AM20" s="45">
        <f>+'Gen rev'!U20-'Gen exp'!AC20-AG20+'Gen rev'!W20+AI20+AK20-'Gen Bal'!S20-'Gen exp'!AE20</f>
        <v>0</v>
      </c>
      <c r="AN20" s="44"/>
      <c r="AO20" s="44"/>
      <c r="AP20" s="44"/>
      <c r="AQ20" s="44"/>
    </row>
    <row r="21" spans="1:45" s="49" customFormat="1" ht="12.75" customHeight="1" x14ac:dyDescent="0.2">
      <c r="A21" s="28" t="s">
        <v>28</v>
      </c>
      <c r="C21" s="28" t="s">
        <v>27</v>
      </c>
      <c r="E21" s="45">
        <v>3987280</v>
      </c>
      <c r="F21" s="45"/>
      <c r="G21" s="45">
        <f>7560861+6478598</f>
        <v>14039459</v>
      </c>
      <c r="H21" s="45"/>
      <c r="I21" s="45">
        <v>965898</v>
      </c>
      <c r="J21" s="45"/>
      <c r="K21" s="45">
        <v>560421</v>
      </c>
      <c r="L21" s="45"/>
      <c r="M21" s="45">
        <v>8136627</v>
      </c>
      <c r="N21" s="45"/>
      <c r="O21" s="45">
        <v>2203271</v>
      </c>
      <c r="P21" s="45"/>
      <c r="Q21" s="45">
        <v>0</v>
      </c>
      <c r="R21" s="45"/>
      <c r="S21" s="45">
        <v>0</v>
      </c>
      <c r="T21" s="45"/>
      <c r="U21" s="45">
        <v>0</v>
      </c>
      <c r="V21" s="45"/>
      <c r="W21" s="45">
        <v>0</v>
      </c>
      <c r="X21" s="45"/>
      <c r="Y21" s="45">
        <v>0</v>
      </c>
      <c r="Z21" s="44"/>
      <c r="AA21" s="45">
        <v>0</v>
      </c>
      <c r="AB21" s="44"/>
      <c r="AC21" s="45">
        <f t="shared" si="1"/>
        <v>29892956</v>
      </c>
      <c r="AD21" s="45"/>
      <c r="AE21" s="48">
        <v>0</v>
      </c>
      <c r="AF21" s="48"/>
      <c r="AG21" s="45">
        <v>1841363</v>
      </c>
      <c r="AH21" s="45"/>
      <c r="AI21" s="45">
        <v>18210399</v>
      </c>
      <c r="AJ21" s="45"/>
      <c r="AK21" s="45">
        <v>0</v>
      </c>
      <c r="AL21" s="45"/>
      <c r="AM21" s="45">
        <f>+'Gen rev'!U21-'Gen exp'!AC21-AG21+'Gen rev'!W21+AI21+AK21-'Gen Bal'!S21-'Gen exp'!AE21</f>
        <v>0</v>
      </c>
      <c r="AN21" s="44"/>
      <c r="AO21" s="44"/>
      <c r="AP21" s="44"/>
      <c r="AQ21" s="44"/>
    </row>
    <row r="22" spans="1:45" s="49" customFormat="1" ht="12.75" customHeight="1" x14ac:dyDescent="0.2">
      <c r="A22" s="44" t="s">
        <v>29</v>
      </c>
      <c r="C22" s="44" t="s">
        <v>30</v>
      </c>
      <c r="E22" s="45">
        <v>2200162</v>
      </c>
      <c r="F22" s="45"/>
      <c r="G22" s="45">
        <v>0</v>
      </c>
      <c r="H22" s="45"/>
      <c r="I22" s="45">
        <v>619612</v>
      </c>
      <c r="J22" s="45"/>
      <c r="K22" s="45">
        <v>145918</v>
      </c>
      <c r="L22" s="45"/>
      <c r="M22" s="45">
        <v>0</v>
      </c>
      <c r="N22" s="45"/>
      <c r="O22" s="45">
        <v>1219899</v>
      </c>
      <c r="P22" s="45"/>
      <c r="Q22" s="45">
        <v>78663</v>
      </c>
      <c r="R22" s="45"/>
      <c r="S22" s="45">
        <v>0</v>
      </c>
      <c r="T22" s="45"/>
      <c r="U22" s="45">
        <v>0</v>
      </c>
      <c r="V22" s="45"/>
      <c r="W22" s="45">
        <v>0</v>
      </c>
      <c r="X22" s="45"/>
      <c r="Y22" s="45">
        <v>0</v>
      </c>
      <c r="Z22" s="44"/>
      <c r="AA22" s="45">
        <v>0</v>
      </c>
      <c r="AB22" s="44"/>
      <c r="AC22" s="45">
        <f t="shared" si="1"/>
        <v>4264254</v>
      </c>
      <c r="AD22" s="45"/>
      <c r="AE22" s="48">
        <v>0</v>
      </c>
      <c r="AF22" s="48"/>
      <c r="AG22" s="45">
        <v>994874</v>
      </c>
      <c r="AH22" s="45"/>
      <c r="AI22" s="45">
        <v>2123971</v>
      </c>
      <c r="AJ22" s="45"/>
      <c r="AK22" s="45">
        <v>0</v>
      </c>
      <c r="AL22" s="45"/>
      <c r="AM22" s="45">
        <f>+'Gen rev'!U22-'Gen exp'!AC22-AG22+'Gen rev'!W22+AI22+AK22-'Gen Bal'!S22-'Gen exp'!AE22</f>
        <v>0</v>
      </c>
      <c r="AN22" s="45"/>
      <c r="AO22" s="45"/>
      <c r="AP22" s="45"/>
      <c r="AQ22" s="45"/>
      <c r="AR22" s="52"/>
      <c r="AS22" s="50"/>
    </row>
    <row r="23" spans="1:45" s="49" customFormat="1" ht="12.75" customHeight="1" x14ac:dyDescent="0.2">
      <c r="A23" s="28" t="s">
        <v>31</v>
      </c>
      <c r="C23" s="28" t="s">
        <v>27</v>
      </c>
      <c r="E23" s="45">
        <v>4562025</v>
      </c>
      <c r="F23" s="45"/>
      <c r="G23" s="45">
        <f>1817056+205532</f>
        <v>2022588</v>
      </c>
      <c r="H23" s="45"/>
      <c r="I23" s="45">
        <v>741137</v>
      </c>
      <c r="J23" s="45"/>
      <c r="K23" s="45">
        <v>166377</v>
      </c>
      <c r="L23" s="45"/>
      <c r="M23" s="45">
        <v>1580374</v>
      </c>
      <c r="N23" s="45"/>
      <c r="O23" s="45">
        <v>1300039</v>
      </c>
      <c r="P23" s="45"/>
      <c r="Q23" s="45">
        <v>688705</v>
      </c>
      <c r="R23" s="45"/>
      <c r="S23" s="45">
        <v>0</v>
      </c>
      <c r="T23" s="45"/>
      <c r="U23" s="45">
        <v>0</v>
      </c>
      <c r="V23" s="45"/>
      <c r="W23" s="45">
        <v>14373</v>
      </c>
      <c r="X23" s="45"/>
      <c r="Y23" s="45">
        <v>7853</v>
      </c>
      <c r="Z23" s="44"/>
      <c r="AA23" s="45">
        <v>0</v>
      </c>
      <c r="AB23" s="44"/>
      <c r="AC23" s="45">
        <f t="shared" si="1"/>
        <v>11083471</v>
      </c>
      <c r="AD23" s="45"/>
      <c r="AE23" s="48">
        <v>0</v>
      </c>
      <c r="AF23" s="48"/>
      <c r="AG23" s="45">
        <v>3874469</v>
      </c>
      <c r="AH23" s="45"/>
      <c r="AI23" s="45">
        <v>9173808</v>
      </c>
      <c r="AJ23" s="45"/>
      <c r="AK23" s="45">
        <v>0</v>
      </c>
      <c r="AL23" s="45"/>
      <c r="AM23" s="45">
        <f>+'Gen rev'!U23-'Gen exp'!AC23-AG23+'Gen rev'!W23+AI23+AK23-'Gen Bal'!S23-'Gen exp'!AE23</f>
        <v>0</v>
      </c>
      <c r="AN23" s="45"/>
      <c r="AO23" s="45"/>
      <c r="AP23" s="45"/>
      <c r="AQ23" s="45"/>
      <c r="AR23" s="52"/>
      <c r="AS23" s="50"/>
    </row>
    <row r="24" spans="1:45" s="49" customFormat="1" ht="12.75" customHeight="1" x14ac:dyDescent="0.2">
      <c r="A24" s="28" t="s">
        <v>32</v>
      </c>
      <c r="C24" s="28" t="s">
        <v>27</v>
      </c>
      <c r="E24" s="45">
        <v>3474303</v>
      </c>
      <c r="F24" s="45"/>
      <c r="G24" s="45">
        <v>2748581</v>
      </c>
      <c r="H24" s="45"/>
      <c r="I24" s="45">
        <v>380053</v>
      </c>
      <c r="J24" s="45"/>
      <c r="K24" s="45">
        <v>373784</v>
      </c>
      <c r="L24" s="45"/>
      <c r="M24" s="45">
        <v>9829</v>
      </c>
      <c r="N24" s="45"/>
      <c r="O24" s="45">
        <v>1291425</v>
      </c>
      <c r="P24" s="45"/>
      <c r="Q24" s="45">
        <v>647880</v>
      </c>
      <c r="R24" s="45"/>
      <c r="S24" s="45">
        <v>0</v>
      </c>
      <c r="T24" s="45"/>
      <c r="U24" s="45">
        <v>0</v>
      </c>
      <c r="V24" s="45"/>
      <c r="W24" s="45">
        <v>0</v>
      </c>
      <c r="X24" s="45"/>
      <c r="Y24" s="45">
        <v>0</v>
      </c>
      <c r="Z24" s="44"/>
      <c r="AA24" s="45">
        <v>0</v>
      </c>
      <c r="AB24" s="44"/>
      <c r="AC24" s="45">
        <f t="shared" si="1"/>
        <v>8925855</v>
      </c>
      <c r="AD24" s="45"/>
      <c r="AE24" s="48">
        <v>0</v>
      </c>
      <c r="AF24" s="48"/>
      <c r="AG24" s="45">
        <v>4326657</v>
      </c>
      <c r="AH24" s="45"/>
      <c r="AI24" s="45">
        <v>3445901</v>
      </c>
      <c r="AJ24" s="45"/>
      <c r="AK24" s="45">
        <v>0</v>
      </c>
      <c r="AL24" s="45"/>
      <c r="AM24" s="45">
        <f>+'Gen rev'!U24-'Gen exp'!AC24-AG24+'Gen rev'!W24+AI24+AK24-'Gen Bal'!S24-'Gen exp'!AE24</f>
        <v>0</v>
      </c>
      <c r="AN24" s="44"/>
      <c r="AO24" s="44"/>
      <c r="AP24" s="44"/>
      <c r="AQ24" s="44"/>
    </row>
    <row r="25" spans="1:45" s="49" customFormat="1" ht="12.75" customHeight="1" x14ac:dyDescent="0.2">
      <c r="A25" s="28" t="s">
        <v>34</v>
      </c>
      <c r="C25" s="28" t="s">
        <v>30</v>
      </c>
      <c r="E25" s="45">
        <v>400175</v>
      </c>
      <c r="F25" s="45"/>
      <c r="G25" s="45">
        <v>11207</v>
      </c>
      <c r="H25" s="45"/>
      <c r="I25" s="45">
        <v>85808</v>
      </c>
      <c r="J25" s="45"/>
      <c r="K25" s="45">
        <v>0</v>
      </c>
      <c r="L25" s="45"/>
      <c r="M25" s="45">
        <v>0</v>
      </c>
      <c r="N25" s="45"/>
      <c r="O25" s="45">
        <v>14408</v>
      </c>
      <c r="P25" s="45"/>
      <c r="Q25" s="45">
        <v>0</v>
      </c>
      <c r="R25" s="45"/>
      <c r="S25" s="45">
        <v>0</v>
      </c>
      <c r="T25" s="45"/>
      <c r="U25" s="45">
        <v>0</v>
      </c>
      <c r="V25" s="45"/>
      <c r="W25" s="45">
        <v>0</v>
      </c>
      <c r="X25" s="45"/>
      <c r="Y25" s="45">
        <v>0</v>
      </c>
      <c r="Z25" s="44"/>
      <c r="AA25" s="45">
        <v>0</v>
      </c>
      <c r="AB25" s="44"/>
      <c r="AC25" s="45">
        <f t="shared" si="1"/>
        <v>511598</v>
      </c>
      <c r="AD25" s="45"/>
      <c r="AE25" s="48">
        <v>0</v>
      </c>
      <c r="AF25" s="48"/>
      <c r="AG25" s="45">
        <v>450000</v>
      </c>
      <c r="AH25" s="45"/>
      <c r="AI25" s="45">
        <v>870088</v>
      </c>
      <c r="AJ25" s="45"/>
      <c r="AK25" s="45">
        <v>0</v>
      </c>
      <c r="AL25" s="45"/>
      <c r="AM25" s="45">
        <f>+'Gen rev'!U25-'Gen exp'!AC25-AG25+'Gen rev'!W25+AI25+AK25-'Gen Bal'!S25-'Gen exp'!AE25</f>
        <v>0</v>
      </c>
      <c r="AN25" s="44"/>
      <c r="AO25" s="44"/>
      <c r="AP25" s="44"/>
      <c r="AQ25" s="44"/>
    </row>
    <row r="26" spans="1:45" s="49" customFormat="1" ht="12.75" customHeight="1" x14ac:dyDescent="0.2">
      <c r="A26" s="28" t="s">
        <v>35</v>
      </c>
      <c r="C26" s="28" t="s">
        <v>36</v>
      </c>
      <c r="E26" s="45">
        <f>1430350+560906</f>
        <v>1991256</v>
      </c>
      <c r="F26" s="45"/>
      <c r="G26" s="45">
        <v>3637659</v>
      </c>
      <c r="H26" s="45"/>
      <c r="I26" s="45">
        <v>39114</v>
      </c>
      <c r="J26" s="45"/>
      <c r="K26" s="45">
        <v>106944</v>
      </c>
      <c r="L26" s="45"/>
      <c r="M26" s="45">
        <v>293305</v>
      </c>
      <c r="N26" s="45"/>
      <c r="O26" s="45">
        <v>537176</v>
      </c>
      <c r="P26" s="45"/>
      <c r="Q26" s="45">
        <v>147241</v>
      </c>
      <c r="R26" s="45"/>
      <c r="S26" s="45">
        <v>86088</v>
      </c>
      <c r="T26" s="45"/>
      <c r="U26" s="45">
        <v>0</v>
      </c>
      <c r="V26" s="45"/>
      <c r="W26" s="45">
        <v>34802</v>
      </c>
      <c r="X26" s="45"/>
      <c r="Y26" s="45">
        <v>17711</v>
      </c>
      <c r="Z26" s="44"/>
      <c r="AA26" s="45">
        <v>0</v>
      </c>
      <c r="AB26" s="44"/>
      <c r="AC26" s="45">
        <f t="shared" si="1"/>
        <v>6891296</v>
      </c>
      <c r="AD26" s="45"/>
      <c r="AE26" s="48">
        <v>0</v>
      </c>
      <c r="AF26" s="48"/>
      <c r="AG26" s="45">
        <v>381500</v>
      </c>
      <c r="AH26" s="45"/>
      <c r="AI26" s="45">
        <v>2504751</v>
      </c>
      <c r="AJ26" s="45"/>
      <c r="AK26" s="45">
        <v>0</v>
      </c>
      <c r="AL26" s="45"/>
      <c r="AM26" s="45">
        <f>+'Gen rev'!U26-'Gen exp'!AC26-AG26+'Gen rev'!W26+AI26+AK26-'Gen Bal'!S26-'Gen exp'!AE26</f>
        <v>0</v>
      </c>
      <c r="AN26" s="44"/>
      <c r="AO26" s="44"/>
      <c r="AP26" s="44"/>
      <c r="AQ26" s="44"/>
    </row>
    <row r="27" spans="1:45" s="49" customFormat="1" ht="12.75" customHeight="1" x14ac:dyDescent="0.2">
      <c r="A27" s="28" t="s">
        <v>37</v>
      </c>
      <c r="C27" s="28" t="s">
        <v>38</v>
      </c>
      <c r="E27" s="45">
        <f>1315425+279290</f>
        <v>1594715</v>
      </c>
      <c r="F27" s="45"/>
      <c r="G27" s="45">
        <v>1824898</v>
      </c>
      <c r="H27" s="45"/>
      <c r="I27" s="45">
        <v>35562</v>
      </c>
      <c r="J27" s="45"/>
      <c r="K27" s="45">
        <v>0</v>
      </c>
      <c r="L27" s="45"/>
      <c r="M27" s="45">
        <v>0</v>
      </c>
      <c r="N27" s="45"/>
      <c r="O27" s="45">
        <v>0</v>
      </c>
      <c r="P27" s="45"/>
      <c r="Q27" s="45">
        <v>0</v>
      </c>
      <c r="R27" s="45"/>
      <c r="S27" s="45">
        <v>0</v>
      </c>
      <c r="T27" s="45"/>
      <c r="U27" s="45">
        <v>0</v>
      </c>
      <c r="V27" s="45"/>
      <c r="W27" s="45">
        <v>0</v>
      </c>
      <c r="X27" s="45"/>
      <c r="Y27" s="45">
        <v>0</v>
      </c>
      <c r="Z27" s="44"/>
      <c r="AA27" s="45">
        <v>0</v>
      </c>
      <c r="AB27" s="44"/>
      <c r="AC27" s="45">
        <f t="shared" si="1"/>
        <v>3455175</v>
      </c>
      <c r="AD27" s="45"/>
      <c r="AE27" s="48">
        <v>0</v>
      </c>
      <c r="AF27" s="48"/>
      <c r="AG27" s="45">
        <v>716700</v>
      </c>
      <c r="AH27" s="45"/>
      <c r="AI27" s="45">
        <v>1227294</v>
      </c>
      <c r="AJ27" s="45"/>
      <c r="AK27" s="45">
        <v>0</v>
      </c>
      <c r="AL27" s="45"/>
      <c r="AM27" s="45">
        <f>+'Gen rev'!U27-'Gen exp'!AC27-AG27+'Gen rev'!W27+AI27+AK27-'Gen Bal'!S27-'Gen exp'!AE27</f>
        <v>0</v>
      </c>
      <c r="AN27" s="44"/>
      <c r="AO27" s="44"/>
      <c r="AP27" s="44"/>
      <c r="AQ27" s="44"/>
    </row>
    <row r="28" spans="1:45" s="49" customFormat="1" ht="12.75" customHeight="1" x14ac:dyDescent="0.2">
      <c r="A28" s="28" t="s">
        <v>39</v>
      </c>
      <c r="C28" s="28" t="s">
        <v>40</v>
      </c>
      <c r="E28" s="45">
        <v>608876</v>
      </c>
      <c r="F28" s="45"/>
      <c r="G28" s="45">
        <f>1040103+170827</f>
        <v>1210930</v>
      </c>
      <c r="H28" s="45"/>
      <c r="I28" s="45"/>
      <c r="J28" s="45"/>
      <c r="K28" s="45">
        <v>481152</v>
      </c>
      <c r="L28" s="45"/>
      <c r="M28" s="45">
        <v>67760</v>
      </c>
      <c r="N28" s="45"/>
      <c r="O28" s="45">
        <v>55311</v>
      </c>
      <c r="P28" s="45"/>
      <c r="Q28" s="45">
        <v>0</v>
      </c>
      <c r="R28" s="45"/>
      <c r="S28" s="45">
        <v>62725</v>
      </c>
      <c r="T28" s="45"/>
      <c r="U28" s="45">
        <v>0</v>
      </c>
      <c r="V28" s="45"/>
      <c r="W28" s="45">
        <v>122735</v>
      </c>
      <c r="X28" s="45"/>
      <c r="Y28" s="45">
        <v>37634</v>
      </c>
      <c r="Z28" s="44"/>
      <c r="AA28" s="45">
        <v>0</v>
      </c>
      <c r="AB28" s="44"/>
      <c r="AC28" s="45">
        <f t="shared" si="1"/>
        <v>2647123</v>
      </c>
      <c r="AD28" s="45"/>
      <c r="AE28" s="48">
        <v>0</v>
      </c>
      <c r="AF28" s="48"/>
      <c r="AG28" s="45">
        <v>65500</v>
      </c>
      <c r="AH28" s="45"/>
      <c r="AI28" s="45">
        <v>1324948</v>
      </c>
      <c r="AJ28" s="45"/>
      <c r="AK28" s="45">
        <v>0</v>
      </c>
      <c r="AL28" s="45"/>
      <c r="AM28" s="45">
        <f>+'Gen rev'!U28-'Gen exp'!AC28-AG28+'Gen rev'!W28+AI28+AK28-'Gen Bal'!S28-'Gen exp'!AE28</f>
        <v>0</v>
      </c>
      <c r="AN28" s="44"/>
      <c r="AO28" s="44"/>
      <c r="AP28" s="44"/>
      <c r="AQ28" s="44"/>
    </row>
    <row r="29" spans="1:45" s="49" customFormat="1" ht="12.75" customHeight="1" x14ac:dyDescent="0.2">
      <c r="A29" s="28" t="s">
        <v>41</v>
      </c>
      <c r="C29" s="28" t="s">
        <v>27</v>
      </c>
      <c r="E29" s="45">
        <v>6074080</v>
      </c>
      <c r="F29" s="45"/>
      <c r="G29" s="45">
        <v>5037583</v>
      </c>
      <c r="H29" s="45"/>
      <c r="I29" s="45">
        <v>471003</v>
      </c>
      <c r="J29" s="45"/>
      <c r="K29" s="45">
        <v>0</v>
      </c>
      <c r="L29" s="45"/>
      <c r="M29" s="45">
        <v>0</v>
      </c>
      <c r="N29" s="45"/>
      <c r="O29" s="45">
        <v>443665</v>
      </c>
      <c r="P29" s="45"/>
      <c r="Q29" s="45">
        <v>1350451</v>
      </c>
      <c r="R29" s="45"/>
      <c r="S29" s="45">
        <v>0</v>
      </c>
      <c r="T29" s="45"/>
      <c r="U29" s="45">
        <v>0</v>
      </c>
      <c r="V29" s="45"/>
      <c r="W29" s="45">
        <v>0</v>
      </c>
      <c r="X29" s="45"/>
      <c r="Y29" s="45">
        <v>0</v>
      </c>
      <c r="Z29" s="44"/>
      <c r="AA29" s="45">
        <v>0</v>
      </c>
      <c r="AB29" s="44"/>
      <c r="AC29" s="45">
        <f t="shared" si="1"/>
        <v>13376782</v>
      </c>
      <c r="AD29" s="45"/>
      <c r="AE29" s="48">
        <v>0</v>
      </c>
      <c r="AF29" s="48"/>
      <c r="AG29" s="45">
        <v>2875100</v>
      </c>
      <c r="AH29" s="45"/>
      <c r="AI29" s="45">
        <v>4257347</v>
      </c>
      <c r="AJ29" s="45"/>
      <c r="AK29" s="45">
        <v>0</v>
      </c>
      <c r="AL29" s="45"/>
      <c r="AM29" s="45">
        <f>+'Gen rev'!U29-'Gen exp'!AC29-AG29+'Gen rev'!W29+AI29+AK29-'Gen Bal'!S29-'Gen exp'!AE29</f>
        <v>0</v>
      </c>
      <c r="AN29" s="44"/>
      <c r="AO29" s="44"/>
      <c r="AP29" s="44"/>
      <c r="AQ29" s="44"/>
    </row>
    <row r="30" spans="1:45" s="49" customFormat="1" ht="12.75" customHeight="1" x14ac:dyDescent="0.2">
      <c r="A30" s="28" t="s">
        <v>42</v>
      </c>
      <c r="C30" s="28" t="s">
        <v>43</v>
      </c>
      <c r="E30" s="45">
        <v>2775972</v>
      </c>
      <c r="F30" s="45"/>
      <c r="G30" s="45">
        <v>5632623</v>
      </c>
      <c r="H30" s="45"/>
      <c r="I30" s="45">
        <v>155183</v>
      </c>
      <c r="J30" s="45"/>
      <c r="K30" s="45">
        <v>86629</v>
      </c>
      <c r="L30" s="45"/>
      <c r="M30" s="45">
        <v>0</v>
      </c>
      <c r="N30" s="45"/>
      <c r="O30" s="45">
        <v>1343795</v>
      </c>
      <c r="P30" s="45"/>
      <c r="Q30" s="45">
        <v>0</v>
      </c>
      <c r="R30" s="45"/>
      <c r="S30" s="45">
        <v>2446463</v>
      </c>
      <c r="T30" s="45"/>
      <c r="U30" s="45">
        <v>0</v>
      </c>
      <c r="V30" s="45"/>
      <c r="W30" s="45">
        <v>33571</v>
      </c>
      <c r="X30" s="45"/>
      <c r="Y30" s="45">
        <v>4205</v>
      </c>
      <c r="Z30" s="44"/>
      <c r="AA30" s="45">
        <v>0</v>
      </c>
      <c r="AB30" s="44"/>
      <c r="AC30" s="45">
        <f t="shared" si="1"/>
        <v>12478441</v>
      </c>
      <c r="AD30" s="45"/>
      <c r="AE30" s="48">
        <v>0</v>
      </c>
      <c r="AF30" s="48"/>
      <c r="AG30" s="45">
        <v>1771101</v>
      </c>
      <c r="AH30" s="45"/>
      <c r="AI30" s="45">
        <v>9005828</v>
      </c>
      <c r="AJ30" s="45"/>
      <c r="AK30" s="45">
        <v>0</v>
      </c>
      <c r="AL30" s="45"/>
      <c r="AM30" s="45">
        <f>+'Gen rev'!U30-'Gen exp'!AC30-AG30+'Gen rev'!W30+AI30+AK30-'Gen Bal'!S30-'Gen exp'!AE30</f>
        <v>0</v>
      </c>
      <c r="AN30" s="44"/>
      <c r="AO30" s="44"/>
      <c r="AP30" s="44"/>
      <c r="AQ30" s="44"/>
    </row>
    <row r="31" spans="1:45" s="49" customFormat="1" ht="12.75" customHeight="1" x14ac:dyDescent="0.2">
      <c r="A31" s="28" t="s">
        <v>44</v>
      </c>
      <c r="C31" s="28" t="s">
        <v>45</v>
      </c>
      <c r="E31" s="45">
        <v>6490050</v>
      </c>
      <c r="F31" s="45"/>
      <c r="G31" s="45">
        <v>9778841</v>
      </c>
      <c r="H31" s="45"/>
      <c r="I31" s="45">
        <v>1220875</v>
      </c>
      <c r="J31" s="45"/>
      <c r="K31" s="45">
        <v>0</v>
      </c>
      <c r="L31" s="45"/>
      <c r="M31" s="45">
        <v>0</v>
      </c>
      <c r="N31" s="45"/>
      <c r="O31" s="45">
        <v>0</v>
      </c>
      <c r="P31" s="45"/>
      <c r="Q31" s="45">
        <v>0</v>
      </c>
      <c r="R31" s="45"/>
      <c r="S31" s="45">
        <v>0</v>
      </c>
      <c r="T31" s="45"/>
      <c r="U31" s="45">
        <v>0</v>
      </c>
      <c r="V31" s="45"/>
      <c r="W31" s="45">
        <v>0</v>
      </c>
      <c r="X31" s="45"/>
      <c r="Y31" s="45">
        <v>0</v>
      </c>
      <c r="Z31" s="44"/>
      <c r="AA31" s="45">
        <v>0</v>
      </c>
      <c r="AB31" s="44"/>
      <c r="AC31" s="45">
        <f t="shared" si="1"/>
        <v>17489766</v>
      </c>
      <c r="AD31" s="45"/>
      <c r="AE31" s="48">
        <v>0</v>
      </c>
      <c r="AF31" s="48"/>
      <c r="AG31" s="45">
        <v>12450442</v>
      </c>
      <c r="AH31" s="45"/>
      <c r="AI31" s="45">
        <v>20769134</v>
      </c>
      <c r="AJ31" s="45"/>
      <c r="AK31" s="45">
        <v>1605</v>
      </c>
      <c r="AL31" s="45"/>
      <c r="AM31" s="45">
        <f>+'Gen rev'!U31-'Gen exp'!AC31-AG31+'Gen rev'!W31+AI31+AK31-'Gen Bal'!S31-'Gen exp'!AE31</f>
        <v>0</v>
      </c>
      <c r="AN31" s="44"/>
      <c r="AO31" s="44"/>
      <c r="AP31" s="44"/>
      <c r="AQ31" s="44"/>
    </row>
    <row r="32" spans="1:45" s="49" customFormat="1" ht="12.75" customHeight="1" x14ac:dyDescent="0.2">
      <c r="A32" s="28" t="s">
        <v>46</v>
      </c>
      <c r="C32" s="28" t="s">
        <v>47</v>
      </c>
      <c r="E32" s="45">
        <f>1208412+2880897</f>
        <v>4089309</v>
      </c>
      <c r="F32" s="45"/>
      <c r="G32" s="45">
        <f>4021215+2827560+121113</f>
        <v>6969888</v>
      </c>
      <c r="H32" s="45"/>
      <c r="I32" s="45">
        <v>622741</v>
      </c>
      <c r="J32" s="45"/>
      <c r="K32" s="45">
        <v>64768</v>
      </c>
      <c r="L32" s="45"/>
      <c r="M32" s="45">
        <v>1925650</v>
      </c>
      <c r="N32" s="45"/>
      <c r="O32" s="45">
        <v>0</v>
      </c>
      <c r="P32" s="45"/>
      <c r="Q32" s="45">
        <v>601161</v>
      </c>
      <c r="R32" s="45"/>
      <c r="S32" s="45">
        <v>0</v>
      </c>
      <c r="T32" s="45"/>
      <c r="U32" s="45">
        <v>0</v>
      </c>
      <c r="V32" s="45"/>
      <c r="W32" s="45">
        <v>60000</v>
      </c>
      <c r="X32" s="45"/>
      <c r="Y32" s="45">
        <v>13260</v>
      </c>
      <c r="Z32" s="44"/>
      <c r="AA32" s="45">
        <v>0</v>
      </c>
      <c r="AB32" s="44"/>
      <c r="AC32" s="45">
        <f t="shared" si="1"/>
        <v>14346777</v>
      </c>
      <c r="AD32" s="45"/>
      <c r="AE32" s="48">
        <v>0</v>
      </c>
      <c r="AF32" s="48"/>
      <c r="AG32" s="45">
        <v>4537</v>
      </c>
      <c r="AH32" s="45"/>
      <c r="AI32" s="45">
        <v>3055825</v>
      </c>
      <c r="AJ32" s="45"/>
      <c r="AK32" s="45">
        <v>0</v>
      </c>
      <c r="AL32" s="45"/>
      <c r="AM32" s="45">
        <f>+'Gen rev'!U32-'Gen exp'!AC32-AG32+'Gen rev'!W32+AI32+AK32-'Gen Bal'!S32-'Gen exp'!AE32</f>
        <v>0</v>
      </c>
      <c r="AN32" s="45"/>
      <c r="AO32" s="45"/>
      <c r="AP32" s="45"/>
      <c r="AQ32" s="45"/>
      <c r="AR32" s="52"/>
      <c r="AS32" s="50"/>
    </row>
    <row r="33" spans="1:45" s="49" customFormat="1" ht="12.75" customHeight="1" x14ac:dyDescent="0.2">
      <c r="A33" s="28" t="s">
        <v>48</v>
      </c>
      <c r="C33" s="28" t="s">
        <v>27</v>
      </c>
      <c r="E33" s="45">
        <f>5513540+135528</f>
        <v>5649068</v>
      </c>
      <c r="F33" s="45"/>
      <c r="G33" s="45">
        <f>3868179+21344</f>
        <v>3889523</v>
      </c>
      <c r="H33" s="45"/>
      <c r="I33" s="45">
        <v>837370</v>
      </c>
      <c r="J33" s="45"/>
      <c r="K33" s="45">
        <v>861325</v>
      </c>
      <c r="L33" s="45"/>
      <c r="M33" s="45">
        <v>1837209</v>
      </c>
      <c r="N33" s="45"/>
      <c r="O33" s="45">
        <v>1592081</v>
      </c>
      <c r="P33" s="45"/>
      <c r="Q33" s="45">
        <v>0</v>
      </c>
      <c r="R33" s="45"/>
      <c r="S33" s="45">
        <v>0</v>
      </c>
      <c r="T33" s="45"/>
      <c r="U33" s="45">
        <v>0</v>
      </c>
      <c r="V33" s="45"/>
      <c r="W33" s="45">
        <v>0</v>
      </c>
      <c r="X33" s="45"/>
      <c r="Y33" s="45">
        <v>0</v>
      </c>
      <c r="Z33" s="44"/>
      <c r="AA33" s="45">
        <v>0</v>
      </c>
      <c r="AB33" s="44"/>
      <c r="AC33" s="45">
        <f t="shared" si="1"/>
        <v>14666576</v>
      </c>
      <c r="AD33" s="45"/>
      <c r="AE33" s="48">
        <v>0</v>
      </c>
      <c r="AF33" s="48"/>
      <c r="AG33" s="45">
        <v>818750</v>
      </c>
      <c r="AH33" s="45"/>
      <c r="AI33" s="45">
        <v>7120759</v>
      </c>
      <c r="AJ33" s="45"/>
      <c r="AK33" s="45">
        <v>0</v>
      </c>
      <c r="AL33" s="45"/>
      <c r="AM33" s="45">
        <f>+'Gen rev'!U33-'Gen exp'!AC33-AG33+'Gen rev'!W33+AI33+AK33-'Gen Bal'!S33-'Gen exp'!AE33</f>
        <v>0</v>
      </c>
      <c r="AN33" s="45"/>
      <c r="AO33" s="45"/>
      <c r="AP33" s="45"/>
      <c r="AQ33" s="45"/>
      <c r="AR33" s="52"/>
      <c r="AS33" s="50"/>
    </row>
    <row r="34" spans="1:45" s="49" customFormat="1" ht="12.75" customHeight="1" x14ac:dyDescent="0.2">
      <c r="A34" s="28" t="s">
        <v>49</v>
      </c>
      <c r="C34" s="28" t="s">
        <v>27</v>
      </c>
      <c r="E34" s="45">
        <v>4670557</v>
      </c>
      <c r="F34" s="45"/>
      <c r="G34" s="45">
        <v>3877379</v>
      </c>
      <c r="H34" s="45"/>
      <c r="I34" s="45">
        <v>372237</v>
      </c>
      <c r="J34" s="45"/>
      <c r="K34" s="45">
        <v>288004</v>
      </c>
      <c r="L34" s="45"/>
      <c r="M34" s="45">
        <v>467968</v>
      </c>
      <c r="N34" s="45"/>
      <c r="O34" s="45">
        <v>185921</v>
      </c>
      <c r="P34" s="45"/>
      <c r="Q34" s="45">
        <v>836375</v>
      </c>
      <c r="R34" s="45"/>
      <c r="S34" s="45">
        <v>0</v>
      </c>
      <c r="T34" s="45"/>
      <c r="U34" s="45">
        <v>0</v>
      </c>
      <c r="V34" s="45"/>
      <c r="W34" s="45">
        <v>330000</v>
      </c>
      <c r="X34" s="45"/>
      <c r="Y34" s="45">
        <v>163103</v>
      </c>
      <c r="Z34" s="44"/>
      <c r="AA34" s="45">
        <v>0</v>
      </c>
      <c r="AB34" s="44"/>
      <c r="AC34" s="45">
        <f t="shared" si="1"/>
        <v>11191544</v>
      </c>
      <c r="AD34" s="45"/>
      <c r="AE34" s="48">
        <v>0</v>
      </c>
      <c r="AF34" s="48"/>
      <c r="AG34" s="45">
        <v>42599</v>
      </c>
      <c r="AH34" s="45"/>
      <c r="AI34" s="45">
        <v>3359618</v>
      </c>
      <c r="AJ34" s="45"/>
      <c r="AK34" s="45">
        <v>0</v>
      </c>
      <c r="AL34" s="45"/>
      <c r="AM34" s="45">
        <f>+'Gen rev'!U34-'Gen exp'!AC34-AG34+'Gen rev'!W34+AI34+AK34-'Gen Bal'!S34-'Gen exp'!AE34</f>
        <v>0</v>
      </c>
      <c r="AN34" s="44"/>
      <c r="AO34" s="44"/>
      <c r="AP34" s="44"/>
      <c r="AQ34" s="44"/>
    </row>
    <row r="35" spans="1:45" s="49" customFormat="1" ht="12.75" customHeight="1" x14ac:dyDescent="0.2">
      <c r="A35" s="28" t="s">
        <v>50</v>
      </c>
      <c r="C35" s="28" t="s">
        <v>27</v>
      </c>
      <c r="E35" s="45">
        <v>4717208</v>
      </c>
      <c r="F35" s="45"/>
      <c r="G35" s="45">
        <f>5895497+4222262</f>
        <v>10117759</v>
      </c>
      <c r="H35" s="45"/>
      <c r="I35" s="45">
        <v>944729</v>
      </c>
      <c r="J35" s="45"/>
      <c r="K35" s="45">
        <v>296013</v>
      </c>
      <c r="L35" s="45"/>
      <c r="M35" s="45">
        <v>591823</v>
      </c>
      <c r="N35" s="45"/>
      <c r="O35" s="45">
        <v>2108479</v>
      </c>
      <c r="P35" s="45"/>
      <c r="Q35" s="45">
        <v>2999338</v>
      </c>
      <c r="R35" s="45"/>
      <c r="S35" s="45">
        <v>0</v>
      </c>
      <c r="T35" s="45"/>
      <c r="U35" s="45">
        <v>0</v>
      </c>
      <c r="V35" s="45"/>
      <c r="W35" s="45">
        <v>0</v>
      </c>
      <c r="X35" s="45"/>
      <c r="Y35" s="45">
        <v>0</v>
      </c>
      <c r="Z35" s="44"/>
      <c r="AA35" s="45">
        <v>0</v>
      </c>
      <c r="AB35" s="44"/>
      <c r="AC35" s="45">
        <f t="shared" si="1"/>
        <v>21775349</v>
      </c>
      <c r="AD35" s="45"/>
      <c r="AE35" s="48">
        <v>0</v>
      </c>
      <c r="AF35" s="48"/>
      <c r="AG35" s="45">
        <v>1025000</v>
      </c>
      <c r="AH35" s="45"/>
      <c r="AI35" s="45">
        <v>5927543</v>
      </c>
      <c r="AJ35" s="45"/>
      <c r="AK35" s="45">
        <v>0</v>
      </c>
      <c r="AL35" s="45"/>
      <c r="AM35" s="45">
        <f>+'Gen rev'!U35-'Gen exp'!AC35-AG35+'Gen rev'!W35+AI35+AK35-'Gen Bal'!S35-'Gen exp'!AE35</f>
        <v>0</v>
      </c>
      <c r="AN35" s="45"/>
      <c r="AO35" s="45"/>
      <c r="AP35" s="45"/>
      <c r="AQ35" s="45"/>
      <c r="AR35" s="52"/>
      <c r="AS35" s="50"/>
    </row>
    <row r="36" spans="1:45" s="49" customFormat="1" ht="12.75" customHeight="1" x14ac:dyDescent="0.2">
      <c r="A36" s="28" t="s">
        <v>51</v>
      </c>
      <c r="C36" s="28" t="s">
        <v>27</v>
      </c>
      <c r="E36" s="45">
        <v>1867310</v>
      </c>
      <c r="F36" s="45"/>
      <c r="G36" s="45">
        <v>6297448</v>
      </c>
      <c r="H36" s="45"/>
      <c r="I36" s="45">
        <v>1512258</v>
      </c>
      <c r="J36" s="45"/>
      <c r="K36" s="45">
        <v>0</v>
      </c>
      <c r="L36" s="45"/>
      <c r="M36" s="45">
        <v>0</v>
      </c>
      <c r="N36" s="45"/>
      <c r="O36" s="45">
        <v>1679425</v>
      </c>
      <c r="P36" s="45"/>
      <c r="Q36" s="45">
        <v>1669278</v>
      </c>
      <c r="R36" s="45"/>
      <c r="S36" s="45">
        <v>0</v>
      </c>
      <c r="T36" s="45"/>
      <c r="U36" s="45">
        <v>0</v>
      </c>
      <c r="V36" s="45"/>
      <c r="W36" s="45">
        <v>0</v>
      </c>
      <c r="X36" s="45"/>
      <c r="Y36" s="45">
        <v>0</v>
      </c>
      <c r="Z36" s="44"/>
      <c r="AA36" s="45">
        <v>0</v>
      </c>
      <c r="AB36" s="44"/>
      <c r="AC36" s="45">
        <f t="shared" si="1"/>
        <v>13025719</v>
      </c>
      <c r="AD36" s="45"/>
      <c r="AE36" s="48">
        <v>0</v>
      </c>
      <c r="AF36" s="48"/>
      <c r="AG36" s="45">
        <v>651224</v>
      </c>
      <c r="AH36" s="45"/>
      <c r="AI36" s="45">
        <v>10619415</v>
      </c>
      <c r="AJ36" s="45"/>
      <c r="AK36" s="45">
        <v>0</v>
      </c>
      <c r="AL36" s="45"/>
      <c r="AM36" s="45">
        <f>+'Gen rev'!U36-'Gen exp'!AC36-AG36+'Gen rev'!W36+AI36+AK36-'Gen Bal'!S36-'Gen exp'!AE36</f>
        <v>0</v>
      </c>
      <c r="AN36" s="45"/>
      <c r="AO36" s="45"/>
      <c r="AP36" s="45"/>
      <c r="AQ36" s="45"/>
      <c r="AR36" s="52"/>
      <c r="AS36" s="50"/>
    </row>
    <row r="37" spans="1:45" s="49" customFormat="1" ht="12.75" customHeight="1" x14ac:dyDescent="0.2">
      <c r="A37" s="64" t="s">
        <v>462</v>
      </c>
      <c r="B37" s="46"/>
      <c r="C37" s="64" t="s">
        <v>66</v>
      </c>
      <c r="D37" s="46"/>
      <c r="E37" s="45">
        <v>947473</v>
      </c>
      <c r="F37" s="45"/>
      <c r="G37" s="45">
        <v>1965499</v>
      </c>
      <c r="H37" s="45"/>
      <c r="I37" s="45">
        <v>0</v>
      </c>
      <c r="J37" s="45"/>
      <c r="K37" s="45">
        <v>0</v>
      </c>
      <c r="L37" s="45"/>
      <c r="M37" s="45">
        <v>0</v>
      </c>
      <c r="N37" s="45"/>
      <c r="O37" s="45">
        <v>122719</v>
      </c>
      <c r="P37" s="45"/>
      <c r="Q37" s="45">
        <v>0</v>
      </c>
      <c r="R37" s="45"/>
      <c r="S37" s="45">
        <v>58017</v>
      </c>
      <c r="T37" s="45"/>
      <c r="U37" s="45">
        <v>0</v>
      </c>
      <c r="V37" s="45"/>
      <c r="W37" s="45">
        <v>4374</v>
      </c>
      <c r="X37" s="45"/>
      <c r="Y37" s="45">
        <v>871</v>
      </c>
      <c r="Z37" s="44"/>
      <c r="AA37" s="45">
        <v>0</v>
      </c>
      <c r="AB37" s="44"/>
      <c r="AC37" s="45">
        <f t="shared" si="1"/>
        <v>3098953</v>
      </c>
      <c r="AD37" s="45"/>
      <c r="AE37" s="48">
        <v>0</v>
      </c>
      <c r="AF37" s="48"/>
      <c r="AG37" s="45">
        <v>645157</v>
      </c>
      <c r="AH37" s="45"/>
      <c r="AI37" s="45">
        <v>1159221</v>
      </c>
      <c r="AJ37" s="45"/>
      <c r="AK37" s="45">
        <v>0</v>
      </c>
      <c r="AL37" s="45"/>
      <c r="AM37" s="45">
        <f>+'Gen rev'!U37-'Gen exp'!AC37-AG37+'Gen rev'!W37+AI37+AK37-'Gen Bal'!S37-'Gen exp'!AE37</f>
        <v>0</v>
      </c>
      <c r="AN37" s="45"/>
      <c r="AO37" s="45"/>
      <c r="AP37" s="45"/>
      <c r="AQ37" s="45"/>
      <c r="AR37" s="52"/>
      <c r="AS37" s="50"/>
    </row>
    <row r="38" spans="1:45" s="49" customFormat="1" ht="12.75" customHeight="1" x14ac:dyDescent="0.2">
      <c r="A38" s="28" t="s">
        <v>52</v>
      </c>
      <c r="C38" s="28" t="s">
        <v>53</v>
      </c>
      <c r="E38" s="45">
        <v>2764513</v>
      </c>
      <c r="F38" s="45"/>
      <c r="G38" s="45">
        <v>96059</v>
      </c>
      <c r="H38" s="45"/>
      <c r="I38" s="45">
        <v>1073182</v>
      </c>
      <c r="J38" s="45"/>
      <c r="K38" s="45">
        <v>6533</v>
      </c>
      <c r="L38" s="45"/>
      <c r="M38" s="45">
        <v>0</v>
      </c>
      <c r="N38" s="45"/>
      <c r="O38" s="45">
        <v>91374</v>
      </c>
      <c r="P38" s="45"/>
      <c r="Q38" s="45">
        <v>0</v>
      </c>
      <c r="R38" s="45"/>
      <c r="S38" s="45">
        <v>0</v>
      </c>
      <c r="T38" s="45"/>
      <c r="U38" s="45">
        <v>0</v>
      </c>
      <c r="V38" s="45"/>
      <c r="W38" s="45">
        <v>0</v>
      </c>
      <c r="X38" s="45"/>
      <c r="Y38" s="45">
        <v>0</v>
      </c>
      <c r="Z38" s="44"/>
      <c r="AA38" s="45">
        <v>0</v>
      </c>
      <c r="AB38" s="44"/>
      <c r="AC38" s="45">
        <f t="shared" si="1"/>
        <v>4031661</v>
      </c>
      <c r="AD38" s="45"/>
      <c r="AE38" s="48">
        <v>0</v>
      </c>
      <c r="AF38" s="48"/>
      <c r="AG38" s="45">
        <v>40882</v>
      </c>
      <c r="AH38" s="45"/>
      <c r="AI38" s="45">
        <v>4766487</v>
      </c>
      <c r="AJ38" s="45"/>
      <c r="AK38" s="45">
        <v>0</v>
      </c>
      <c r="AL38" s="45"/>
      <c r="AM38" s="45">
        <f>+'Gen rev'!U38-'Gen exp'!AC38-AG38+'Gen rev'!W38+AI38+AK38-'Gen Bal'!S38-'Gen exp'!AE38</f>
        <v>0</v>
      </c>
      <c r="AN38" s="45"/>
      <c r="AO38" s="45"/>
      <c r="AP38" s="45"/>
      <c r="AQ38" s="45"/>
      <c r="AR38" s="52"/>
      <c r="AS38" s="50"/>
    </row>
    <row r="39" spans="1:45" s="49" customFormat="1" ht="12.75" customHeight="1" x14ac:dyDescent="0.2">
      <c r="A39" s="28" t="s">
        <v>54</v>
      </c>
      <c r="C39" s="28" t="s">
        <v>55</v>
      </c>
      <c r="E39" s="45">
        <v>2871927</v>
      </c>
      <c r="F39" s="45"/>
      <c r="G39" s="45">
        <v>1661923</v>
      </c>
      <c r="H39" s="45"/>
      <c r="I39" s="45">
        <v>0</v>
      </c>
      <c r="J39" s="45"/>
      <c r="K39" s="45">
        <v>77150</v>
      </c>
      <c r="L39" s="45"/>
      <c r="M39" s="45">
        <v>0</v>
      </c>
      <c r="N39" s="45"/>
      <c r="O39" s="45">
        <v>954065</v>
      </c>
      <c r="P39" s="45"/>
      <c r="Q39" s="45">
        <v>0</v>
      </c>
      <c r="R39" s="45"/>
      <c r="S39" s="45">
        <v>0</v>
      </c>
      <c r="T39" s="45"/>
      <c r="U39" s="45">
        <v>0</v>
      </c>
      <c r="V39" s="45"/>
      <c r="W39" s="45">
        <v>0</v>
      </c>
      <c r="X39" s="45"/>
      <c r="Y39" s="45">
        <v>0</v>
      </c>
      <c r="Z39" s="44"/>
      <c r="AA39" s="45">
        <v>0</v>
      </c>
      <c r="AB39" s="44"/>
      <c r="AC39" s="45">
        <f t="shared" si="1"/>
        <v>5565065</v>
      </c>
      <c r="AD39" s="45"/>
      <c r="AE39" s="48">
        <v>0</v>
      </c>
      <c r="AF39" s="48"/>
      <c r="AG39" s="45">
        <v>3350117</v>
      </c>
      <c r="AH39" s="45"/>
      <c r="AI39" s="45">
        <v>7613008</v>
      </c>
      <c r="AJ39" s="45"/>
      <c r="AK39" s="45">
        <v>0</v>
      </c>
      <c r="AL39" s="45"/>
      <c r="AM39" s="45">
        <f>+'Gen rev'!U39-'Gen exp'!AC39-AG39+'Gen rev'!W39+AI39+AK39-'Gen Bal'!S39-'Gen exp'!AE39</f>
        <v>0</v>
      </c>
      <c r="AN39" s="45"/>
      <c r="AO39" s="45"/>
      <c r="AP39" s="45"/>
      <c r="AQ39" s="45"/>
      <c r="AR39" s="52"/>
      <c r="AS39" s="50"/>
    </row>
    <row r="40" spans="1:45" s="49" customFormat="1" ht="12.75" customHeight="1" x14ac:dyDescent="0.2">
      <c r="A40" s="28" t="s">
        <v>56</v>
      </c>
      <c r="C40" s="28" t="s">
        <v>57</v>
      </c>
      <c r="E40" s="45">
        <v>1125966</v>
      </c>
      <c r="F40" s="45"/>
      <c r="G40" s="45">
        <f>1874087+1070357+166543</f>
        <v>3110987</v>
      </c>
      <c r="H40" s="45"/>
      <c r="I40" s="45">
        <v>0</v>
      </c>
      <c r="J40" s="45"/>
      <c r="K40" s="45">
        <v>227123</v>
      </c>
      <c r="L40" s="45"/>
      <c r="M40" s="45">
        <v>27714</v>
      </c>
      <c r="N40" s="45"/>
      <c r="O40" s="45">
        <v>49780</v>
      </c>
      <c r="P40" s="45"/>
      <c r="Q40" s="45">
        <v>0</v>
      </c>
      <c r="R40" s="45"/>
      <c r="S40" s="45">
        <v>0</v>
      </c>
      <c r="T40" s="45"/>
      <c r="U40" s="45">
        <v>0</v>
      </c>
      <c r="V40" s="45"/>
      <c r="W40" s="45">
        <v>8880</v>
      </c>
      <c r="X40" s="45"/>
      <c r="Y40" s="45">
        <v>12465</v>
      </c>
      <c r="Z40" s="44"/>
      <c r="AA40" s="45">
        <v>0</v>
      </c>
      <c r="AB40" s="44"/>
      <c r="AC40" s="45">
        <f t="shared" si="1"/>
        <v>4562915</v>
      </c>
      <c r="AD40" s="45"/>
      <c r="AE40" s="48">
        <v>0</v>
      </c>
      <c r="AF40" s="48"/>
      <c r="AG40" s="45">
        <v>301431</v>
      </c>
      <c r="AH40" s="45"/>
      <c r="AI40" s="45">
        <v>1077937</v>
      </c>
      <c r="AJ40" s="45"/>
      <c r="AK40" s="45">
        <v>0</v>
      </c>
      <c r="AL40" s="45"/>
      <c r="AM40" s="45">
        <f>+'Gen rev'!U40-'Gen exp'!AC40-AG40+'Gen rev'!W40+AI40+AK40-'Gen Bal'!S40-'Gen exp'!AE40</f>
        <v>0</v>
      </c>
      <c r="AN40" s="45"/>
      <c r="AO40" s="45"/>
      <c r="AP40" s="45"/>
      <c r="AQ40" s="45"/>
      <c r="AR40" s="52"/>
      <c r="AS40" s="50"/>
    </row>
    <row r="41" spans="1:45" s="49" customFormat="1" ht="12.75" customHeight="1" x14ac:dyDescent="0.2">
      <c r="A41" s="28" t="s">
        <v>58</v>
      </c>
      <c r="C41" s="28" t="s">
        <v>59</v>
      </c>
      <c r="E41" s="45">
        <v>2696205</v>
      </c>
      <c r="F41" s="45"/>
      <c r="G41" s="45">
        <v>2175438</v>
      </c>
      <c r="H41" s="45"/>
      <c r="I41" s="45">
        <v>217432</v>
      </c>
      <c r="J41" s="45"/>
      <c r="K41" s="45">
        <v>0</v>
      </c>
      <c r="L41" s="45"/>
      <c r="M41" s="45">
        <v>120000</v>
      </c>
      <c r="N41" s="45"/>
      <c r="O41" s="45">
        <v>755705</v>
      </c>
      <c r="P41" s="45"/>
      <c r="Q41" s="45">
        <v>0</v>
      </c>
      <c r="R41" s="45"/>
      <c r="S41" s="45">
        <v>2077719</v>
      </c>
      <c r="T41" s="45"/>
      <c r="U41" s="45">
        <v>0</v>
      </c>
      <c r="V41" s="45"/>
      <c r="W41" s="45">
        <v>21997</v>
      </c>
      <c r="X41" s="45"/>
      <c r="Y41" s="45">
        <v>0</v>
      </c>
      <c r="Z41" s="44"/>
      <c r="AA41" s="45">
        <v>0</v>
      </c>
      <c r="AB41" s="44"/>
      <c r="AC41" s="45">
        <f t="shared" si="1"/>
        <v>8064496</v>
      </c>
      <c r="AD41" s="45"/>
      <c r="AE41" s="48">
        <v>0</v>
      </c>
      <c r="AF41" s="48"/>
      <c r="AG41" s="45">
        <v>688519</v>
      </c>
      <c r="AH41" s="45"/>
      <c r="AI41" s="45">
        <v>1369453</v>
      </c>
      <c r="AJ41" s="45"/>
      <c r="AK41" s="45">
        <v>0</v>
      </c>
      <c r="AL41" s="45"/>
      <c r="AM41" s="45">
        <f>+'Gen rev'!U41-'Gen exp'!AC41-AG41+'Gen rev'!W41+AI41+AK41-'Gen Bal'!S41-'Gen exp'!AE41</f>
        <v>0</v>
      </c>
      <c r="AN41" s="45"/>
      <c r="AO41" s="45"/>
      <c r="AP41" s="45"/>
      <c r="AQ41" s="45"/>
      <c r="AR41" s="52"/>
      <c r="AS41" s="50"/>
    </row>
    <row r="42" spans="1:45" s="49" customFormat="1" ht="12.75" customHeight="1" x14ac:dyDescent="0.2">
      <c r="A42" s="46" t="s">
        <v>476</v>
      </c>
      <c r="B42" s="46"/>
      <c r="C42" s="64" t="s">
        <v>15</v>
      </c>
      <c r="D42" s="46"/>
      <c r="E42" s="45">
        <v>623832</v>
      </c>
      <c r="F42" s="45"/>
      <c r="G42" s="45">
        <v>0</v>
      </c>
      <c r="H42" s="45"/>
      <c r="I42" s="45">
        <v>0</v>
      </c>
      <c r="J42" s="45"/>
      <c r="K42" s="45">
        <v>0</v>
      </c>
      <c r="L42" s="45"/>
      <c r="M42" s="45">
        <v>15994</v>
      </c>
      <c r="N42" s="45"/>
      <c r="O42" s="45">
        <v>44433</v>
      </c>
      <c r="P42" s="45"/>
      <c r="Q42" s="45">
        <v>0</v>
      </c>
      <c r="R42" s="45"/>
      <c r="S42" s="45">
        <v>0</v>
      </c>
      <c r="T42" s="45"/>
      <c r="U42" s="45">
        <v>0</v>
      </c>
      <c r="V42" s="45"/>
      <c r="W42" s="45">
        <v>0</v>
      </c>
      <c r="X42" s="45"/>
      <c r="Y42" s="45">
        <v>0</v>
      </c>
      <c r="Z42" s="44"/>
      <c r="AA42" s="45">
        <v>0</v>
      </c>
      <c r="AB42" s="44"/>
      <c r="AC42" s="45">
        <f t="shared" si="1"/>
        <v>684259</v>
      </c>
      <c r="AD42" s="45"/>
      <c r="AE42" s="48">
        <v>0</v>
      </c>
      <c r="AF42" s="48"/>
      <c r="AG42" s="45">
        <v>1380446</v>
      </c>
      <c r="AH42" s="45"/>
      <c r="AI42" s="45">
        <v>322437</v>
      </c>
      <c r="AJ42" s="45"/>
      <c r="AK42" s="45">
        <v>0</v>
      </c>
      <c r="AL42" s="45"/>
      <c r="AM42" s="45">
        <f>+'Gen rev'!U42-'Gen exp'!AC42-AG42+'Gen rev'!W42+AI42+AK42-'Gen Bal'!S42-'Gen exp'!AE42</f>
        <v>0</v>
      </c>
      <c r="AN42" s="45"/>
      <c r="AO42" s="45"/>
      <c r="AP42" s="45"/>
      <c r="AQ42" s="45"/>
      <c r="AR42" s="52"/>
      <c r="AS42" s="50"/>
    </row>
    <row r="43" spans="1:45" s="49" customFormat="1" ht="12.75" customHeight="1" x14ac:dyDescent="0.2">
      <c r="A43" s="44" t="s">
        <v>504</v>
      </c>
      <c r="B43" s="47"/>
      <c r="C43" s="44" t="s">
        <v>43</v>
      </c>
      <c r="D43" s="46"/>
      <c r="E43" s="45">
        <v>1789433</v>
      </c>
      <c r="F43" s="45"/>
      <c r="G43" s="45">
        <v>998800</v>
      </c>
      <c r="H43" s="45"/>
      <c r="I43" s="45">
        <v>460702</v>
      </c>
      <c r="J43" s="45"/>
      <c r="K43" s="45">
        <v>62842</v>
      </c>
      <c r="L43" s="45"/>
      <c r="M43" s="45">
        <v>674418</v>
      </c>
      <c r="N43" s="45"/>
      <c r="O43" s="45">
        <v>482475</v>
      </c>
      <c r="P43" s="45"/>
      <c r="Q43" s="45">
        <v>0</v>
      </c>
      <c r="R43" s="45"/>
      <c r="S43" s="45">
        <v>121765</v>
      </c>
      <c r="T43" s="45"/>
      <c r="U43" s="45">
        <v>0</v>
      </c>
      <c r="V43" s="45"/>
      <c r="W43" s="45">
        <v>6029</v>
      </c>
      <c r="X43" s="45"/>
      <c r="Y43" s="45">
        <v>2033</v>
      </c>
      <c r="Z43" s="44"/>
      <c r="AA43" s="45">
        <v>0</v>
      </c>
      <c r="AB43" s="44"/>
      <c r="AC43" s="45">
        <f t="shared" ref="AC43" si="3">SUM(E43:AA43)</f>
        <v>4598497</v>
      </c>
      <c r="AD43" s="45"/>
      <c r="AE43" s="48">
        <v>0</v>
      </c>
      <c r="AF43" s="48"/>
      <c r="AG43" s="45">
        <v>1435553</v>
      </c>
      <c r="AH43" s="45"/>
      <c r="AI43" s="45">
        <v>3203122</v>
      </c>
      <c r="AJ43" s="45"/>
      <c r="AK43" s="45">
        <v>0</v>
      </c>
      <c r="AL43" s="45"/>
      <c r="AM43" s="45">
        <f>+'Gen rev'!U43-'Gen exp'!AC43-AG43+'Gen rev'!W43+AI43+AK43-'Gen Bal'!S43-'Gen exp'!AE43</f>
        <v>0</v>
      </c>
      <c r="AN43" s="45"/>
      <c r="AO43" s="45"/>
      <c r="AP43" s="45"/>
      <c r="AQ43" s="45"/>
      <c r="AR43" s="52"/>
      <c r="AS43" s="50"/>
    </row>
    <row r="44" spans="1:45" s="49" customFormat="1" ht="12.75" customHeight="1" x14ac:dyDescent="0.2">
      <c r="A44" s="28" t="s">
        <v>60</v>
      </c>
      <c r="C44" s="28" t="s">
        <v>61</v>
      </c>
      <c r="E44" s="45">
        <v>848989</v>
      </c>
      <c r="F44" s="45"/>
      <c r="G44" s="45">
        <v>2301391</v>
      </c>
      <c r="H44" s="45"/>
      <c r="I44" s="45">
        <v>90954</v>
      </c>
      <c r="J44" s="45"/>
      <c r="K44" s="45">
        <v>86421</v>
      </c>
      <c r="L44" s="45"/>
      <c r="M44" s="45">
        <v>0</v>
      </c>
      <c r="N44" s="45"/>
      <c r="O44" s="45">
        <v>0</v>
      </c>
      <c r="P44" s="45"/>
      <c r="Q44" s="45">
        <v>0</v>
      </c>
      <c r="R44" s="45"/>
      <c r="S44" s="45">
        <v>231430</v>
      </c>
      <c r="T44" s="45"/>
      <c r="U44" s="45">
        <v>0</v>
      </c>
      <c r="V44" s="45"/>
      <c r="W44" s="45">
        <v>0</v>
      </c>
      <c r="X44" s="45"/>
      <c r="Y44" s="45">
        <v>0</v>
      </c>
      <c r="Z44" s="44"/>
      <c r="AA44" s="45">
        <v>0</v>
      </c>
      <c r="AB44" s="44"/>
      <c r="AC44" s="45">
        <f t="shared" si="1"/>
        <v>3559185</v>
      </c>
      <c r="AD44" s="45"/>
      <c r="AE44" s="48">
        <v>0</v>
      </c>
      <c r="AF44" s="48"/>
      <c r="AG44" s="45">
        <v>143201</v>
      </c>
      <c r="AH44" s="45"/>
      <c r="AI44" s="45">
        <v>2029877</v>
      </c>
      <c r="AJ44" s="45"/>
      <c r="AK44" s="45">
        <v>0</v>
      </c>
      <c r="AL44" s="45"/>
      <c r="AM44" s="45">
        <f>+'Gen rev'!U44-'Gen exp'!AC44-AG44+'Gen rev'!W44+AI44+AK44-'Gen Bal'!S44-'Gen exp'!AE44</f>
        <v>0</v>
      </c>
      <c r="AN44" s="45"/>
      <c r="AO44" s="45"/>
      <c r="AP44" s="45"/>
      <c r="AQ44" s="45"/>
      <c r="AR44" s="52"/>
      <c r="AS44" s="50"/>
    </row>
    <row r="45" spans="1:45" s="49" customFormat="1" ht="12.75" hidden="1" customHeight="1" x14ac:dyDescent="0.2">
      <c r="A45" s="46" t="s">
        <v>62</v>
      </c>
      <c r="B45" s="46"/>
      <c r="C45" s="64" t="s">
        <v>15</v>
      </c>
      <c r="D45" s="46"/>
      <c r="E45" s="45">
        <v>16257615</v>
      </c>
      <c r="F45" s="45"/>
      <c r="G45" s="45">
        <v>32452739</v>
      </c>
      <c r="H45" s="45"/>
      <c r="I45" s="45">
        <v>0</v>
      </c>
      <c r="J45" s="45"/>
      <c r="K45" s="45">
        <v>2434085</v>
      </c>
      <c r="L45" s="45"/>
      <c r="M45" s="45">
        <v>1483419</v>
      </c>
      <c r="N45" s="45"/>
      <c r="O45" s="45">
        <v>1646489</v>
      </c>
      <c r="P45" s="45"/>
      <c r="Q45" s="45">
        <v>0</v>
      </c>
      <c r="R45" s="45"/>
      <c r="S45" s="45">
        <v>0</v>
      </c>
      <c r="T45" s="45"/>
      <c r="U45" s="45">
        <v>0</v>
      </c>
      <c r="V45" s="45"/>
      <c r="W45" s="45">
        <v>395000</v>
      </c>
      <c r="X45" s="45"/>
      <c r="Y45" s="45">
        <v>142850</v>
      </c>
      <c r="Z45" s="44"/>
      <c r="AA45" s="45">
        <v>0</v>
      </c>
      <c r="AB45" s="44"/>
      <c r="AC45" s="45">
        <f t="shared" si="1"/>
        <v>54812197</v>
      </c>
      <c r="AD45" s="45"/>
      <c r="AE45" s="48">
        <v>0</v>
      </c>
      <c r="AF45" s="48"/>
      <c r="AG45" s="45">
        <v>44000</v>
      </c>
      <c r="AH45" s="45"/>
      <c r="AI45" s="45">
        <v>4730733</v>
      </c>
      <c r="AJ45" s="45"/>
      <c r="AK45" s="45">
        <v>0</v>
      </c>
      <c r="AL45" s="45"/>
      <c r="AM45" s="45">
        <f>+'Gen rev'!U45-'Gen exp'!AC45-AG45+'Gen rev'!W45+AI45+AK45-'Gen Bal'!S45-'Gen exp'!AE45</f>
        <v>0</v>
      </c>
      <c r="AN45" s="121" t="s">
        <v>503</v>
      </c>
      <c r="AO45" s="45"/>
      <c r="AP45" s="45"/>
      <c r="AQ45" s="45"/>
      <c r="AR45" s="52"/>
      <c r="AS45" s="50"/>
    </row>
    <row r="46" spans="1:45" s="129" customFormat="1" ht="12.75" hidden="1" customHeight="1" x14ac:dyDescent="0.2">
      <c r="A46" s="150" t="s">
        <v>485</v>
      </c>
      <c r="C46" s="150" t="s">
        <v>111</v>
      </c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1"/>
      <c r="AA46" s="127"/>
      <c r="AB46" s="121"/>
      <c r="AC46" s="127">
        <f t="shared" si="1"/>
        <v>0</v>
      </c>
      <c r="AD46" s="127"/>
      <c r="AE46" s="130"/>
      <c r="AF46" s="130"/>
      <c r="AG46" s="127"/>
      <c r="AH46" s="127"/>
      <c r="AI46" s="127"/>
      <c r="AJ46" s="127"/>
      <c r="AK46" s="127"/>
      <c r="AL46" s="127"/>
      <c r="AM46" s="127">
        <f>+'Gen rev'!U46-'Gen exp'!AC46-AG46+'Gen rev'!W46+AI46+AK46-'Gen Bal'!S46-'Gen exp'!AE46</f>
        <v>0</v>
      </c>
      <c r="AN46" s="121" t="s">
        <v>505</v>
      </c>
      <c r="AO46" s="130"/>
      <c r="AP46" s="130"/>
      <c r="AQ46" s="130"/>
      <c r="AR46" s="132"/>
      <c r="AS46" s="133"/>
    </row>
    <row r="47" spans="1:45" s="49" customFormat="1" ht="12.75" customHeight="1" x14ac:dyDescent="0.2">
      <c r="A47" s="28" t="s">
        <v>63</v>
      </c>
      <c r="C47" s="28" t="s">
        <v>64</v>
      </c>
      <c r="E47" s="45">
        <v>1303755</v>
      </c>
      <c r="F47" s="45"/>
      <c r="G47" s="45">
        <v>3048712</v>
      </c>
      <c r="H47" s="45"/>
      <c r="I47" s="45">
        <v>30544</v>
      </c>
      <c r="J47" s="45"/>
      <c r="K47" s="45">
        <v>79768</v>
      </c>
      <c r="L47" s="45"/>
      <c r="M47" s="45">
        <v>159572</v>
      </c>
      <c r="N47" s="45"/>
      <c r="O47" s="45">
        <v>721814</v>
      </c>
      <c r="P47" s="45"/>
      <c r="Q47" s="45">
        <v>201351</v>
      </c>
      <c r="R47" s="45"/>
      <c r="S47" s="45">
        <v>0</v>
      </c>
      <c r="T47" s="45"/>
      <c r="U47" s="45">
        <v>0</v>
      </c>
      <c r="V47" s="45"/>
      <c r="W47" s="45">
        <v>0</v>
      </c>
      <c r="X47" s="45"/>
      <c r="Y47" s="45">
        <v>0</v>
      </c>
      <c r="Z47" s="44"/>
      <c r="AA47" s="45">
        <v>0</v>
      </c>
      <c r="AB47" s="44"/>
      <c r="AC47" s="45">
        <f t="shared" si="1"/>
        <v>5545516</v>
      </c>
      <c r="AD47" s="45"/>
      <c r="AE47" s="48">
        <v>0</v>
      </c>
      <c r="AF47" s="48"/>
      <c r="AG47" s="45">
        <v>1342407</v>
      </c>
      <c r="AH47" s="45"/>
      <c r="AI47" s="45">
        <v>1233320</v>
      </c>
      <c r="AJ47" s="45"/>
      <c r="AK47" s="45">
        <v>0</v>
      </c>
      <c r="AL47" s="45"/>
      <c r="AM47" s="45">
        <f>+'Gen rev'!U47-'Gen exp'!AC47-AG47+'Gen rev'!W47+AI47+AK47-'Gen Bal'!S47-'Gen exp'!AE47</f>
        <v>0</v>
      </c>
      <c r="AN47" s="48"/>
      <c r="AO47" s="48"/>
      <c r="AP47" s="48"/>
      <c r="AQ47" s="48"/>
      <c r="AR47" s="52"/>
      <c r="AS47" s="50"/>
    </row>
    <row r="48" spans="1:45" s="49" customFormat="1" ht="12.75" customHeight="1" x14ac:dyDescent="0.2">
      <c r="A48" s="28" t="s">
        <v>65</v>
      </c>
      <c r="C48" s="28" t="s">
        <v>66</v>
      </c>
      <c r="E48" s="45">
        <v>4539192</v>
      </c>
      <c r="F48" s="45"/>
      <c r="G48" s="45">
        <v>6119776</v>
      </c>
      <c r="H48" s="45"/>
      <c r="I48" s="45">
        <v>289791</v>
      </c>
      <c r="J48" s="45"/>
      <c r="K48" s="45">
        <v>0</v>
      </c>
      <c r="L48" s="45"/>
      <c r="M48" s="45">
        <v>0</v>
      </c>
      <c r="N48" s="45"/>
      <c r="O48" s="45">
        <v>247852</v>
      </c>
      <c r="P48" s="45"/>
      <c r="Q48" s="45">
        <v>0</v>
      </c>
      <c r="R48" s="45"/>
      <c r="S48" s="45">
        <v>154780</v>
      </c>
      <c r="T48" s="45"/>
      <c r="U48" s="45">
        <v>0</v>
      </c>
      <c r="V48" s="45"/>
      <c r="W48" s="45">
        <v>0</v>
      </c>
      <c r="X48" s="45"/>
      <c r="Y48" s="45">
        <v>0</v>
      </c>
      <c r="Z48" s="44"/>
      <c r="AA48" s="45">
        <v>0</v>
      </c>
      <c r="AB48" s="44"/>
      <c r="AC48" s="45">
        <f t="shared" si="1"/>
        <v>11351391</v>
      </c>
      <c r="AD48" s="45"/>
      <c r="AE48" s="48">
        <v>0</v>
      </c>
      <c r="AF48" s="48"/>
      <c r="AG48" s="45">
        <v>4829000</v>
      </c>
      <c r="AH48" s="45"/>
      <c r="AI48" s="45">
        <v>12365150</v>
      </c>
      <c r="AJ48" s="45"/>
      <c r="AK48" s="45">
        <v>999</v>
      </c>
      <c r="AL48" s="45"/>
      <c r="AM48" s="45">
        <f>+'Gen rev'!U48-'Gen exp'!AC48-AG48+'Gen rev'!W48+AI48+AK48-'Gen Bal'!S48-'Gen exp'!AE48</f>
        <v>0</v>
      </c>
      <c r="AN48" s="45"/>
      <c r="AO48" s="45"/>
      <c r="AP48" s="45"/>
      <c r="AQ48" s="45"/>
      <c r="AR48" s="52"/>
      <c r="AS48" s="50"/>
    </row>
    <row r="49" spans="1:45" s="49" customFormat="1" ht="12.75" customHeight="1" x14ac:dyDescent="0.2">
      <c r="A49" s="28" t="s">
        <v>67</v>
      </c>
      <c r="C49" s="28" t="s">
        <v>375</v>
      </c>
      <c r="E49" s="45">
        <v>2504004</v>
      </c>
      <c r="F49" s="45"/>
      <c r="G49" s="45">
        <v>1287305</v>
      </c>
      <c r="H49" s="45"/>
      <c r="I49" s="45">
        <v>150604</v>
      </c>
      <c r="J49" s="45"/>
      <c r="K49" s="45">
        <v>14150</v>
      </c>
      <c r="L49" s="45"/>
      <c r="M49" s="45">
        <v>1551172</v>
      </c>
      <c r="N49" s="45"/>
      <c r="O49" s="45">
        <v>0</v>
      </c>
      <c r="P49" s="45"/>
      <c r="Q49" s="45">
        <v>0</v>
      </c>
      <c r="R49" s="45"/>
      <c r="S49" s="45">
        <v>96596</v>
      </c>
      <c r="T49" s="45"/>
      <c r="U49" s="45">
        <v>0</v>
      </c>
      <c r="V49" s="45"/>
      <c r="W49" s="45">
        <v>66304</v>
      </c>
      <c r="X49" s="45"/>
      <c r="Y49" s="45">
        <v>0</v>
      </c>
      <c r="Z49" s="44"/>
      <c r="AA49" s="45">
        <v>0</v>
      </c>
      <c r="AB49" s="44"/>
      <c r="AC49" s="45">
        <f t="shared" si="1"/>
        <v>5670135</v>
      </c>
      <c r="AD49" s="45"/>
      <c r="AE49" s="48">
        <v>0</v>
      </c>
      <c r="AF49" s="48"/>
      <c r="AG49" s="45">
        <v>1310000</v>
      </c>
      <c r="AH49" s="45"/>
      <c r="AI49" s="45">
        <v>2413178</v>
      </c>
      <c r="AJ49" s="45"/>
      <c r="AK49" s="45">
        <v>0</v>
      </c>
      <c r="AL49" s="45"/>
      <c r="AM49" s="45">
        <f>+'Gen rev'!U49-'Gen exp'!AC49-AG49+'Gen rev'!W49+AI49+AK49-'Gen Bal'!S49-'Gen exp'!AE49</f>
        <v>0</v>
      </c>
      <c r="AN49" s="45"/>
      <c r="AO49" s="45"/>
      <c r="AP49" s="45"/>
      <c r="AQ49" s="45"/>
      <c r="AR49" s="52"/>
      <c r="AS49" s="50"/>
    </row>
    <row r="50" spans="1:45" s="49" customFormat="1" ht="12.75" customHeight="1" x14ac:dyDescent="0.2">
      <c r="A50" s="28" t="s">
        <v>68</v>
      </c>
      <c r="C50" s="28" t="s">
        <v>45</v>
      </c>
      <c r="E50" s="45">
        <v>1415718</v>
      </c>
      <c r="F50" s="45"/>
      <c r="G50" s="45">
        <v>2233415</v>
      </c>
      <c r="H50" s="45"/>
      <c r="I50" s="45">
        <v>0</v>
      </c>
      <c r="J50" s="45"/>
      <c r="K50" s="45">
        <v>7243</v>
      </c>
      <c r="L50" s="45"/>
      <c r="M50" s="45">
        <v>202743</v>
      </c>
      <c r="N50" s="45"/>
      <c r="O50" s="45">
        <v>92344</v>
      </c>
      <c r="P50" s="45"/>
      <c r="Q50" s="45">
        <v>363517</v>
      </c>
      <c r="R50" s="45"/>
      <c r="S50" s="45">
        <v>0</v>
      </c>
      <c r="T50" s="45"/>
      <c r="U50" s="45">
        <v>0</v>
      </c>
      <c r="V50" s="45"/>
      <c r="W50" s="45">
        <v>0</v>
      </c>
      <c r="X50" s="45"/>
      <c r="Y50" s="45">
        <v>0</v>
      </c>
      <c r="Z50" s="44"/>
      <c r="AA50" s="45">
        <v>0</v>
      </c>
      <c r="AB50" s="44"/>
      <c r="AC50" s="45">
        <f t="shared" si="1"/>
        <v>4314980</v>
      </c>
      <c r="AD50" s="45"/>
      <c r="AE50" s="48">
        <v>0</v>
      </c>
      <c r="AF50" s="48"/>
      <c r="AG50" s="45">
        <v>55654</v>
      </c>
      <c r="AH50" s="45"/>
      <c r="AI50" s="45">
        <v>797514</v>
      </c>
      <c r="AJ50" s="45"/>
      <c r="AK50" s="45">
        <v>-7245</v>
      </c>
      <c r="AL50" s="45"/>
      <c r="AM50" s="45">
        <f>+'Gen rev'!U50-'Gen exp'!AC50-AG50+'Gen rev'!W50+AI50+AK50-'Gen Bal'!S50-'Gen exp'!AE50</f>
        <v>0</v>
      </c>
      <c r="AN50" s="45"/>
      <c r="AO50" s="45"/>
      <c r="AP50" s="45"/>
      <c r="AQ50" s="45"/>
      <c r="AR50" s="52"/>
      <c r="AS50" s="50"/>
    </row>
    <row r="51" spans="1:45" s="49" customFormat="1" ht="12.75" customHeight="1" x14ac:dyDescent="0.2">
      <c r="A51" s="28" t="s">
        <v>69</v>
      </c>
      <c r="C51" s="28" t="s">
        <v>70</v>
      </c>
      <c r="E51" s="45">
        <v>5604348</v>
      </c>
      <c r="F51" s="45"/>
      <c r="G51" s="45">
        <f>4708481+4421878</f>
        <v>9130359</v>
      </c>
      <c r="H51" s="45"/>
      <c r="I51" s="45">
        <v>47594</v>
      </c>
      <c r="J51" s="45"/>
      <c r="K51" s="45">
        <v>0</v>
      </c>
      <c r="L51" s="45"/>
      <c r="M51" s="45">
        <v>262999</v>
      </c>
      <c r="N51" s="45"/>
      <c r="O51" s="45">
        <v>101114</v>
      </c>
      <c r="P51" s="45"/>
      <c r="Q51" s="45">
        <v>685053</v>
      </c>
      <c r="R51" s="45"/>
      <c r="S51" s="45">
        <v>59045</v>
      </c>
      <c r="T51" s="45"/>
      <c r="U51" s="45">
        <v>0</v>
      </c>
      <c r="V51" s="45"/>
      <c r="W51" s="45">
        <v>38523</v>
      </c>
      <c r="X51" s="45"/>
      <c r="Y51" s="45">
        <v>45769</v>
      </c>
      <c r="Z51" s="44"/>
      <c r="AA51" s="45">
        <v>0</v>
      </c>
      <c r="AB51" s="44"/>
      <c r="AC51" s="45">
        <f t="shared" si="1"/>
        <v>15974804</v>
      </c>
      <c r="AD51" s="45"/>
      <c r="AE51" s="48">
        <v>0</v>
      </c>
      <c r="AF51" s="48"/>
      <c r="AG51" s="45">
        <v>1599956</v>
      </c>
      <c r="AH51" s="45"/>
      <c r="AI51" s="45">
        <v>1583510</v>
      </c>
      <c r="AJ51" s="45"/>
      <c r="AK51" s="45">
        <v>0</v>
      </c>
      <c r="AL51" s="45"/>
      <c r="AM51" s="45">
        <f>+'Gen rev'!U51-'Gen exp'!AC51-AG51+'Gen rev'!W51+AI51+AK51-'Gen Bal'!S51-'Gen exp'!AE51</f>
        <v>0</v>
      </c>
      <c r="AN51" s="45"/>
      <c r="AO51" s="45"/>
      <c r="AP51" s="45"/>
      <c r="AQ51" s="45"/>
      <c r="AR51" s="52"/>
      <c r="AS51" s="50"/>
    </row>
    <row r="52" spans="1:45" s="49" customFormat="1" ht="12.75" customHeight="1" x14ac:dyDescent="0.2">
      <c r="A52" s="28" t="s">
        <v>71</v>
      </c>
      <c r="C52" s="28" t="s">
        <v>45</v>
      </c>
      <c r="E52" s="45">
        <v>31471000</v>
      </c>
      <c r="F52" s="45"/>
      <c r="G52" s="45">
        <v>165771000</v>
      </c>
      <c r="H52" s="45"/>
      <c r="I52" s="45">
        <v>4406000</v>
      </c>
      <c r="J52" s="45"/>
      <c r="K52" s="45">
        <v>13654000</v>
      </c>
      <c r="L52" s="45"/>
      <c r="M52" s="45">
        <v>1146000</v>
      </c>
      <c r="N52" s="45"/>
      <c r="O52" s="45">
        <v>16383000</v>
      </c>
      <c r="P52" s="45"/>
      <c r="Q52" s="45">
        <f>15457000+82308000</f>
        <v>97765000</v>
      </c>
      <c r="R52" s="45"/>
      <c r="S52" s="45">
        <v>0</v>
      </c>
      <c r="T52" s="45"/>
      <c r="U52" s="45">
        <v>0</v>
      </c>
      <c r="V52" s="45"/>
      <c r="W52" s="45">
        <v>0</v>
      </c>
      <c r="X52" s="45"/>
      <c r="Y52" s="45">
        <v>0</v>
      </c>
      <c r="Z52" s="44"/>
      <c r="AA52" s="45">
        <v>0</v>
      </c>
      <c r="AB52" s="44"/>
      <c r="AC52" s="45">
        <f t="shared" si="1"/>
        <v>330596000</v>
      </c>
      <c r="AD52" s="45"/>
      <c r="AE52" s="48">
        <v>0</v>
      </c>
      <c r="AF52" s="48"/>
      <c r="AG52" s="45">
        <v>3708000</v>
      </c>
      <c r="AH52" s="45"/>
      <c r="AI52" s="45">
        <v>85354000</v>
      </c>
      <c r="AJ52" s="45"/>
      <c r="AK52" s="45">
        <v>0</v>
      </c>
      <c r="AL52" s="45"/>
      <c r="AM52" s="45">
        <f>+'Gen rev'!U52-'Gen exp'!AC52-AG52+'Gen rev'!W52+AI52+AK52-'Gen Bal'!S52-'Gen exp'!AE52</f>
        <v>0</v>
      </c>
      <c r="AN52" s="45"/>
      <c r="AO52" s="45"/>
      <c r="AP52" s="45"/>
      <c r="AQ52" s="45"/>
      <c r="AR52" s="52"/>
      <c r="AS52" s="50"/>
    </row>
    <row r="53" spans="1:45" s="49" customFormat="1" ht="12.75" customHeight="1" x14ac:dyDescent="0.2">
      <c r="A53" s="47" t="s">
        <v>463</v>
      </c>
      <c r="C53" s="47" t="s">
        <v>464</v>
      </c>
      <c r="E53" s="45">
        <v>1895229</v>
      </c>
      <c r="F53" s="45"/>
      <c r="G53" s="45">
        <f>1309325+649777+101453</f>
        <v>2060555</v>
      </c>
      <c r="H53" s="45"/>
      <c r="I53" s="45">
        <v>6983</v>
      </c>
      <c r="J53" s="45"/>
      <c r="K53" s="45">
        <v>309164</v>
      </c>
      <c r="L53" s="45"/>
      <c r="M53" s="45">
        <v>296608</v>
      </c>
      <c r="N53" s="45"/>
      <c r="O53" s="45">
        <f>96569+23840+25247</f>
        <v>145656</v>
      </c>
      <c r="P53" s="45"/>
      <c r="Q53" s="45">
        <v>817</v>
      </c>
      <c r="R53" s="45"/>
      <c r="S53" s="45">
        <v>0</v>
      </c>
      <c r="T53" s="45"/>
      <c r="U53" s="45">
        <v>0</v>
      </c>
      <c r="V53" s="45"/>
      <c r="W53" s="45">
        <v>9381</v>
      </c>
      <c r="X53" s="45"/>
      <c r="Y53" s="45">
        <v>1208</v>
      </c>
      <c r="Z53" s="44"/>
      <c r="AA53" s="45">
        <v>0</v>
      </c>
      <c r="AB53" s="44"/>
      <c r="AC53" s="45">
        <f t="shared" si="1"/>
        <v>4725601</v>
      </c>
      <c r="AD53" s="45"/>
      <c r="AE53" s="48">
        <v>0</v>
      </c>
      <c r="AF53" s="48"/>
      <c r="AG53" s="45">
        <v>550000</v>
      </c>
      <c r="AH53" s="45"/>
      <c r="AI53" s="45">
        <v>1492028</v>
      </c>
      <c r="AJ53" s="45"/>
      <c r="AK53" s="45">
        <v>0</v>
      </c>
      <c r="AL53" s="45"/>
      <c r="AM53" s="45">
        <f>+'Gen rev'!U53-'Gen exp'!AC53-AG53+'Gen rev'!W53+AI53+AK53-'Gen Bal'!S53-'Gen exp'!AE53</f>
        <v>0</v>
      </c>
      <c r="AN53" s="45"/>
      <c r="AO53" s="45"/>
      <c r="AP53" s="45"/>
      <c r="AQ53" s="45"/>
      <c r="AR53" s="52"/>
      <c r="AS53" s="50"/>
    </row>
    <row r="54" spans="1:45" s="49" customFormat="1" ht="12.75" customHeight="1" x14ac:dyDescent="0.2">
      <c r="A54" s="28" t="s">
        <v>72</v>
      </c>
      <c r="C54" s="28" t="s">
        <v>66</v>
      </c>
      <c r="E54" s="45">
        <v>1924915</v>
      </c>
      <c r="F54" s="45"/>
      <c r="G54" s="45">
        <v>0</v>
      </c>
      <c r="H54" s="45"/>
      <c r="I54" s="45">
        <v>0</v>
      </c>
      <c r="J54" s="45"/>
      <c r="K54" s="45">
        <v>0</v>
      </c>
      <c r="L54" s="45"/>
      <c r="M54" s="45">
        <v>0</v>
      </c>
      <c r="N54" s="45"/>
      <c r="O54" s="45">
        <v>0</v>
      </c>
      <c r="P54" s="45"/>
      <c r="Q54" s="45">
        <v>0</v>
      </c>
      <c r="R54" s="45"/>
      <c r="S54" s="45">
        <v>0</v>
      </c>
      <c r="T54" s="45"/>
      <c r="U54" s="45">
        <v>0</v>
      </c>
      <c r="V54" s="45"/>
      <c r="W54" s="45">
        <v>0</v>
      </c>
      <c r="X54" s="45"/>
      <c r="Y54" s="45">
        <v>0</v>
      </c>
      <c r="Z54" s="44"/>
      <c r="AA54" s="45">
        <v>0</v>
      </c>
      <c r="AB54" s="44"/>
      <c r="AC54" s="45">
        <f t="shared" si="1"/>
        <v>1924915</v>
      </c>
      <c r="AD54" s="45"/>
      <c r="AE54" s="48">
        <v>0</v>
      </c>
      <c r="AF54" s="48"/>
      <c r="AG54" s="45">
        <v>666018</v>
      </c>
      <c r="AH54" s="45"/>
      <c r="AI54" s="45">
        <v>1519482</v>
      </c>
      <c r="AJ54" s="45"/>
      <c r="AK54" s="45">
        <v>0</v>
      </c>
      <c r="AL54" s="45"/>
      <c r="AM54" s="45">
        <f>+'Gen rev'!U54-'Gen exp'!AC54-AG54+'Gen rev'!W54+AI54+AK54-'Gen Bal'!S54-'Gen exp'!AE54</f>
        <v>0</v>
      </c>
      <c r="AN54" s="45"/>
      <c r="AO54" s="45"/>
      <c r="AP54" s="45"/>
      <c r="AQ54" s="45"/>
      <c r="AR54" s="52"/>
      <c r="AS54" s="50"/>
    </row>
    <row r="55" spans="1:45" s="49" customFormat="1" ht="12.75" customHeight="1" x14ac:dyDescent="0.2">
      <c r="A55" s="28" t="s">
        <v>73</v>
      </c>
      <c r="C55" s="28" t="s">
        <v>27</v>
      </c>
      <c r="E55" s="45">
        <v>69790000</v>
      </c>
      <c r="F55" s="45"/>
      <c r="G55" s="45">
        <v>292594000</v>
      </c>
      <c r="H55" s="45"/>
      <c r="I55" s="45">
        <f>8333000+1400000</f>
        <v>9733000</v>
      </c>
      <c r="J55" s="45"/>
      <c r="K55" s="45">
        <v>4451000</v>
      </c>
      <c r="L55" s="45"/>
      <c r="M55" s="45">
        <v>0</v>
      </c>
      <c r="N55" s="45"/>
      <c r="O55" s="45">
        <v>36130000</v>
      </c>
      <c r="P55" s="45"/>
      <c r="Q55" s="45">
        <f>33795000+11171000</f>
        <v>44966000</v>
      </c>
      <c r="R55" s="45"/>
      <c r="S55" s="45">
        <v>2350000</v>
      </c>
      <c r="T55" s="45"/>
      <c r="U55" s="45">
        <v>0</v>
      </c>
      <c r="V55" s="45"/>
      <c r="W55" s="45">
        <v>0</v>
      </c>
      <c r="X55" s="45"/>
      <c r="Y55" s="45">
        <v>0</v>
      </c>
      <c r="Z55" s="44"/>
      <c r="AA55" s="45">
        <v>0</v>
      </c>
      <c r="AB55" s="44"/>
      <c r="AC55" s="45">
        <f t="shared" si="1"/>
        <v>460014000</v>
      </c>
      <c r="AD55" s="45"/>
      <c r="AE55" s="48">
        <v>0</v>
      </c>
      <c r="AF55" s="48"/>
      <c r="AG55" s="45">
        <v>18789000</v>
      </c>
      <c r="AH55" s="45"/>
      <c r="AI55" s="45">
        <v>30815000</v>
      </c>
      <c r="AJ55" s="45"/>
      <c r="AK55" s="45">
        <v>0</v>
      </c>
      <c r="AL55" s="45"/>
      <c r="AM55" s="45">
        <f>+'Gen rev'!U55-'Gen exp'!AC55-AG55+'Gen rev'!W55+AI55+AK55-'Gen Bal'!S55-'Gen exp'!AE55</f>
        <v>0</v>
      </c>
      <c r="AN55" s="45"/>
      <c r="AO55" s="45"/>
      <c r="AP55" s="45"/>
      <c r="AQ55" s="45"/>
      <c r="AR55" s="52"/>
      <c r="AS55" s="50"/>
    </row>
    <row r="56" spans="1:45" s="49" customFormat="1" ht="12.75" customHeight="1" x14ac:dyDescent="0.2">
      <c r="A56" s="28" t="s">
        <v>74</v>
      </c>
      <c r="C56" s="28" t="s">
        <v>27</v>
      </c>
      <c r="E56" s="45">
        <v>12816780</v>
      </c>
      <c r="F56" s="45"/>
      <c r="G56" s="45">
        <v>15106580</v>
      </c>
      <c r="H56" s="45"/>
      <c r="I56" s="45">
        <v>1942782</v>
      </c>
      <c r="J56" s="45"/>
      <c r="K56" s="45">
        <v>339912</v>
      </c>
      <c r="L56" s="45"/>
      <c r="M56" s="45">
        <v>3279055</v>
      </c>
      <c r="N56" s="45"/>
      <c r="O56" s="45">
        <v>1794494</v>
      </c>
      <c r="P56" s="45"/>
      <c r="Q56" s="45">
        <v>2248499</v>
      </c>
      <c r="R56" s="45"/>
      <c r="S56" s="45">
        <v>0</v>
      </c>
      <c r="T56" s="45"/>
      <c r="U56" s="45">
        <v>0</v>
      </c>
      <c r="V56" s="45"/>
      <c r="W56" s="45">
        <v>78657</v>
      </c>
      <c r="X56" s="45"/>
      <c r="Y56" s="45">
        <v>8784</v>
      </c>
      <c r="Z56" s="44"/>
      <c r="AA56" s="45">
        <v>0</v>
      </c>
      <c r="AB56" s="44"/>
      <c r="AC56" s="45">
        <f t="shared" si="1"/>
        <v>37615543</v>
      </c>
      <c r="AD56" s="45"/>
      <c r="AE56" s="48">
        <v>0</v>
      </c>
      <c r="AF56" s="48"/>
      <c r="AG56" s="45">
        <v>2594714</v>
      </c>
      <c r="AH56" s="45"/>
      <c r="AI56" s="45">
        <v>8427712</v>
      </c>
      <c r="AJ56" s="45"/>
      <c r="AK56" s="45">
        <v>0</v>
      </c>
      <c r="AL56" s="45"/>
      <c r="AM56" s="45">
        <f>+'Gen rev'!U56-'Gen exp'!AC56-AG56+'Gen rev'!W56+AI56+AK56-'Gen Bal'!S56-'Gen exp'!AE56</f>
        <v>0</v>
      </c>
      <c r="AN56" s="48"/>
      <c r="AO56" s="48"/>
      <c r="AP56" s="48"/>
      <c r="AQ56" s="48"/>
      <c r="AR56" s="52"/>
      <c r="AS56" s="50"/>
    </row>
    <row r="57" spans="1:45" s="49" customFormat="1" ht="12.75" customHeight="1" x14ac:dyDescent="0.2">
      <c r="A57" s="28" t="s">
        <v>75</v>
      </c>
      <c r="C57" s="28" t="s">
        <v>76</v>
      </c>
      <c r="E57" s="45">
        <v>966702</v>
      </c>
      <c r="F57" s="45"/>
      <c r="G57" s="45">
        <v>1838474</v>
      </c>
      <c r="H57" s="45"/>
      <c r="I57" s="45">
        <v>411780</v>
      </c>
      <c r="J57" s="45"/>
      <c r="K57" s="45">
        <v>493383</v>
      </c>
      <c r="L57" s="45"/>
      <c r="M57" s="45">
        <v>0</v>
      </c>
      <c r="N57" s="45"/>
      <c r="O57" s="45">
        <v>0</v>
      </c>
      <c r="P57" s="45"/>
      <c r="Q57" s="45">
        <v>0</v>
      </c>
      <c r="R57" s="45"/>
      <c r="S57" s="45">
        <v>49830</v>
      </c>
      <c r="T57" s="45"/>
      <c r="U57" s="45">
        <v>0</v>
      </c>
      <c r="V57" s="45"/>
      <c r="W57" s="45">
        <v>131441</v>
      </c>
      <c r="X57" s="45"/>
      <c r="Y57" s="45">
        <v>9522</v>
      </c>
      <c r="Z57" s="44"/>
      <c r="AA57" s="45">
        <v>0</v>
      </c>
      <c r="AB57" s="44"/>
      <c r="AC57" s="45">
        <f t="shared" si="1"/>
        <v>3901132</v>
      </c>
      <c r="AD57" s="45"/>
      <c r="AE57" s="48">
        <v>0</v>
      </c>
      <c r="AF57" s="48"/>
      <c r="AG57" s="45">
        <v>153044</v>
      </c>
      <c r="AH57" s="45"/>
      <c r="AI57" s="45">
        <v>1237356</v>
      </c>
      <c r="AJ57" s="45"/>
      <c r="AK57" s="45">
        <v>0</v>
      </c>
      <c r="AL57" s="45"/>
      <c r="AM57" s="45">
        <f>+'Gen rev'!U57-'Gen exp'!AC57-AG57+'Gen rev'!W57+AI57+AK57-'Gen Bal'!S57-'Gen exp'!AE57</f>
        <v>0</v>
      </c>
      <c r="AN57" s="45"/>
      <c r="AO57" s="45"/>
      <c r="AP57" s="45"/>
      <c r="AQ57" s="45"/>
      <c r="AR57" s="52"/>
      <c r="AS57" s="50"/>
    </row>
    <row r="58" spans="1:45" s="49" customFormat="1" ht="12.75" hidden="1" customHeight="1" x14ac:dyDescent="0.2">
      <c r="A58" s="28" t="s">
        <v>77</v>
      </c>
      <c r="C58" s="28" t="s">
        <v>43</v>
      </c>
      <c r="E58" s="45">
        <v>92629000</v>
      </c>
      <c r="F58" s="45"/>
      <c r="G58" s="45">
        <v>496611000</v>
      </c>
      <c r="H58" s="45"/>
      <c r="I58" s="45">
        <v>24196000</v>
      </c>
      <c r="J58" s="45"/>
      <c r="K58" s="45">
        <v>0</v>
      </c>
      <c r="L58" s="45"/>
      <c r="M58" s="45">
        <v>0</v>
      </c>
      <c r="N58" s="45"/>
      <c r="O58" s="45">
        <v>0</v>
      </c>
      <c r="P58" s="45"/>
      <c r="Q58" s="45">
        <v>44737000</v>
      </c>
      <c r="R58" s="45"/>
      <c r="S58" s="45">
        <v>1990000</v>
      </c>
      <c r="T58" s="45"/>
      <c r="U58" s="45">
        <v>0</v>
      </c>
      <c r="V58" s="45"/>
      <c r="W58" s="45">
        <v>0</v>
      </c>
      <c r="X58" s="45"/>
      <c r="Y58" s="45">
        <v>0</v>
      </c>
      <c r="Z58" s="44"/>
      <c r="AA58" s="45">
        <v>0</v>
      </c>
      <c r="AB58" s="44"/>
      <c r="AC58" s="45">
        <f t="shared" si="1"/>
        <v>660163000</v>
      </c>
      <c r="AD58" s="45"/>
      <c r="AE58" s="48">
        <v>0</v>
      </c>
      <c r="AF58" s="48"/>
      <c r="AG58" s="45">
        <v>45006000</v>
      </c>
      <c r="AH58" s="45"/>
      <c r="AI58" s="45">
        <v>88912000</v>
      </c>
      <c r="AJ58" s="45"/>
      <c r="AK58" s="45">
        <v>0</v>
      </c>
      <c r="AL58" s="45"/>
      <c r="AM58" s="45">
        <f>+'Gen rev'!U58-'Gen exp'!AC58-AG58+'Gen rev'!W58+AI58+AK58-'Gen Bal'!S58-'Gen exp'!AE58</f>
        <v>0</v>
      </c>
      <c r="AN58" s="35"/>
      <c r="AO58" s="35"/>
      <c r="AP58" s="35"/>
      <c r="AQ58" s="35"/>
      <c r="AR58" s="50"/>
      <c r="AS58" s="50"/>
    </row>
    <row r="59" spans="1:45" s="49" customFormat="1" ht="12.75" customHeight="1" x14ac:dyDescent="0.2">
      <c r="A59" s="28" t="s">
        <v>94</v>
      </c>
      <c r="C59" s="28" t="s">
        <v>94</v>
      </c>
      <c r="E59" s="45">
        <v>318806</v>
      </c>
      <c r="F59" s="45"/>
      <c r="G59" s="45">
        <v>1200973</v>
      </c>
      <c r="H59" s="45"/>
      <c r="I59" s="45">
        <v>0</v>
      </c>
      <c r="J59" s="45"/>
      <c r="K59" s="45">
        <v>14539</v>
      </c>
      <c r="L59" s="45"/>
      <c r="M59" s="45">
        <v>0</v>
      </c>
      <c r="N59" s="45"/>
      <c r="O59" s="45">
        <v>308812</v>
      </c>
      <c r="P59" s="45"/>
      <c r="Q59" s="45">
        <v>0</v>
      </c>
      <c r="R59" s="45"/>
      <c r="S59" s="45">
        <v>0</v>
      </c>
      <c r="T59" s="45"/>
      <c r="U59" s="45">
        <v>0</v>
      </c>
      <c r="V59" s="45"/>
      <c r="W59" s="45">
        <v>0</v>
      </c>
      <c r="X59" s="45"/>
      <c r="Y59" s="45">
        <v>0</v>
      </c>
      <c r="Z59" s="44"/>
      <c r="AA59" s="45">
        <v>0</v>
      </c>
      <c r="AB59" s="44"/>
      <c r="AC59" s="45">
        <f t="shared" si="1"/>
        <v>1843130</v>
      </c>
      <c r="AD59" s="45"/>
      <c r="AE59" s="48">
        <v>0</v>
      </c>
      <c r="AF59" s="48"/>
      <c r="AG59" s="45">
        <v>995000</v>
      </c>
      <c r="AH59" s="45"/>
      <c r="AI59" s="45">
        <v>931640</v>
      </c>
      <c r="AJ59" s="45"/>
      <c r="AK59" s="45">
        <v>-353</v>
      </c>
      <c r="AL59" s="45"/>
      <c r="AM59" s="45">
        <f>+'Gen rev'!U60-'Gen exp'!AC59-AG59+'Gen rev'!W60+AI59+AK59-'Gen Bal'!S59-'Gen exp'!AE59</f>
        <v>0</v>
      </c>
      <c r="AN59" s="44"/>
      <c r="AO59" s="44"/>
      <c r="AP59" s="44"/>
      <c r="AQ59" s="44"/>
    </row>
    <row r="60" spans="1:45" s="49" customFormat="1" ht="12.75" customHeight="1" x14ac:dyDescent="0.2">
      <c r="A60" s="28" t="s">
        <v>78</v>
      </c>
      <c r="C60" s="28" t="s">
        <v>19</v>
      </c>
      <c r="E60" s="45">
        <v>1031190</v>
      </c>
      <c r="F60" s="45"/>
      <c r="G60" s="45">
        <v>2150612</v>
      </c>
      <c r="H60" s="45"/>
      <c r="I60" s="45">
        <v>27171</v>
      </c>
      <c r="J60" s="45"/>
      <c r="K60" s="45">
        <v>223038</v>
      </c>
      <c r="L60" s="45"/>
      <c r="M60" s="45">
        <v>0</v>
      </c>
      <c r="N60" s="45"/>
      <c r="O60" s="45">
        <v>45171</v>
      </c>
      <c r="P60" s="45"/>
      <c r="Q60" s="45">
        <v>0</v>
      </c>
      <c r="R60" s="45"/>
      <c r="S60" s="45">
        <v>0</v>
      </c>
      <c r="T60" s="45"/>
      <c r="U60" s="45">
        <v>0</v>
      </c>
      <c r="V60" s="45"/>
      <c r="W60" s="45">
        <v>26206</v>
      </c>
      <c r="X60" s="45"/>
      <c r="Y60" s="45">
        <v>3361</v>
      </c>
      <c r="Z60" s="44"/>
      <c r="AA60" s="45">
        <v>0</v>
      </c>
      <c r="AB60" s="44"/>
      <c r="AC60" s="45">
        <f t="shared" si="1"/>
        <v>3506749</v>
      </c>
      <c r="AD60" s="45"/>
      <c r="AE60" s="48">
        <v>0</v>
      </c>
      <c r="AF60" s="48"/>
      <c r="AG60" s="45">
        <v>36250</v>
      </c>
      <c r="AH60" s="45"/>
      <c r="AI60" s="45">
        <v>594480</v>
      </c>
      <c r="AJ60" s="45"/>
      <c r="AK60" s="45">
        <v>0</v>
      </c>
      <c r="AL60" s="45"/>
      <c r="AM60" s="45">
        <f>+'Gen rev'!U61-'Gen exp'!AC60-AG60+'Gen rev'!W61+AI60+AK60-'Gen Bal'!S60-'Gen exp'!AE60</f>
        <v>0</v>
      </c>
      <c r="AN60" s="44"/>
      <c r="AO60" s="44"/>
      <c r="AP60" s="44"/>
      <c r="AQ60" s="44"/>
    </row>
    <row r="61" spans="1:45" s="49" customFormat="1" ht="12.75" customHeight="1" x14ac:dyDescent="0.2">
      <c r="A61" s="28" t="s">
        <v>79</v>
      </c>
      <c r="C61" s="28" t="s">
        <v>80</v>
      </c>
      <c r="E61" s="45">
        <v>750009</v>
      </c>
      <c r="F61" s="45"/>
      <c r="G61" s="45">
        <v>46220</v>
      </c>
      <c r="H61" s="45"/>
      <c r="I61" s="45">
        <v>41816</v>
      </c>
      <c r="J61" s="45"/>
      <c r="K61" s="45">
        <v>0</v>
      </c>
      <c r="L61" s="45"/>
      <c r="M61" s="45">
        <v>0</v>
      </c>
      <c r="N61" s="45"/>
      <c r="O61" s="45">
        <v>37031</v>
      </c>
      <c r="P61" s="45"/>
      <c r="Q61" s="45">
        <v>223286</v>
      </c>
      <c r="R61" s="45"/>
      <c r="S61" s="45">
        <v>0</v>
      </c>
      <c r="T61" s="45"/>
      <c r="U61" s="45">
        <v>0</v>
      </c>
      <c r="V61" s="45"/>
      <c r="W61" s="45">
        <v>0</v>
      </c>
      <c r="X61" s="45"/>
      <c r="Y61" s="45">
        <v>0</v>
      </c>
      <c r="Z61" s="44"/>
      <c r="AA61" s="45">
        <v>0</v>
      </c>
      <c r="AB61" s="44"/>
      <c r="AC61" s="45">
        <f t="shared" si="1"/>
        <v>1098362</v>
      </c>
      <c r="AD61" s="45"/>
      <c r="AE61" s="48">
        <v>0</v>
      </c>
      <c r="AF61" s="48"/>
      <c r="AG61" s="45">
        <v>149272</v>
      </c>
      <c r="AH61" s="45"/>
      <c r="AI61" s="45">
        <v>755815</v>
      </c>
      <c r="AJ61" s="45"/>
      <c r="AK61" s="45">
        <v>0</v>
      </c>
      <c r="AL61" s="45"/>
      <c r="AM61" s="45">
        <f>+'Gen rev'!U62-'Gen exp'!AC61-AG61+'Gen rev'!W62+AI61+AK61-'Gen Bal'!S62-'Gen exp'!AE61</f>
        <v>0</v>
      </c>
      <c r="AN61" s="44"/>
      <c r="AO61" s="44"/>
      <c r="AP61" s="44"/>
      <c r="AQ61" s="44"/>
    </row>
    <row r="62" spans="1:45" s="49" customFormat="1" ht="12.75" customHeight="1" x14ac:dyDescent="0.2">
      <c r="A62" s="28" t="s">
        <v>81</v>
      </c>
      <c r="C62" s="28" t="s">
        <v>81</v>
      </c>
      <c r="E62" s="45">
        <v>1485279</v>
      </c>
      <c r="F62" s="45"/>
      <c r="G62" s="45">
        <v>1865542</v>
      </c>
      <c r="H62" s="45"/>
      <c r="I62" s="45">
        <v>14378</v>
      </c>
      <c r="J62" s="45"/>
      <c r="K62" s="45">
        <v>363650</v>
      </c>
      <c r="L62" s="45"/>
      <c r="M62" s="45">
        <v>0</v>
      </c>
      <c r="N62" s="45"/>
      <c r="O62" s="45">
        <v>169109</v>
      </c>
      <c r="P62" s="45"/>
      <c r="Q62" s="45">
        <v>0</v>
      </c>
      <c r="R62" s="45"/>
      <c r="S62" s="45">
        <v>0</v>
      </c>
      <c r="T62" s="45"/>
      <c r="U62" s="45">
        <v>0</v>
      </c>
      <c r="V62" s="45"/>
      <c r="W62" s="45">
        <v>0</v>
      </c>
      <c r="X62" s="45"/>
      <c r="Y62" s="45">
        <v>0</v>
      </c>
      <c r="Z62" s="44"/>
      <c r="AA62" s="45">
        <v>0</v>
      </c>
      <c r="AB62" s="44"/>
      <c r="AC62" s="45">
        <f t="shared" si="1"/>
        <v>3897958</v>
      </c>
      <c r="AD62" s="45"/>
      <c r="AE62" s="48">
        <v>0</v>
      </c>
      <c r="AF62" s="48"/>
      <c r="AG62" s="45">
        <v>0</v>
      </c>
      <c r="AH62" s="45"/>
      <c r="AI62" s="45">
        <v>255863</v>
      </c>
      <c r="AJ62" s="45"/>
      <c r="AK62" s="45">
        <v>0</v>
      </c>
      <c r="AL62" s="45"/>
      <c r="AM62" s="45">
        <f>+'Gen rev'!U63-'Gen exp'!AC62-AG62+'Gen rev'!W63+AI62+AK62-'Gen Bal'!S63-'Gen exp'!AE62</f>
        <v>0</v>
      </c>
      <c r="AN62" s="44"/>
      <c r="AO62" s="44"/>
      <c r="AP62" s="44"/>
      <c r="AQ62" s="44"/>
    </row>
    <row r="63" spans="1:45" s="123" customFormat="1" ht="12.75" hidden="1" customHeight="1" x14ac:dyDescent="0.2">
      <c r="A63" s="122" t="s">
        <v>465</v>
      </c>
      <c r="B63" s="122"/>
      <c r="C63" s="122" t="s">
        <v>57</v>
      </c>
      <c r="D63" s="129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1"/>
      <c r="AA63" s="127"/>
      <c r="AB63" s="121"/>
      <c r="AC63" s="127">
        <f t="shared" si="1"/>
        <v>0</v>
      </c>
      <c r="AD63" s="127"/>
      <c r="AE63" s="130"/>
      <c r="AF63" s="130"/>
      <c r="AG63" s="127"/>
      <c r="AH63" s="127"/>
      <c r="AI63" s="127"/>
      <c r="AJ63" s="127"/>
      <c r="AK63" s="127"/>
      <c r="AL63" s="127"/>
      <c r="AM63" s="127">
        <f>+'Gen rev'!U64-'Gen exp'!AC63-AG63+'Gen rev'!W64+AI63+AK63-'Gen Bal'!S64-'Gen exp'!AE63</f>
        <v>0</v>
      </c>
    </row>
    <row r="64" spans="1:45" s="49" customFormat="1" ht="12.75" customHeight="1" x14ac:dyDescent="0.2">
      <c r="A64" s="28" t="s">
        <v>82</v>
      </c>
      <c r="C64" s="28" t="s">
        <v>13</v>
      </c>
      <c r="E64" s="45">
        <v>5884750</v>
      </c>
      <c r="F64" s="45"/>
      <c r="G64" s="45">
        <v>16522770</v>
      </c>
      <c r="H64" s="45"/>
      <c r="I64" s="45">
        <v>1199054</v>
      </c>
      <c r="J64" s="45"/>
      <c r="K64" s="45">
        <v>0</v>
      </c>
      <c r="L64" s="45"/>
      <c r="M64" s="45">
        <v>0</v>
      </c>
      <c r="N64" s="45"/>
      <c r="O64" s="45">
        <v>2078908</v>
      </c>
      <c r="P64" s="45"/>
      <c r="Q64" s="45">
        <v>0</v>
      </c>
      <c r="R64" s="45"/>
      <c r="S64" s="45">
        <v>0</v>
      </c>
      <c r="T64" s="45"/>
      <c r="U64" s="45">
        <v>0</v>
      </c>
      <c r="V64" s="45"/>
      <c r="W64" s="45">
        <v>0</v>
      </c>
      <c r="X64" s="45"/>
      <c r="Y64" s="45">
        <v>0</v>
      </c>
      <c r="Z64" s="44"/>
      <c r="AA64" s="45">
        <v>0</v>
      </c>
      <c r="AB64" s="44"/>
      <c r="AC64" s="45">
        <f t="shared" si="1"/>
        <v>25685482</v>
      </c>
      <c r="AD64" s="45"/>
      <c r="AE64" s="48">
        <v>0</v>
      </c>
      <c r="AF64" s="48"/>
      <c r="AG64" s="45">
        <v>5151217</v>
      </c>
      <c r="AH64" s="45"/>
      <c r="AI64" s="45">
        <v>8100551</v>
      </c>
      <c r="AJ64" s="45"/>
      <c r="AK64" s="45">
        <f>-31209+2498</f>
        <v>-28711</v>
      </c>
      <c r="AL64" s="45"/>
      <c r="AM64" s="45">
        <f>+'Gen rev'!U65-'Gen exp'!AC64-AG64+'Gen rev'!W65+AI64+AK64-'Gen Bal'!S65-'Gen exp'!AE64</f>
        <v>0</v>
      </c>
      <c r="AN64" s="44"/>
      <c r="AO64" s="44"/>
      <c r="AP64" s="44"/>
      <c r="AQ64" s="44"/>
    </row>
    <row r="65" spans="1:43" s="49" customFormat="1" ht="12.75" customHeight="1" x14ac:dyDescent="0.2">
      <c r="A65" s="64" t="s">
        <v>83</v>
      </c>
      <c r="B65" s="46"/>
      <c r="C65" s="64" t="s">
        <v>66</v>
      </c>
      <c r="D65" s="46"/>
      <c r="E65" s="45">
        <v>14286202</v>
      </c>
      <c r="F65" s="45"/>
      <c r="G65" s="45">
        <v>88821671</v>
      </c>
      <c r="H65" s="45"/>
      <c r="I65" s="45">
        <f>12820872+4786614</f>
        <v>17607486</v>
      </c>
      <c r="J65" s="45"/>
      <c r="K65" s="45">
        <v>41812</v>
      </c>
      <c r="L65" s="45"/>
      <c r="M65" s="45">
        <v>3242269</v>
      </c>
      <c r="N65" s="45"/>
      <c r="O65" s="45">
        <v>0</v>
      </c>
      <c r="P65" s="45"/>
      <c r="Q65" s="45">
        <v>19971842</v>
      </c>
      <c r="R65" s="45"/>
      <c r="S65" s="45">
        <v>0</v>
      </c>
      <c r="T65" s="45"/>
      <c r="U65" s="45">
        <v>0</v>
      </c>
      <c r="V65" s="45"/>
      <c r="W65" s="45">
        <v>75000</v>
      </c>
      <c r="X65" s="45"/>
      <c r="Y65" s="45">
        <v>70465</v>
      </c>
      <c r="Z65" s="44"/>
      <c r="AA65" s="45">
        <v>0</v>
      </c>
      <c r="AB65" s="44"/>
      <c r="AC65" s="45">
        <f t="shared" si="1"/>
        <v>144116747</v>
      </c>
      <c r="AD65" s="45"/>
      <c r="AE65" s="48">
        <v>0</v>
      </c>
      <c r="AF65" s="48"/>
      <c r="AG65" s="45">
        <v>6705501</v>
      </c>
      <c r="AH65" s="45"/>
      <c r="AI65" s="45">
        <v>46704150</v>
      </c>
      <c r="AJ65" s="45"/>
      <c r="AK65" s="45">
        <v>0</v>
      </c>
      <c r="AL65" s="45"/>
      <c r="AM65" s="45">
        <f>+'Gen rev'!U66-'Gen exp'!AC65-AG65+'Gen rev'!W66+AI65+AK65-'Gen Bal'!S66-'Gen exp'!AE65</f>
        <v>0</v>
      </c>
      <c r="AN65" s="44"/>
      <c r="AO65" s="44"/>
      <c r="AP65" s="44"/>
      <c r="AQ65" s="44"/>
    </row>
    <row r="66" spans="1:43" s="49" customFormat="1" ht="12.75" customHeight="1" x14ac:dyDescent="0.2">
      <c r="A66" s="64" t="s">
        <v>84</v>
      </c>
      <c r="B66" s="46"/>
      <c r="C66" s="64" t="s">
        <v>45</v>
      </c>
      <c r="D66" s="46"/>
      <c r="E66" s="45">
        <v>1060528</v>
      </c>
      <c r="F66" s="45"/>
      <c r="G66" s="45">
        <v>1218175</v>
      </c>
      <c r="H66" s="45"/>
      <c r="I66" s="45">
        <v>0</v>
      </c>
      <c r="J66" s="45"/>
      <c r="K66" s="45">
        <v>0</v>
      </c>
      <c r="L66" s="45"/>
      <c r="M66" s="45">
        <v>59763</v>
      </c>
      <c r="N66" s="45"/>
      <c r="O66" s="45">
        <v>33685</v>
      </c>
      <c r="P66" s="45"/>
      <c r="Q66" s="45">
        <v>0</v>
      </c>
      <c r="R66" s="45"/>
      <c r="S66" s="45">
        <v>2108</v>
      </c>
      <c r="T66" s="45"/>
      <c r="U66" s="45">
        <v>0</v>
      </c>
      <c r="V66" s="45"/>
      <c r="W66" s="45">
        <v>25302</v>
      </c>
      <c r="X66" s="45"/>
      <c r="Y66" s="45">
        <v>1461</v>
      </c>
      <c r="Z66" s="44"/>
      <c r="AA66" s="45">
        <v>0</v>
      </c>
      <c r="AB66" s="44"/>
      <c r="AC66" s="45">
        <f t="shared" si="1"/>
        <v>2401022</v>
      </c>
      <c r="AD66" s="45"/>
      <c r="AE66" s="48">
        <v>0</v>
      </c>
      <c r="AF66" s="48"/>
      <c r="AG66" s="45">
        <v>209063</v>
      </c>
      <c r="AH66" s="45"/>
      <c r="AI66" s="45">
        <v>1356815</v>
      </c>
      <c r="AJ66" s="45"/>
      <c r="AK66" s="45">
        <v>0</v>
      </c>
      <c r="AL66" s="45"/>
      <c r="AM66" s="45">
        <f>+'Gen rev'!U67-'Gen exp'!AC66-AG66+'Gen rev'!W67+AI66+AK66-'Gen Bal'!S67-'Gen exp'!AE66</f>
        <v>0</v>
      </c>
      <c r="AN66" s="44"/>
      <c r="AO66" s="44"/>
      <c r="AP66" s="44"/>
      <c r="AQ66" s="44"/>
    </row>
    <row r="67" spans="1:43" s="46" customFormat="1" ht="12.75" customHeight="1" x14ac:dyDescent="0.2">
      <c r="A67" s="28" t="s">
        <v>85</v>
      </c>
      <c r="B67" s="49"/>
      <c r="C67" s="28" t="s">
        <v>85</v>
      </c>
      <c r="D67" s="49"/>
      <c r="E67" s="45">
        <v>2315100</v>
      </c>
      <c r="F67" s="45"/>
      <c r="G67" s="45">
        <v>4298756</v>
      </c>
      <c r="H67" s="45"/>
      <c r="I67" s="45">
        <f>526416+52864</f>
        <v>579280</v>
      </c>
      <c r="J67" s="45"/>
      <c r="K67" s="45">
        <v>215876</v>
      </c>
      <c r="L67" s="45"/>
      <c r="M67" s="45">
        <v>0</v>
      </c>
      <c r="N67" s="45"/>
      <c r="O67" s="45">
        <v>543357</v>
      </c>
      <c r="P67" s="45"/>
      <c r="Q67" s="45">
        <v>0</v>
      </c>
      <c r="R67" s="45"/>
      <c r="S67" s="45">
        <v>0</v>
      </c>
      <c r="T67" s="45"/>
      <c r="U67" s="45">
        <v>0</v>
      </c>
      <c r="V67" s="45"/>
      <c r="W67" s="45">
        <v>1765</v>
      </c>
      <c r="X67" s="45"/>
      <c r="Y67" s="45">
        <v>41</v>
      </c>
      <c r="Z67" s="44"/>
      <c r="AA67" s="45">
        <v>0</v>
      </c>
      <c r="AB67" s="44"/>
      <c r="AC67" s="45">
        <f t="shared" si="1"/>
        <v>7954175</v>
      </c>
      <c r="AD67" s="45"/>
      <c r="AE67" s="48">
        <v>0</v>
      </c>
      <c r="AF67" s="48"/>
      <c r="AG67" s="45">
        <v>417000</v>
      </c>
      <c r="AH67" s="45"/>
      <c r="AI67" s="45">
        <v>1764460</v>
      </c>
      <c r="AJ67" s="45"/>
      <c r="AK67" s="45">
        <v>0</v>
      </c>
      <c r="AL67" s="45"/>
      <c r="AM67" s="45">
        <f>+'Gen rev'!U68-'Gen exp'!AC67-AG67+'Gen rev'!W68+AI67+AK67-'Gen Bal'!S68-'Gen exp'!AE67</f>
        <v>0</v>
      </c>
    </row>
    <row r="68" spans="1:43" s="44" customFormat="1" ht="12.75" customHeight="1" x14ac:dyDescent="0.2">
      <c r="A68" s="35" t="s">
        <v>86</v>
      </c>
      <c r="C68" s="35" t="s">
        <v>86</v>
      </c>
      <c r="E68" s="45">
        <v>4144239</v>
      </c>
      <c r="F68" s="45"/>
      <c r="G68" s="45">
        <f>6162613+628891</f>
        <v>6791504</v>
      </c>
      <c r="H68" s="45"/>
      <c r="I68" s="45">
        <v>169725</v>
      </c>
      <c r="J68" s="45"/>
      <c r="K68" s="45">
        <v>0</v>
      </c>
      <c r="L68" s="45"/>
      <c r="M68" s="45">
        <v>0</v>
      </c>
      <c r="N68" s="45"/>
      <c r="O68" s="45">
        <v>1310817</v>
      </c>
      <c r="P68" s="45"/>
      <c r="Q68" s="45">
        <v>0</v>
      </c>
      <c r="R68" s="45"/>
      <c r="S68" s="45">
        <v>0</v>
      </c>
      <c r="T68" s="45"/>
      <c r="U68" s="45">
        <v>0</v>
      </c>
      <c r="V68" s="45"/>
      <c r="W68" s="45">
        <v>0</v>
      </c>
      <c r="X68" s="45"/>
      <c r="Y68" s="45">
        <v>0</v>
      </c>
      <c r="AA68" s="45">
        <v>0</v>
      </c>
      <c r="AC68" s="45">
        <f t="shared" si="1"/>
        <v>12416285</v>
      </c>
      <c r="AD68" s="45"/>
      <c r="AE68" s="48">
        <v>0</v>
      </c>
      <c r="AF68" s="48"/>
      <c r="AG68" s="45">
        <v>2395388</v>
      </c>
      <c r="AH68" s="45"/>
      <c r="AI68" s="45">
        <v>5233107</v>
      </c>
      <c r="AJ68" s="45"/>
      <c r="AK68" s="45">
        <v>0</v>
      </c>
      <c r="AL68" s="45"/>
      <c r="AM68" s="45">
        <f>+'Gen rev'!U69-'Gen exp'!AC68-AG68+'Gen rev'!W69+AI68+AK68-'Gen Bal'!S69-'Gen exp'!AE68</f>
        <v>0</v>
      </c>
    </row>
    <row r="69" spans="1:43" s="46" customFormat="1" ht="12.75" customHeight="1" x14ac:dyDescent="0.2">
      <c r="A69" s="64"/>
      <c r="C69" s="64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4"/>
      <c r="AA69" s="45"/>
      <c r="AB69" s="44"/>
      <c r="AC69" s="45"/>
      <c r="AD69" s="45"/>
      <c r="AE69" s="48"/>
      <c r="AF69" s="48"/>
      <c r="AG69" s="48" t="s">
        <v>484</v>
      </c>
      <c r="AH69" s="45"/>
      <c r="AI69" s="45"/>
      <c r="AJ69" s="45"/>
      <c r="AK69" s="48"/>
      <c r="AL69" s="45"/>
      <c r="AM69" s="45"/>
    </row>
    <row r="70" spans="1:43" s="46" customFormat="1" ht="12.75" customHeight="1" x14ac:dyDescent="0.2">
      <c r="A70" s="64" t="s">
        <v>87</v>
      </c>
      <c r="C70" s="64" t="s">
        <v>88</v>
      </c>
      <c r="E70" s="94">
        <v>185295</v>
      </c>
      <c r="F70" s="94"/>
      <c r="G70" s="94">
        <v>2202663</v>
      </c>
      <c r="H70" s="94"/>
      <c r="I70" s="94">
        <v>0</v>
      </c>
      <c r="J70" s="94"/>
      <c r="K70" s="94">
        <v>51652</v>
      </c>
      <c r="L70" s="94"/>
      <c r="M70" s="94">
        <v>0</v>
      </c>
      <c r="N70" s="94"/>
      <c r="O70" s="94">
        <v>400637</v>
      </c>
      <c r="P70" s="94"/>
      <c r="Q70" s="94">
        <v>0</v>
      </c>
      <c r="R70" s="94"/>
      <c r="S70" s="94">
        <v>0</v>
      </c>
      <c r="T70" s="94"/>
      <c r="U70" s="94">
        <v>0</v>
      </c>
      <c r="V70" s="94"/>
      <c r="W70" s="94">
        <v>30404</v>
      </c>
      <c r="X70" s="94"/>
      <c r="Y70" s="94">
        <v>1213</v>
      </c>
      <c r="AA70" s="94">
        <v>0</v>
      </c>
      <c r="AC70" s="94">
        <f t="shared" si="1"/>
        <v>2871864</v>
      </c>
      <c r="AD70" s="94"/>
      <c r="AE70" s="68">
        <v>0</v>
      </c>
      <c r="AF70" s="68"/>
      <c r="AG70" s="94">
        <v>106000</v>
      </c>
      <c r="AH70" s="94"/>
      <c r="AI70" s="94">
        <v>816303</v>
      </c>
      <c r="AJ70" s="94"/>
      <c r="AK70" s="94">
        <v>0</v>
      </c>
      <c r="AL70" s="94"/>
      <c r="AM70" s="94">
        <f>+'Gen rev'!U70-'Gen exp'!AC70-AG70+'Gen rev'!W70+AI70+AK70-'Gen Bal'!S70-'Gen exp'!AE70</f>
        <v>0</v>
      </c>
    </row>
    <row r="71" spans="1:43" s="44" customFormat="1" ht="12.75" customHeight="1" x14ac:dyDescent="0.2">
      <c r="A71" s="35" t="s">
        <v>394</v>
      </c>
      <c r="C71" s="35" t="s">
        <v>89</v>
      </c>
      <c r="E71" s="45">
        <v>1115260</v>
      </c>
      <c r="F71" s="45"/>
      <c r="G71" s="45">
        <v>3789041</v>
      </c>
      <c r="H71" s="45"/>
      <c r="I71" s="45">
        <v>111227</v>
      </c>
      <c r="J71" s="45"/>
      <c r="K71" s="45">
        <v>8915</v>
      </c>
      <c r="L71" s="45"/>
      <c r="M71" s="45">
        <v>0</v>
      </c>
      <c r="N71" s="45"/>
      <c r="O71" s="45">
        <v>829489</v>
      </c>
      <c r="P71" s="45"/>
      <c r="Q71" s="45">
        <v>570453</v>
      </c>
      <c r="R71" s="45"/>
      <c r="S71" s="45">
        <v>0</v>
      </c>
      <c r="T71" s="45"/>
      <c r="U71" s="45">
        <v>0</v>
      </c>
      <c r="V71" s="45"/>
      <c r="W71" s="45">
        <v>0</v>
      </c>
      <c r="X71" s="45"/>
      <c r="Y71" s="45">
        <v>0</v>
      </c>
      <c r="AA71" s="44">
        <v>0</v>
      </c>
      <c r="AC71" s="45">
        <f t="shared" ref="AC71" si="4">SUM(E71:AA71)</f>
        <v>6424385</v>
      </c>
      <c r="AD71" s="45"/>
      <c r="AE71" s="48">
        <v>0</v>
      </c>
      <c r="AF71" s="48"/>
      <c r="AG71" s="45">
        <v>0</v>
      </c>
      <c r="AH71" s="45"/>
      <c r="AI71" s="45">
        <v>1160066</v>
      </c>
      <c r="AJ71" s="45"/>
      <c r="AK71" s="45">
        <v>0</v>
      </c>
      <c r="AL71" s="45"/>
      <c r="AM71" s="45">
        <f>+'Gen rev'!U71-'Gen exp'!AC71-AG71+'Gen rev'!W71+AI71+AK71-'Gen Bal'!S71-'Gen exp'!AE71</f>
        <v>0</v>
      </c>
    </row>
    <row r="72" spans="1:43" s="49" customFormat="1" ht="12.75" hidden="1" customHeight="1" x14ac:dyDescent="0.2">
      <c r="A72" s="28" t="s">
        <v>90</v>
      </c>
      <c r="C72" s="28" t="s">
        <v>43</v>
      </c>
      <c r="E72" s="45">
        <v>21928136</v>
      </c>
      <c r="F72" s="45"/>
      <c r="G72" s="45">
        <v>336105</v>
      </c>
      <c r="H72" s="45"/>
      <c r="I72" s="45">
        <v>6453068</v>
      </c>
      <c r="J72" s="45"/>
      <c r="K72" s="45">
        <v>232174</v>
      </c>
      <c r="L72" s="45"/>
      <c r="M72" s="45">
        <v>0</v>
      </c>
      <c r="N72" s="45"/>
      <c r="O72" s="45">
        <v>6060329</v>
      </c>
      <c r="P72" s="45"/>
      <c r="Q72" s="45">
        <v>3229350</v>
      </c>
      <c r="R72" s="45"/>
      <c r="S72" s="45">
        <v>156664</v>
      </c>
      <c r="T72" s="45"/>
      <c r="U72" s="45">
        <v>0</v>
      </c>
      <c r="V72" s="45"/>
      <c r="W72" s="45">
        <v>0</v>
      </c>
      <c r="X72" s="45"/>
      <c r="Y72" s="45">
        <v>0</v>
      </c>
      <c r="Z72" s="44"/>
      <c r="AA72" s="45">
        <v>0</v>
      </c>
      <c r="AB72" s="44"/>
      <c r="AC72" s="45">
        <f t="shared" ref="AC72:AC133" si="5">SUM(E72:AA72)</f>
        <v>38395826</v>
      </c>
      <c r="AD72" s="45"/>
      <c r="AE72" s="48">
        <v>0</v>
      </c>
      <c r="AF72" s="48"/>
      <c r="AG72" s="45">
        <v>14350000</v>
      </c>
      <c r="AH72" s="45"/>
      <c r="AI72" s="45">
        <v>40489551</v>
      </c>
      <c r="AJ72" s="45"/>
      <c r="AK72" s="45">
        <v>0</v>
      </c>
      <c r="AL72" s="45"/>
      <c r="AM72" s="45">
        <f>+'Gen rev'!U72-'Gen exp'!AC72-AG72+'Gen rev'!W72+AI72+AK72-'Gen Bal'!S72-'Gen exp'!AE72</f>
        <v>0</v>
      </c>
      <c r="AN72" s="44"/>
      <c r="AO72" s="44"/>
      <c r="AP72" s="44"/>
      <c r="AQ72" s="44"/>
    </row>
    <row r="73" spans="1:43" s="49" customFormat="1" ht="12.75" customHeight="1" x14ac:dyDescent="0.2">
      <c r="A73" s="47" t="s">
        <v>488</v>
      </c>
      <c r="B73" s="47"/>
      <c r="C73" s="47" t="s">
        <v>27</v>
      </c>
      <c r="E73" s="45">
        <v>4740421</v>
      </c>
      <c r="F73" s="45"/>
      <c r="G73" s="45">
        <v>8737199</v>
      </c>
      <c r="H73" s="45"/>
      <c r="I73" s="45">
        <v>306096</v>
      </c>
      <c r="J73" s="45"/>
      <c r="K73" s="45">
        <v>0</v>
      </c>
      <c r="L73" s="45"/>
      <c r="M73" s="45">
        <v>1365865</v>
      </c>
      <c r="N73" s="45"/>
      <c r="O73" s="45">
        <v>320339</v>
      </c>
      <c r="P73" s="45"/>
      <c r="Q73" s="45">
        <v>704670</v>
      </c>
      <c r="R73" s="45"/>
      <c r="S73" s="45">
        <v>0</v>
      </c>
      <c r="T73" s="45"/>
      <c r="U73" s="45">
        <v>0</v>
      </c>
      <c r="V73" s="45"/>
      <c r="W73" s="45">
        <v>10563</v>
      </c>
      <c r="X73" s="45"/>
      <c r="Y73" s="45">
        <v>53226</v>
      </c>
      <c r="Z73" s="44"/>
      <c r="AA73" s="45">
        <v>0</v>
      </c>
      <c r="AB73" s="44"/>
      <c r="AC73" s="45">
        <f t="shared" si="5"/>
        <v>16238379</v>
      </c>
      <c r="AD73" s="45"/>
      <c r="AE73" s="48">
        <v>0</v>
      </c>
      <c r="AF73" s="48"/>
      <c r="AG73" s="45">
        <v>0</v>
      </c>
      <c r="AH73" s="45"/>
      <c r="AI73" s="45">
        <v>-1846835</v>
      </c>
      <c r="AJ73" s="45"/>
      <c r="AK73" s="45">
        <v>0</v>
      </c>
      <c r="AL73" s="45"/>
      <c r="AM73" s="45">
        <f>+'Gen rev'!U73-'Gen exp'!AC73-AG73+'Gen rev'!W73+AI73+AK73-'Gen Bal'!S73-'Gen exp'!AE73</f>
        <v>0</v>
      </c>
      <c r="AN73" s="44"/>
      <c r="AO73" s="44"/>
      <c r="AP73" s="44"/>
      <c r="AQ73" s="44"/>
    </row>
    <row r="74" spans="1:43" s="49" customFormat="1" ht="12.75" customHeight="1" x14ac:dyDescent="0.2">
      <c r="A74" s="44" t="s">
        <v>93</v>
      </c>
      <c r="B74" s="47"/>
      <c r="C74" s="44" t="s">
        <v>94</v>
      </c>
      <c r="E74" s="45">
        <v>1223773</v>
      </c>
      <c r="F74" s="45"/>
      <c r="G74" s="45">
        <v>0</v>
      </c>
      <c r="H74" s="45"/>
      <c r="I74" s="45">
        <v>122480</v>
      </c>
      <c r="J74" s="45"/>
      <c r="K74" s="45">
        <v>138570</v>
      </c>
      <c r="L74" s="45"/>
      <c r="M74" s="45">
        <v>0</v>
      </c>
      <c r="N74" s="45"/>
      <c r="O74" s="45">
        <v>125194</v>
      </c>
      <c r="P74" s="45"/>
      <c r="Q74" s="45">
        <v>0</v>
      </c>
      <c r="R74" s="45"/>
      <c r="S74" s="45">
        <v>0</v>
      </c>
      <c r="T74" s="45"/>
      <c r="U74" s="45">
        <v>0</v>
      </c>
      <c r="V74" s="45"/>
      <c r="W74" s="45">
        <v>937</v>
      </c>
      <c r="X74" s="45"/>
      <c r="Y74" s="45">
        <v>202</v>
      </c>
      <c r="Z74" s="44"/>
      <c r="AA74" s="45">
        <v>0</v>
      </c>
      <c r="AB74" s="44"/>
      <c r="AC74" s="45">
        <f t="shared" si="5"/>
        <v>1611156</v>
      </c>
      <c r="AD74" s="45"/>
      <c r="AE74" s="48">
        <v>0</v>
      </c>
      <c r="AF74" s="48"/>
      <c r="AG74" s="45">
        <v>2028796</v>
      </c>
      <c r="AH74" s="45"/>
      <c r="AI74" s="45">
        <v>311198</v>
      </c>
      <c r="AJ74" s="45"/>
      <c r="AK74" s="45">
        <v>0</v>
      </c>
      <c r="AL74" s="45"/>
      <c r="AM74" s="45">
        <f>+'Gen rev'!U74-'Gen exp'!AC74-AG74+'Gen rev'!W74+AI74+AK74-'Gen Bal'!S74-'Gen exp'!AE74</f>
        <v>0</v>
      </c>
      <c r="AN74" s="44"/>
      <c r="AO74" s="44"/>
      <c r="AP74" s="44"/>
      <c r="AQ74" s="44"/>
    </row>
    <row r="75" spans="1:43" s="46" customFormat="1" ht="12.75" customHeight="1" x14ac:dyDescent="0.2">
      <c r="A75" s="64" t="s">
        <v>95</v>
      </c>
      <c r="C75" s="64" t="s">
        <v>94</v>
      </c>
      <c r="E75" s="45">
        <v>434076</v>
      </c>
      <c r="F75" s="45"/>
      <c r="G75" s="45">
        <v>879378</v>
      </c>
      <c r="H75" s="45"/>
      <c r="I75" s="45">
        <v>0</v>
      </c>
      <c r="J75" s="45"/>
      <c r="K75" s="45">
        <v>28095</v>
      </c>
      <c r="L75" s="45"/>
      <c r="M75" s="45">
        <v>0</v>
      </c>
      <c r="N75" s="45"/>
      <c r="O75" s="45">
        <v>0</v>
      </c>
      <c r="P75" s="45"/>
      <c r="Q75" s="45">
        <v>0</v>
      </c>
      <c r="R75" s="45"/>
      <c r="S75" s="45">
        <v>0</v>
      </c>
      <c r="T75" s="45"/>
      <c r="U75" s="45">
        <v>0</v>
      </c>
      <c r="V75" s="45"/>
      <c r="W75" s="45">
        <v>2472</v>
      </c>
      <c r="X75" s="45"/>
      <c r="Y75" s="45">
        <v>2724</v>
      </c>
      <c r="Z75" s="44"/>
      <c r="AA75" s="45">
        <v>0</v>
      </c>
      <c r="AB75" s="44"/>
      <c r="AC75" s="45">
        <f t="shared" si="5"/>
        <v>1346745</v>
      </c>
      <c r="AD75" s="45"/>
      <c r="AE75" s="48">
        <v>0</v>
      </c>
      <c r="AF75" s="48"/>
      <c r="AG75" s="45">
        <v>91341</v>
      </c>
      <c r="AH75" s="45"/>
      <c r="AI75" s="45">
        <v>-482741</v>
      </c>
      <c r="AJ75" s="45"/>
      <c r="AK75" s="45">
        <v>0</v>
      </c>
      <c r="AL75" s="45"/>
      <c r="AM75" s="45">
        <f>+'Gen rev'!U75-'Gen exp'!AC75-AG75+'Gen rev'!W75+AI75+AK75-'Gen Bal'!S75-'Gen exp'!AE75</f>
        <v>0</v>
      </c>
    </row>
    <row r="76" spans="1:43" s="49" customFormat="1" ht="12.75" customHeight="1" x14ac:dyDescent="0.2">
      <c r="A76" s="28" t="s">
        <v>91</v>
      </c>
      <c r="C76" s="28" t="s">
        <v>92</v>
      </c>
      <c r="E76" s="45">
        <v>4004437</v>
      </c>
      <c r="F76" s="45"/>
      <c r="G76" s="45">
        <v>5989291</v>
      </c>
      <c r="H76" s="45"/>
      <c r="I76" s="45">
        <v>314695</v>
      </c>
      <c r="J76" s="45"/>
      <c r="K76" s="45">
        <v>175749</v>
      </c>
      <c r="L76" s="45"/>
      <c r="M76" s="45">
        <v>201720</v>
      </c>
      <c r="N76" s="45"/>
      <c r="O76" s="45">
        <v>925271</v>
      </c>
      <c r="P76" s="45"/>
      <c r="Q76" s="45">
        <v>1185694</v>
      </c>
      <c r="R76" s="45"/>
      <c r="S76" s="45">
        <v>0</v>
      </c>
      <c r="T76" s="45"/>
      <c r="U76" s="45">
        <v>0</v>
      </c>
      <c r="V76" s="45"/>
      <c r="W76" s="45">
        <v>12288</v>
      </c>
      <c r="X76" s="45"/>
      <c r="Y76" s="45">
        <v>1728</v>
      </c>
      <c r="Z76" s="44"/>
      <c r="AA76" s="45">
        <v>0</v>
      </c>
      <c r="AB76" s="44"/>
      <c r="AC76" s="45">
        <f t="shared" si="5"/>
        <v>12810873</v>
      </c>
      <c r="AD76" s="45"/>
      <c r="AE76" s="48">
        <v>0</v>
      </c>
      <c r="AF76" s="48"/>
      <c r="AG76" s="45">
        <v>693900</v>
      </c>
      <c r="AH76" s="45"/>
      <c r="AI76" s="45">
        <v>1547342</v>
      </c>
      <c r="AJ76" s="45"/>
      <c r="AK76" s="45">
        <v>0</v>
      </c>
      <c r="AL76" s="45"/>
      <c r="AM76" s="45">
        <f>+'Gen rev'!U76-'Gen exp'!AC76-AG76+'Gen rev'!W76+AI76+AK76-'Gen Bal'!S76-'Gen exp'!AE76</f>
        <v>0</v>
      </c>
      <c r="AN76" s="44"/>
      <c r="AO76" s="44"/>
      <c r="AP76" s="44"/>
      <c r="AQ76" s="44"/>
    </row>
    <row r="77" spans="1:43" s="49" customFormat="1" ht="12.75" customHeight="1" x14ac:dyDescent="0.2">
      <c r="A77" s="28" t="s">
        <v>96</v>
      </c>
      <c r="C77" s="28" t="s">
        <v>97</v>
      </c>
      <c r="E77" s="45">
        <v>1361449</v>
      </c>
      <c r="F77" s="45"/>
      <c r="G77" s="45">
        <v>1247368</v>
      </c>
      <c r="H77" s="45"/>
      <c r="I77" s="45">
        <v>192254</v>
      </c>
      <c r="J77" s="45"/>
      <c r="K77" s="45">
        <v>27129</v>
      </c>
      <c r="L77" s="45"/>
      <c r="M77" s="45">
        <v>313446</v>
      </c>
      <c r="N77" s="45"/>
      <c r="O77" s="45">
        <v>110592</v>
      </c>
      <c r="P77" s="45"/>
      <c r="Q77" s="45">
        <v>0</v>
      </c>
      <c r="R77" s="45"/>
      <c r="S77" s="45">
        <v>995</v>
      </c>
      <c r="T77" s="45"/>
      <c r="U77" s="45">
        <v>0</v>
      </c>
      <c r="V77" s="45"/>
      <c r="W77" s="45">
        <v>0</v>
      </c>
      <c r="X77" s="45"/>
      <c r="Y77" s="45">
        <v>0</v>
      </c>
      <c r="Z77" s="44"/>
      <c r="AA77" s="45">
        <v>0</v>
      </c>
      <c r="AB77" s="44"/>
      <c r="AC77" s="45">
        <f t="shared" si="5"/>
        <v>3253233</v>
      </c>
      <c r="AD77" s="45"/>
      <c r="AE77" s="48">
        <v>0</v>
      </c>
      <c r="AF77" s="48"/>
      <c r="AG77" s="45">
        <v>40000</v>
      </c>
      <c r="AH77" s="45"/>
      <c r="AI77" s="45">
        <v>2012943</v>
      </c>
      <c r="AJ77" s="45"/>
      <c r="AK77" s="45">
        <v>0</v>
      </c>
      <c r="AL77" s="45"/>
      <c r="AM77" s="45">
        <f>+'Gen rev'!U77-'Gen exp'!AC77-AG77+'Gen rev'!W77+AI77+AK77-'Gen Bal'!S77-'Gen exp'!AE77</f>
        <v>0</v>
      </c>
      <c r="AN77" s="44"/>
      <c r="AO77" s="44"/>
      <c r="AP77" s="44"/>
      <c r="AQ77" s="44"/>
    </row>
    <row r="78" spans="1:43" s="49" customFormat="1" ht="12.75" customHeight="1" x14ac:dyDescent="0.2">
      <c r="A78" s="28" t="s">
        <v>98</v>
      </c>
      <c r="C78" s="28" t="s">
        <v>17</v>
      </c>
      <c r="E78" s="45">
        <v>6803915</v>
      </c>
      <c r="F78" s="45"/>
      <c r="G78" s="45">
        <v>13891560</v>
      </c>
      <c r="H78" s="45"/>
      <c r="I78" s="45">
        <v>706367</v>
      </c>
      <c r="J78" s="45"/>
      <c r="K78" s="45">
        <v>1502045</v>
      </c>
      <c r="L78" s="45"/>
      <c r="M78" s="45">
        <v>0</v>
      </c>
      <c r="N78" s="45"/>
      <c r="O78" s="45">
        <v>1442394</v>
      </c>
      <c r="P78" s="45"/>
      <c r="Q78" s="45">
        <v>0</v>
      </c>
      <c r="R78" s="45"/>
      <c r="S78" s="45">
        <v>358281</v>
      </c>
      <c r="T78" s="45"/>
      <c r="U78" s="45">
        <v>0</v>
      </c>
      <c r="V78" s="45"/>
      <c r="W78" s="45">
        <v>0</v>
      </c>
      <c r="X78" s="45"/>
      <c r="Y78" s="45">
        <v>0</v>
      </c>
      <c r="Z78" s="44"/>
      <c r="AA78" s="45">
        <v>0</v>
      </c>
      <c r="AB78" s="44"/>
      <c r="AC78" s="45">
        <f t="shared" si="5"/>
        <v>24704562</v>
      </c>
      <c r="AD78" s="45"/>
      <c r="AE78" s="48">
        <v>0</v>
      </c>
      <c r="AF78" s="48"/>
      <c r="AG78" s="45">
        <v>1211755</v>
      </c>
      <c r="AH78" s="45"/>
      <c r="AI78" s="45">
        <v>2627561</v>
      </c>
      <c r="AJ78" s="45"/>
      <c r="AK78" s="45">
        <v>0</v>
      </c>
      <c r="AL78" s="45"/>
      <c r="AM78" s="45">
        <f>+'Gen rev'!U78-'Gen exp'!AC78-AG78+'Gen rev'!W78+AI78+AK78-'Gen Bal'!S78-'Gen exp'!AE78</f>
        <v>0</v>
      </c>
      <c r="AN78" s="44"/>
      <c r="AO78" s="44"/>
      <c r="AP78" s="44"/>
      <c r="AQ78" s="44"/>
    </row>
    <row r="79" spans="1:43" s="49" customFormat="1" ht="12.75" customHeight="1" x14ac:dyDescent="0.2">
      <c r="A79" s="28" t="s">
        <v>99</v>
      </c>
      <c r="C79" s="28" t="s">
        <v>66</v>
      </c>
      <c r="E79" s="45">
        <v>1325477</v>
      </c>
      <c r="F79" s="45"/>
      <c r="G79" s="45">
        <v>0</v>
      </c>
      <c r="H79" s="45"/>
      <c r="I79" s="45">
        <v>408023</v>
      </c>
      <c r="J79" s="45"/>
      <c r="K79" s="45">
        <v>2508</v>
      </c>
      <c r="L79" s="45"/>
      <c r="M79" s="45">
        <v>221738</v>
      </c>
      <c r="N79" s="45"/>
      <c r="O79" s="45">
        <v>293822</v>
      </c>
      <c r="P79" s="45"/>
      <c r="Q79" s="45">
        <v>0</v>
      </c>
      <c r="R79" s="45"/>
      <c r="S79" s="45">
        <v>0</v>
      </c>
      <c r="T79" s="45"/>
      <c r="U79" s="45">
        <v>0</v>
      </c>
      <c r="V79" s="45"/>
      <c r="W79" s="45">
        <v>0</v>
      </c>
      <c r="X79" s="45"/>
      <c r="Y79" s="45">
        <v>0</v>
      </c>
      <c r="Z79" s="44"/>
      <c r="AA79" s="45">
        <v>0</v>
      </c>
      <c r="AB79" s="44"/>
      <c r="AC79" s="45">
        <f t="shared" si="5"/>
        <v>2251568</v>
      </c>
      <c r="AD79" s="45"/>
      <c r="AE79" s="48">
        <v>0</v>
      </c>
      <c r="AF79" s="48"/>
      <c r="AG79" s="45">
        <v>5312700</v>
      </c>
      <c r="AH79" s="45"/>
      <c r="AI79" s="45">
        <v>4565682</v>
      </c>
      <c r="AJ79" s="45"/>
      <c r="AK79" s="45">
        <v>0</v>
      </c>
      <c r="AL79" s="45"/>
      <c r="AM79" s="45">
        <f>+'Gen rev'!U79-'Gen exp'!AC79-AG79+'Gen rev'!W79+AI79+AK79-'Gen Bal'!S79-'Gen exp'!AE79</f>
        <v>0</v>
      </c>
      <c r="AN79" s="44"/>
      <c r="AO79" s="44"/>
      <c r="AP79" s="44"/>
      <c r="AQ79" s="44"/>
    </row>
    <row r="80" spans="1:43" s="49" customFormat="1" ht="12.75" customHeight="1" x14ac:dyDescent="0.2">
      <c r="A80" s="28" t="s">
        <v>100</v>
      </c>
      <c r="C80" s="28" t="s">
        <v>27</v>
      </c>
      <c r="E80" s="45">
        <v>12556991</v>
      </c>
      <c r="F80" s="45"/>
      <c r="G80" s="45">
        <v>21995797</v>
      </c>
      <c r="H80" s="45"/>
      <c r="I80" s="45">
        <v>1221383</v>
      </c>
      <c r="J80" s="45"/>
      <c r="K80" s="45">
        <v>289293</v>
      </c>
      <c r="L80" s="45"/>
      <c r="M80" s="45">
        <v>0</v>
      </c>
      <c r="N80" s="45"/>
      <c r="O80" s="45">
        <v>500228</v>
      </c>
      <c r="P80" s="45"/>
      <c r="Q80" s="45">
        <v>2180946</v>
      </c>
      <c r="R80" s="45"/>
      <c r="S80" s="45">
        <v>0</v>
      </c>
      <c r="T80" s="45"/>
      <c r="U80" s="45">
        <v>0</v>
      </c>
      <c r="V80" s="45"/>
      <c r="W80" s="45">
        <v>275472</v>
      </c>
      <c r="X80" s="45"/>
      <c r="Y80" s="45">
        <v>82887</v>
      </c>
      <c r="Z80" s="44"/>
      <c r="AA80" s="45">
        <f>17250+7363</f>
        <v>24613</v>
      </c>
      <c r="AB80" s="44"/>
      <c r="AC80" s="45">
        <f t="shared" si="5"/>
        <v>39127610</v>
      </c>
      <c r="AD80" s="45"/>
      <c r="AE80" s="48">
        <v>0</v>
      </c>
      <c r="AF80" s="48"/>
      <c r="AG80" s="45">
        <f>912300+997750</f>
        <v>1910050</v>
      </c>
      <c r="AH80" s="45"/>
      <c r="AI80" s="45">
        <v>7643106</v>
      </c>
      <c r="AJ80" s="45"/>
      <c r="AK80" s="45">
        <v>0</v>
      </c>
      <c r="AL80" s="45"/>
      <c r="AM80" s="45">
        <f>+'Gen rev'!U80-'Gen exp'!AC80-AG80+'Gen rev'!W80+AI80+AK80-'Gen Bal'!S80-'Gen exp'!AE80</f>
        <v>0</v>
      </c>
      <c r="AN80" s="44"/>
      <c r="AO80" s="44"/>
      <c r="AP80" s="44"/>
      <c r="AQ80" s="44"/>
    </row>
    <row r="81" spans="1:45" s="49" customFormat="1" ht="12.75" customHeight="1" x14ac:dyDescent="0.2">
      <c r="A81" s="28" t="s">
        <v>101</v>
      </c>
      <c r="C81" s="28" t="s">
        <v>30</v>
      </c>
      <c r="E81" s="45">
        <v>5755758</v>
      </c>
      <c r="F81" s="45"/>
      <c r="G81" s="45">
        <v>0</v>
      </c>
      <c r="H81" s="45"/>
      <c r="I81" s="45">
        <v>663743</v>
      </c>
      <c r="J81" s="45"/>
      <c r="K81" s="45">
        <v>3500</v>
      </c>
      <c r="L81" s="45"/>
      <c r="M81" s="45">
        <v>0</v>
      </c>
      <c r="N81" s="45"/>
      <c r="O81" s="45">
        <v>175222</v>
      </c>
      <c r="P81" s="45"/>
      <c r="Q81" s="45">
        <v>0</v>
      </c>
      <c r="R81" s="45"/>
      <c r="S81" s="45">
        <v>0</v>
      </c>
      <c r="T81" s="45"/>
      <c r="U81" s="45">
        <v>0</v>
      </c>
      <c r="V81" s="45"/>
      <c r="W81" s="45">
        <v>10668</v>
      </c>
      <c r="X81" s="45"/>
      <c r="Y81" s="45">
        <v>3100</v>
      </c>
      <c r="Z81" s="44"/>
      <c r="AA81" s="45">
        <v>0</v>
      </c>
      <c r="AB81" s="44"/>
      <c r="AC81" s="45">
        <f t="shared" si="5"/>
        <v>6611991</v>
      </c>
      <c r="AD81" s="45"/>
      <c r="AE81" s="48">
        <v>0</v>
      </c>
      <c r="AF81" s="48"/>
      <c r="AG81" s="45">
        <v>9579576</v>
      </c>
      <c r="AH81" s="45"/>
      <c r="AI81" s="45">
        <v>3614331</v>
      </c>
      <c r="AJ81" s="45"/>
      <c r="AK81" s="45">
        <v>0</v>
      </c>
      <c r="AL81" s="45"/>
      <c r="AM81" s="45">
        <f>+'Gen rev'!U81-'Gen exp'!AC81-AG81+'Gen rev'!W81+AI81+AK81-'Gen Bal'!S81-'Gen exp'!AE81</f>
        <v>0</v>
      </c>
      <c r="AN81" s="45"/>
      <c r="AO81" s="45"/>
      <c r="AP81" s="45"/>
      <c r="AQ81" s="45"/>
      <c r="AR81" s="52"/>
      <c r="AS81" s="50"/>
    </row>
    <row r="82" spans="1:45" s="49" customFormat="1" ht="12.75" customHeight="1" x14ac:dyDescent="0.2">
      <c r="A82" s="28" t="s">
        <v>102</v>
      </c>
      <c r="C82" s="28" t="s">
        <v>103</v>
      </c>
      <c r="E82" s="45">
        <v>7486024</v>
      </c>
      <c r="F82" s="45"/>
      <c r="G82" s="45">
        <v>9895172</v>
      </c>
      <c r="H82" s="45"/>
      <c r="I82" s="45">
        <v>1326096</v>
      </c>
      <c r="J82" s="45"/>
      <c r="K82" s="45">
        <v>21998</v>
      </c>
      <c r="L82" s="45"/>
      <c r="M82" s="45">
        <v>0</v>
      </c>
      <c r="N82" s="45"/>
      <c r="O82" s="45">
        <v>2527523</v>
      </c>
      <c r="P82" s="45"/>
      <c r="Q82" s="45">
        <v>479877</v>
      </c>
      <c r="R82" s="45"/>
      <c r="S82" s="45">
        <v>46650</v>
      </c>
      <c r="T82" s="45"/>
      <c r="U82" s="45">
        <v>0</v>
      </c>
      <c r="V82" s="45"/>
      <c r="W82" s="45">
        <v>77547</v>
      </c>
      <c r="X82" s="45"/>
      <c r="Y82" s="45">
        <v>12737</v>
      </c>
      <c r="Z82" s="44"/>
      <c r="AA82" s="45">
        <v>0</v>
      </c>
      <c r="AB82" s="44"/>
      <c r="AC82" s="45">
        <f t="shared" si="5"/>
        <v>21873624</v>
      </c>
      <c r="AD82" s="45"/>
      <c r="AE82" s="48">
        <v>0</v>
      </c>
      <c r="AF82" s="48"/>
      <c r="AG82" s="45">
        <v>1476000</v>
      </c>
      <c r="AH82" s="45"/>
      <c r="AI82" s="45">
        <v>9229922</v>
      </c>
      <c r="AJ82" s="45"/>
      <c r="AK82" s="45">
        <v>0</v>
      </c>
      <c r="AL82" s="45"/>
      <c r="AM82" s="45">
        <f>+'Gen rev'!U82-'Gen exp'!AC82-AG82+'Gen rev'!W82+AI82+AK82-'Gen Bal'!S82-'Gen exp'!AE82</f>
        <v>0</v>
      </c>
      <c r="AN82" s="45"/>
      <c r="AO82" s="45"/>
      <c r="AP82" s="45"/>
      <c r="AQ82" s="45"/>
      <c r="AR82" s="52"/>
      <c r="AS82" s="50"/>
    </row>
    <row r="83" spans="1:45" s="49" customFormat="1" ht="12.75" customHeight="1" x14ac:dyDescent="0.2">
      <c r="A83" s="28" t="s">
        <v>104</v>
      </c>
      <c r="C83" s="28" t="s">
        <v>13</v>
      </c>
      <c r="E83" s="45">
        <v>2660926</v>
      </c>
      <c r="F83" s="45"/>
      <c r="G83" s="45">
        <v>5511267</v>
      </c>
      <c r="H83" s="45"/>
      <c r="I83" s="45">
        <v>53598</v>
      </c>
      <c r="J83" s="45"/>
      <c r="K83" s="45">
        <v>117996</v>
      </c>
      <c r="L83" s="45"/>
      <c r="M83" s="45">
        <v>1979052</v>
      </c>
      <c r="N83" s="45"/>
      <c r="O83" s="45">
        <v>326847</v>
      </c>
      <c r="P83" s="45"/>
      <c r="Q83" s="45">
        <v>207572</v>
      </c>
      <c r="R83" s="45"/>
      <c r="S83" s="45">
        <v>0</v>
      </c>
      <c r="T83" s="45"/>
      <c r="U83" s="45">
        <v>0</v>
      </c>
      <c r="V83" s="45"/>
      <c r="W83" s="45">
        <v>0</v>
      </c>
      <c r="X83" s="45"/>
      <c r="Y83" s="45">
        <v>0</v>
      </c>
      <c r="Z83" s="44"/>
      <c r="AA83" s="45">
        <v>0</v>
      </c>
      <c r="AB83" s="44"/>
      <c r="AC83" s="45">
        <f t="shared" si="5"/>
        <v>10857258</v>
      </c>
      <c r="AD83" s="45"/>
      <c r="AE83" s="48">
        <v>0</v>
      </c>
      <c r="AF83" s="48"/>
      <c r="AG83" s="45">
        <v>332086</v>
      </c>
      <c r="AH83" s="45"/>
      <c r="AI83" s="45">
        <v>9812857</v>
      </c>
      <c r="AJ83" s="45"/>
      <c r="AK83" s="45">
        <v>73381</v>
      </c>
      <c r="AL83" s="45"/>
      <c r="AM83" s="45">
        <f>+'Gen rev'!U83-'Gen exp'!AC83-AG83+'Gen rev'!W83+AI83+AK83-'Gen Bal'!S83-'Gen exp'!AE83</f>
        <v>0</v>
      </c>
      <c r="AN83" s="45"/>
      <c r="AO83" s="45"/>
      <c r="AP83" s="45"/>
      <c r="AQ83" s="45"/>
      <c r="AR83" s="52"/>
      <c r="AS83" s="50"/>
    </row>
    <row r="84" spans="1:45" s="49" customFormat="1" ht="12.75" customHeight="1" x14ac:dyDescent="0.2">
      <c r="A84" s="28" t="s">
        <v>105</v>
      </c>
      <c r="C84" s="28" t="s">
        <v>27</v>
      </c>
      <c r="E84" s="45">
        <v>1875120</v>
      </c>
      <c r="F84" s="45"/>
      <c r="G84" s="45">
        <v>5193989</v>
      </c>
      <c r="H84" s="45"/>
      <c r="I84" s="45">
        <v>297860</v>
      </c>
      <c r="J84" s="45"/>
      <c r="K84" s="45">
        <v>1355</v>
      </c>
      <c r="L84" s="45"/>
      <c r="M84" s="45">
        <v>381356</v>
      </c>
      <c r="N84" s="45"/>
      <c r="O84" s="45">
        <v>867606</v>
      </c>
      <c r="P84" s="45"/>
      <c r="Q84" s="45">
        <v>1144672</v>
      </c>
      <c r="R84" s="45"/>
      <c r="S84" s="45">
        <v>0</v>
      </c>
      <c r="T84" s="45"/>
      <c r="U84" s="45">
        <v>0</v>
      </c>
      <c r="V84" s="45"/>
      <c r="W84" s="45">
        <v>0</v>
      </c>
      <c r="X84" s="45"/>
      <c r="Y84" s="45">
        <v>0</v>
      </c>
      <c r="Z84" s="44"/>
      <c r="AA84" s="45">
        <v>0</v>
      </c>
      <c r="AB84" s="44"/>
      <c r="AC84" s="45">
        <f t="shared" si="5"/>
        <v>9761958</v>
      </c>
      <c r="AD84" s="45"/>
      <c r="AE84" s="48">
        <v>0</v>
      </c>
      <c r="AF84" s="48"/>
      <c r="AG84" s="45">
        <v>740900</v>
      </c>
      <c r="AH84" s="45"/>
      <c r="AI84" s="45">
        <v>2376823</v>
      </c>
      <c r="AJ84" s="45"/>
      <c r="AK84" s="45">
        <v>0</v>
      </c>
      <c r="AL84" s="45"/>
      <c r="AM84" s="45">
        <f>+'Gen rev'!U84-'Gen exp'!AC84-AG84+'Gen rev'!W84+AI84+AK84-'Gen Bal'!S84-'Gen exp'!AE84</f>
        <v>0</v>
      </c>
      <c r="AN84" s="44"/>
      <c r="AO84" s="44"/>
      <c r="AP84" s="44"/>
      <c r="AQ84" s="44"/>
    </row>
    <row r="85" spans="1:45" s="49" customFormat="1" ht="12.75" customHeight="1" x14ac:dyDescent="0.2">
      <c r="A85" s="28" t="s">
        <v>106</v>
      </c>
      <c r="C85" s="28" t="s">
        <v>107</v>
      </c>
      <c r="E85" s="45">
        <v>6842135</v>
      </c>
      <c r="F85" s="45"/>
      <c r="G85" s="45">
        <v>15295014</v>
      </c>
      <c r="H85" s="45"/>
      <c r="I85" s="45">
        <v>0</v>
      </c>
      <c r="J85" s="45"/>
      <c r="K85" s="45">
        <v>2083555</v>
      </c>
      <c r="L85" s="45"/>
      <c r="M85" s="45">
        <v>0</v>
      </c>
      <c r="N85" s="45"/>
      <c r="O85" s="45">
        <v>1359519</v>
      </c>
      <c r="P85" s="45"/>
      <c r="Q85" s="45">
        <v>0</v>
      </c>
      <c r="R85" s="45"/>
      <c r="S85" s="45">
        <v>1583735</v>
      </c>
      <c r="T85" s="45"/>
      <c r="U85" s="45">
        <v>0</v>
      </c>
      <c r="V85" s="45"/>
      <c r="W85" s="45">
        <v>0</v>
      </c>
      <c r="X85" s="45"/>
      <c r="Y85" s="45">
        <v>0</v>
      </c>
      <c r="Z85" s="44"/>
      <c r="AA85" s="45">
        <v>54920</v>
      </c>
      <c r="AB85" s="44"/>
      <c r="AC85" s="45">
        <f t="shared" si="5"/>
        <v>27218878</v>
      </c>
      <c r="AD85" s="45"/>
      <c r="AE85" s="48">
        <v>0</v>
      </c>
      <c r="AF85" s="48"/>
      <c r="AG85" s="45">
        <v>769753</v>
      </c>
      <c r="AH85" s="45"/>
      <c r="AI85" s="45">
        <v>7594477</v>
      </c>
      <c r="AJ85" s="45"/>
      <c r="AK85" s="45">
        <v>1717</v>
      </c>
      <c r="AL85" s="45"/>
      <c r="AM85" s="45">
        <f>+'Gen rev'!U85-'Gen exp'!AC85-AG85+'Gen rev'!W85+AI85+AK85-'Gen Bal'!S85-'Gen exp'!AE85</f>
        <v>0</v>
      </c>
      <c r="AN85" s="48"/>
      <c r="AO85" s="48"/>
      <c r="AP85" s="48"/>
      <c r="AQ85" s="48"/>
      <c r="AR85" s="52"/>
      <c r="AS85" s="50"/>
    </row>
    <row r="86" spans="1:45" s="49" customFormat="1" ht="12.75" customHeight="1" x14ac:dyDescent="0.2">
      <c r="A86" s="28" t="s">
        <v>108</v>
      </c>
      <c r="C86" s="28" t="s">
        <v>45</v>
      </c>
      <c r="E86" s="45">
        <v>2146300</v>
      </c>
      <c r="F86" s="45"/>
      <c r="G86" s="45">
        <v>4974628</v>
      </c>
      <c r="H86" s="45"/>
      <c r="I86" s="45">
        <v>610080</v>
      </c>
      <c r="J86" s="45"/>
      <c r="K86" s="45">
        <v>20710</v>
      </c>
      <c r="L86" s="45"/>
      <c r="M86" s="45">
        <v>993497</v>
      </c>
      <c r="N86" s="45"/>
      <c r="O86" s="45">
        <v>256593</v>
      </c>
      <c r="P86" s="45"/>
      <c r="Q86" s="45">
        <v>0</v>
      </c>
      <c r="R86" s="45"/>
      <c r="S86" s="45">
        <v>0</v>
      </c>
      <c r="T86" s="45"/>
      <c r="U86" s="45">
        <v>0</v>
      </c>
      <c r="V86" s="45"/>
      <c r="W86" s="45">
        <v>0</v>
      </c>
      <c r="X86" s="45"/>
      <c r="Y86" s="45">
        <v>0</v>
      </c>
      <c r="Z86" s="44"/>
      <c r="AA86" s="45">
        <v>0</v>
      </c>
      <c r="AB86" s="44"/>
      <c r="AC86" s="45">
        <f t="shared" si="5"/>
        <v>9001808</v>
      </c>
      <c r="AD86" s="45"/>
      <c r="AE86" s="48">
        <v>0</v>
      </c>
      <c r="AF86" s="48"/>
      <c r="AG86" s="45">
        <v>405000</v>
      </c>
      <c r="AH86" s="45"/>
      <c r="AI86" s="45">
        <v>3531921</v>
      </c>
      <c r="AJ86" s="45"/>
      <c r="AK86" s="45">
        <v>0</v>
      </c>
      <c r="AL86" s="45"/>
      <c r="AM86" s="45">
        <f>+'Gen rev'!U86-'Gen exp'!AC86-AG86+'Gen rev'!W86+AI86+AK86-'Gen Bal'!S86-'Gen exp'!AE86</f>
        <v>0</v>
      </c>
      <c r="AN86" s="44"/>
      <c r="AO86" s="44"/>
      <c r="AP86" s="44"/>
      <c r="AQ86" s="44"/>
    </row>
    <row r="87" spans="1:45" s="44" customFormat="1" ht="12.75" customHeight="1" x14ac:dyDescent="0.2">
      <c r="A87" s="35" t="s">
        <v>109</v>
      </c>
      <c r="C87" s="35" t="s">
        <v>110</v>
      </c>
      <c r="E87" s="45">
        <v>1385052</v>
      </c>
      <c r="F87" s="45"/>
      <c r="G87" s="45">
        <v>4193076</v>
      </c>
      <c r="H87" s="45"/>
      <c r="I87" s="45">
        <v>101898</v>
      </c>
      <c r="J87" s="45"/>
      <c r="K87" s="45">
        <v>170310</v>
      </c>
      <c r="L87" s="45"/>
      <c r="M87" s="45">
        <v>75365</v>
      </c>
      <c r="N87" s="45"/>
      <c r="O87" s="45">
        <v>1925</v>
      </c>
      <c r="P87" s="45"/>
      <c r="Q87" s="45">
        <v>9544</v>
      </c>
      <c r="R87" s="45"/>
      <c r="S87" s="45">
        <v>0</v>
      </c>
      <c r="T87" s="45"/>
      <c r="U87" s="45">
        <v>0</v>
      </c>
      <c r="V87" s="45"/>
      <c r="W87" s="45">
        <v>0</v>
      </c>
      <c r="X87" s="45"/>
      <c r="Y87" s="45">
        <v>0</v>
      </c>
      <c r="AA87" s="45">
        <v>0</v>
      </c>
      <c r="AC87" s="45">
        <f t="shared" si="5"/>
        <v>5937170</v>
      </c>
      <c r="AD87" s="45"/>
      <c r="AE87" s="48">
        <v>0</v>
      </c>
      <c r="AF87" s="48"/>
      <c r="AG87" s="45">
        <v>540000</v>
      </c>
      <c r="AH87" s="45"/>
      <c r="AI87" s="45">
        <v>777887</v>
      </c>
      <c r="AJ87" s="45"/>
      <c r="AK87" s="45">
        <v>0</v>
      </c>
      <c r="AL87" s="45"/>
      <c r="AM87" s="45">
        <f>+'Gen rev'!U87-'Gen exp'!AC87-AG87+'Gen rev'!W87+AI87+AK87-'Gen Bal'!S87-'Gen exp'!AE87</f>
        <v>0</v>
      </c>
    </row>
    <row r="88" spans="1:45" s="49" customFormat="1" ht="12.75" customHeight="1" x14ac:dyDescent="0.2">
      <c r="A88" s="28" t="s">
        <v>43</v>
      </c>
      <c r="C88" s="28" t="s">
        <v>111</v>
      </c>
      <c r="E88" s="45">
        <v>1747281</v>
      </c>
      <c r="F88" s="45"/>
      <c r="G88" s="45">
        <f>2828871+163914</f>
        <v>2992785</v>
      </c>
      <c r="H88" s="45"/>
      <c r="I88" s="45">
        <v>0</v>
      </c>
      <c r="J88" s="45"/>
      <c r="K88" s="45">
        <v>0</v>
      </c>
      <c r="L88" s="45"/>
      <c r="M88" s="45">
        <v>0</v>
      </c>
      <c r="N88" s="45"/>
      <c r="O88" s="45">
        <v>26388</v>
      </c>
      <c r="P88" s="45"/>
      <c r="Q88" s="45">
        <v>0</v>
      </c>
      <c r="R88" s="45"/>
      <c r="S88" s="45">
        <v>476</v>
      </c>
      <c r="T88" s="45"/>
      <c r="U88" s="45">
        <v>0</v>
      </c>
      <c r="V88" s="45"/>
      <c r="W88" s="45">
        <v>0</v>
      </c>
      <c r="X88" s="45"/>
      <c r="Y88" s="45">
        <v>989</v>
      </c>
      <c r="Z88" s="44"/>
      <c r="AA88" s="45">
        <v>50000</v>
      </c>
      <c r="AB88" s="44"/>
      <c r="AC88" s="45">
        <f t="shared" si="5"/>
        <v>4817919</v>
      </c>
      <c r="AD88" s="45"/>
      <c r="AE88" s="48">
        <v>0</v>
      </c>
      <c r="AF88" s="48"/>
      <c r="AG88" s="45">
        <f>147000+2213871</f>
        <v>2360871</v>
      </c>
      <c r="AH88" s="45"/>
      <c r="AI88" s="45">
        <v>3329960</v>
      </c>
      <c r="AJ88" s="45"/>
      <c r="AK88" s="45">
        <v>0</v>
      </c>
      <c r="AL88" s="45"/>
      <c r="AM88" s="45">
        <f>+'Gen rev'!U88-'Gen exp'!AC88-AG88+'Gen rev'!W88+AI88+AK88-'Gen Bal'!S88-'Gen exp'!AE88</f>
        <v>0</v>
      </c>
      <c r="AN88" s="45"/>
      <c r="AO88" s="45"/>
      <c r="AP88" s="45"/>
      <c r="AQ88" s="45"/>
      <c r="AR88" s="52"/>
      <c r="AS88" s="50"/>
    </row>
    <row r="89" spans="1:45" s="49" customFormat="1" ht="12.75" customHeight="1" x14ac:dyDescent="0.2">
      <c r="A89" s="28" t="s">
        <v>112</v>
      </c>
      <c r="C89" s="28" t="s">
        <v>76</v>
      </c>
      <c r="E89" s="45">
        <v>2170122</v>
      </c>
      <c r="F89" s="45"/>
      <c r="G89" s="45">
        <v>5667847</v>
      </c>
      <c r="H89" s="45"/>
      <c r="I89" s="45">
        <f>125413+114745</f>
        <v>240158</v>
      </c>
      <c r="J89" s="45"/>
      <c r="K89" s="45">
        <v>4246</v>
      </c>
      <c r="L89" s="45"/>
      <c r="M89" s="45">
        <v>0</v>
      </c>
      <c r="N89" s="45"/>
      <c r="O89" s="45">
        <v>671287</v>
      </c>
      <c r="P89" s="45"/>
      <c r="Q89" s="45">
        <v>0</v>
      </c>
      <c r="R89" s="45"/>
      <c r="S89" s="45">
        <v>11418</v>
      </c>
      <c r="T89" s="45"/>
      <c r="U89" s="45">
        <v>0</v>
      </c>
      <c r="V89" s="45"/>
      <c r="W89" s="45">
        <v>0</v>
      </c>
      <c r="X89" s="45"/>
      <c r="Y89" s="45">
        <v>0</v>
      </c>
      <c r="Z89" s="44"/>
      <c r="AA89" s="45">
        <v>0</v>
      </c>
      <c r="AB89" s="44"/>
      <c r="AC89" s="45">
        <f t="shared" si="5"/>
        <v>8765078</v>
      </c>
      <c r="AD89" s="45"/>
      <c r="AE89" s="48">
        <v>0</v>
      </c>
      <c r="AF89" s="48"/>
      <c r="AG89" s="45">
        <v>2223745</v>
      </c>
      <c r="AH89" s="45"/>
      <c r="AI89" s="45">
        <v>6822249</v>
      </c>
      <c r="AJ89" s="45"/>
      <c r="AK89" s="45">
        <v>0</v>
      </c>
      <c r="AL89" s="45"/>
      <c r="AM89" s="45">
        <f>+'Gen rev'!U89-'Gen exp'!AC89-AG89+'Gen rev'!W89+AI89+AK89-'Gen Bal'!S89-'Gen exp'!AE89</f>
        <v>0</v>
      </c>
      <c r="AN89" s="44"/>
      <c r="AO89" s="44"/>
      <c r="AP89" s="44"/>
      <c r="AQ89" s="44"/>
    </row>
    <row r="90" spans="1:45" s="49" customFormat="1" ht="12.75" customHeight="1" x14ac:dyDescent="0.2">
      <c r="A90" s="28" t="s">
        <v>113</v>
      </c>
      <c r="C90" s="28" t="s">
        <v>43</v>
      </c>
      <c r="E90" s="45">
        <v>3960128</v>
      </c>
      <c r="F90" s="45"/>
      <c r="G90" s="45">
        <v>7622069</v>
      </c>
      <c r="H90" s="45"/>
      <c r="I90" s="45">
        <v>2642554</v>
      </c>
      <c r="J90" s="45"/>
      <c r="K90" s="45">
        <v>215060</v>
      </c>
      <c r="L90" s="45"/>
      <c r="M90" s="45">
        <v>935741</v>
      </c>
      <c r="N90" s="45"/>
      <c r="O90" s="45">
        <v>2601027</v>
      </c>
      <c r="P90" s="45"/>
      <c r="Q90" s="45">
        <v>2378727</v>
      </c>
      <c r="R90" s="45"/>
      <c r="S90" s="45">
        <v>1002470</v>
      </c>
      <c r="T90" s="45"/>
      <c r="U90" s="45">
        <v>0</v>
      </c>
      <c r="V90" s="45"/>
      <c r="W90" s="45">
        <v>0</v>
      </c>
      <c r="X90" s="45"/>
      <c r="Y90" s="45">
        <v>0</v>
      </c>
      <c r="Z90" s="44"/>
      <c r="AA90" s="45">
        <v>0</v>
      </c>
      <c r="AB90" s="44"/>
      <c r="AC90" s="45">
        <f t="shared" si="5"/>
        <v>21357776</v>
      </c>
      <c r="AD90" s="45"/>
      <c r="AE90" s="48">
        <v>0</v>
      </c>
      <c r="AF90" s="48"/>
      <c r="AG90" s="45">
        <v>1691158</v>
      </c>
      <c r="AH90" s="45"/>
      <c r="AI90" s="45">
        <v>20259907</v>
      </c>
      <c r="AJ90" s="45"/>
      <c r="AK90" s="45">
        <v>0</v>
      </c>
      <c r="AL90" s="45"/>
      <c r="AM90" s="45">
        <f>+'Gen rev'!U90-'Gen exp'!AC90-AG90+'Gen rev'!W90+AI90+AK90-'Gen Bal'!S90-'Gen exp'!AE90</f>
        <v>0</v>
      </c>
      <c r="AN90" s="44"/>
      <c r="AO90" s="44"/>
      <c r="AP90" s="44"/>
      <c r="AQ90" s="44"/>
    </row>
    <row r="91" spans="1:45" s="49" customFormat="1" ht="12.75" customHeight="1" x14ac:dyDescent="0.2">
      <c r="A91" s="64" t="s">
        <v>490</v>
      </c>
      <c r="B91" s="46"/>
      <c r="C91" s="64" t="s">
        <v>57</v>
      </c>
      <c r="D91" s="46"/>
      <c r="E91" s="45">
        <v>1155623</v>
      </c>
      <c r="F91" s="45"/>
      <c r="G91" s="45">
        <f>796667+782682</f>
        <v>1579349</v>
      </c>
      <c r="H91" s="45"/>
      <c r="I91" s="45">
        <v>0</v>
      </c>
      <c r="J91" s="45"/>
      <c r="K91" s="45">
        <v>480228</v>
      </c>
      <c r="L91" s="45"/>
      <c r="M91" s="45">
        <v>0</v>
      </c>
      <c r="N91" s="45"/>
      <c r="O91" s="45">
        <v>0</v>
      </c>
      <c r="P91" s="45"/>
      <c r="Q91" s="45">
        <v>0</v>
      </c>
      <c r="R91" s="45"/>
      <c r="S91" s="45">
        <v>0</v>
      </c>
      <c r="T91" s="45"/>
      <c r="U91" s="45">
        <v>0</v>
      </c>
      <c r="V91" s="45"/>
      <c r="W91" s="45">
        <v>0</v>
      </c>
      <c r="X91" s="45"/>
      <c r="Y91" s="45">
        <v>20495</v>
      </c>
      <c r="Z91" s="44"/>
      <c r="AA91" s="45">
        <v>0</v>
      </c>
      <c r="AB91" s="44"/>
      <c r="AC91" s="45">
        <f t="shared" si="5"/>
        <v>3235695</v>
      </c>
      <c r="AD91" s="45"/>
      <c r="AE91" s="48">
        <v>0</v>
      </c>
      <c r="AF91" s="48"/>
      <c r="AG91" s="45">
        <v>828051</v>
      </c>
      <c r="AH91" s="45"/>
      <c r="AI91" s="45">
        <v>5144030</v>
      </c>
      <c r="AJ91" s="45"/>
      <c r="AK91" s="45">
        <v>0</v>
      </c>
      <c r="AL91" s="45"/>
      <c r="AM91" s="45">
        <f>+'Gen rev'!U91-'Gen exp'!AC91-AG91+'Gen rev'!W91+AI91+AK91-'Gen Bal'!S91-'Gen exp'!AE91</f>
        <v>0</v>
      </c>
      <c r="AN91" s="45"/>
      <c r="AO91" s="45"/>
      <c r="AP91" s="45"/>
      <c r="AQ91" s="45"/>
      <c r="AR91" s="52"/>
      <c r="AS91" s="50"/>
    </row>
    <row r="92" spans="1:45" s="49" customFormat="1" ht="12.75" customHeight="1" x14ac:dyDescent="0.2">
      <c r="A92" s="28" t="s">
        <v>114</v>
      </c>
      <c r="C92" s="28" t="s">
        <v>27</v>
      </c>
      <c r="E92" s="45">
        <v>6777447</v>
      </c>
      <c r="F92" s="45"/>
      <c r="G92" s="45">
        <v>10927512</v>
      </c>
      <c r="H92" s="45"/>
      <c r="I92" s="45">
        <v>176065</v>
      </c>
      <c r="J92" s="45"/>
      <c r="K92" s="45">
        <v>476202</v>
      </c>
      <c r="L92" s="45"/>
      <c r="M92" s="45">
        <v>0</v>
      </c>
      <c r="N92" s="45"/>
      <c r="O92" s="45">
        <v>800839</v>
      </c>
      <c r="P92" s="45"/>
      <c r="Q92" s="45">
        <v>1811609</v>
      </c>
      <c r="R92" s="45"/>
      <c r="S92" s="45">
        <v>0</v>
      </c>
      <c r="T92" s="45"/>
      <c r="U92" s="45">
        <v>0</v>
      </c>
      <c r="V92" s="45"/>
      <c r="W92" s="45">
        <v>0</v>
      </c>
      <c r="X92" s="45"/>
      <c r="Y92" s="45">
        <v>12411</v>
      </c>
      <c r="Z92" s="44"/>
      <c r="AA92" s="45">
        <v>0</v>
      </c>
      <c r="AB92" s="44"/>
      <c r="AC92" s="45">
        <f t="shared" si="5"/>
        <v>20982085</v>
      </c>
      <c r="AD92" s="45"/>
      <c r="AE92" s="48">
        <v>0</v>
      </c>
      <c r="AF92" s="48"/>
      <c r="AG92" s="45">
        <v>1375227</v>
      </c>
      <c r="AH92" s="45"/>
      <c r="AI92" s="45">
        <v>-5208948</v>
      </c>
      <c r="AJ92" s="45"/>
      <c r="AK92" s="45">
        <v>0</v>
      </c>
      <c r="AL92" s="45"/>
      <c r="AM92" s="45">
        <f>+'Gen rev'!U92-'Gen exp'!AC92-AG92+'Gen rev'!W92+AI92+AK92-'Gen Bal'!S92-'Gen exp'!AE92</f>
        <v>0</v>
      </c>
      <c r="AN92" s="45"/>
      <c r="AO92" s="45"/>
      <c r="AP92" s="45"/>
      <c r="AQ92" s="45"/>
      <c r="AR92" s="52"/>
      <c r="AS92" s="50"/>
    </row>
    <row r="93" spans="1:45" s="49" customFormat="1" ht="12.75" customHeight="1" x14ac:dyDescent="0.2">
      <c r="A93" s="28" t="s">
        <v>115</v>
      </c>
      <c r="C93" s="28" t="s">
        <v>19</v>
      </c>
      <c r="E93" s="45">
        <v>1097252</v>
      </c>
      <c r="F93" s="45"/>
      <c r="G93" s="45">
        <v>2016950</v>
      </c>
      <c r="H93" s="45"/>
      <c r="I93" s="45">
        <v>98952</v>
      </c>
      <c r="J93" s="45"/>
      <c r="K93" s="45">
        <v>0</v>
      </c>
      <c r="L93" s="45"/>
      <c r="M93" s="45">
        <v>0</v>
      </c>
      <c r="N93" s="45"/>
      <c r="O93" s="45">
        <v>170306</v>
      </c>
      <c r="P93" s="45"/>
      <c r="Q93" s="45">
        <v>0</v>
      </c>
      <c r="R93" s="45"/>
      <c r="S93" s="45">
        <v>0</v>
      </c>
      <c r="T93" s="45"/>
      <c r="U93" s="45">
        <v>0</v>
      </c>
      <c r="V93" s="45"/>
      <c r="W93" s="45">
        <v>1234</v>
      </c>
      <c r="X93" s="45"/>
      <c r="Y93" s="45">
        <v>170</v>
      </c>
      <c r="Z93" s="44"/>
      <c r="AA93" s="45">
        <v>0</v>
      </c>
      <c r="AB93" s="44"/>
      <c r="AC93" s="45">
        <f t="shared" si="5"/>
        <v>3384864</v>
      </c>
      <c r="AD93" s="45"/>
      <c r="AE93" s="48">
        <v>0</v>
      </c>
      <c r="AF93" s="48"/>
      <c r="AG93" s="45">
        <v>1009524</v>
      </c>
      <c r="AH93" s="45"/>
      <c r="AI93" s="45">
        <v>1735020</v>
      </c>
      <c r="AJ93" s="45"/>
      <c r="AK93" s="45">
        <v>0</v>
      </c>
      <c r="AL93" s="45"/>
      <c r="AM93" s="45">
        <f>+'Gen rev'!U93-'Gen exp'!AC93-AG93+'Gen rev'!W93+AI93+AK93-'Gen Bal'!S93-'Gen exp'!AE93</f>
        <v>0</v>
      </c>
      <c r="AN93" s="45"/>
      <c r="AO93" s="45"/>
      <c r="AP93" s="45"/>
      <c r="AQ93" s="45"/>
      <c r="AR93" s="52"/>
      <c r="AS93" s="50"/>
    </row>
    <row r="94" spans="1:45" s="49" customFormat="1" ht="12.75" customHeight="1" x14ac:dyDescent="0.2">
      <c r="A94" s="64" t="s">
        <v>116</v>
      </c>
      <c r="B94" s="46"/>
      <c r="C94" s="64" t="s">
        <v>80</v>
      </c>
      <c r="D94" s="46"/>
      <c r="E94" s="45">
        <v>2040999</v>
      </c>
      <c r="F94" s="45"/>
      <c r="G94" s="45">
        <v>2633778</v>
      </c>
      <c r="H94" s="45"/>
      <c r="I94" s="45">
        <v>0</v>
      </c>
      <c r="J94" s="45"/>
      <c r="K94" s="45">
        <v>89018</v>
      </c>
      <c r="L94" s="45"/>
      <c r="M94" s="45">
        <v>14646</v>
      </c>
      <c r="N94" s="45"/>
      <c r="O94" s="45">
        <v>68326</v>
      </c>
      <c r="P94" s="45"/>
      <c r="Q94" s="45">
        <v>0</v>
      </c>
      <c r="R94" s="45"/>
      <c r="S94" s="45">
        <v>0</v>
      </c>
      <c r="T94" s="45"/>
      <c r="U94" s="45">
        <v>0</v>
      </c>
      <c r="V94" s="45"/>
      <c r="W94" s="45">
        <v>0</v>
      </c>
      <c r="X94" s="45"/>
      <c r="Y94" s="45">
        <v>0</v>
      </c>
      <c r="Z94" s="44"/>
      <c r="AA94" s="45">
        <v>0</v>
      </c>
      <c r="AB94" s="44"/>
      <c r="AC94" s="45">
        <f t="shared" si="5"/>
        <v>4846767</v>
      </c>
      <c r="AD94" s="45"/>
      <c r="AE94" s="48">
        <v>0</v>
      </c>
      <c r="AF94" s="48"/>
      <c r="AG94" s="45">
        <v>0</v>
      </c>
      <c r="AH94" s="45"/>
      <c r="AI94" s="45">
        <v>196187</v>
      </c>
      <c r="AJ94" s="45"/>
      <c r="AK94" s="45">
        <v>0</v>
      </c>
      <c r="AL94" s="45"/>
      <c r="AM94" s="45">
        <f>+'Gen rev'!U94-'Gen exp'!AC94-AG94+'Gen rev'!W94+AI94+AK94-'Gen Bal'!S94-'Gen exp'!AE94</f>
        <v>0</v>
      </c>
      <c r="AN94" s="45"/>
      <c r="AO94" s="45"/>
      <c r="AP94" s="45"/>
      <c r="AQ94" s="45"/>
      <c r="AR94" s="52"/>
      <c r="AS94" s="50"/>
    </row>
    <row r="95" spans="1:45" s="49" customFormat="1" ht="12.75" customHeight="1" x14ac:dyDescent="0.2">
      <c r="A95" s="47" t="s">
        <v>117</v>
      </c>
      <c r="C95" s="28" t="s">
        <v>43</v>
      </c>
      <c r="E95" s="45">
        <v>2178191</v>
      </c>
      <c r="F95" s="45"/>
      <c r="G95" s="45">
        <v>4338553</v>
      </c>
      <c r="H95" s="45"/>
      <c r="I95" s="45">
        <v>626804</v>
      </c>
      <c r="J95" s="45"/>
      <c r="K95" s="45">
        <v>43126</v>
      </c>
      <c r="L95" s="45"/>
      <c r="M95" s="45">
        <v>388400</v>
      </c>
      <c r="N95" s="45"/>
      <c r="O95" s="45">
        <v>805168</v>
      </c>
      <c r="P95" s="45"/>
      <c r="Q95" s="45">
        <v>611559</v>
      </c>
      <c r="R95" s="45"/>
      <c r="S95" s="45">
        <v>56435</v>
      </c>
      <c r="T95" s="45"/>
      <c r="U95" s="45">
        <v>0</v>
      </c>
      <c r="V95" s="45"/>
      <c r="W95" s="45">
        <v>7024</v>
      </c>
      <c r="X95" s="45"/>
      <c r="Y95" s="45">
        <v>205</v>
      </c>
      <c r="Z95" s="44"/>
      <c r="AA95" s="45">
        <v>0</v>
      </c>
      <c r="AB95" s="44"/>
      <c r="AC95" s="45">
        <f t="shared" si="5"/>
        <v>9055465</v>
      </c>
      <c r="AD95" s="45"/>
      <c r="AE95" s="48">
        <v>0</v>
      </c>
      <c r="AF95" s="48"/>
      <c r="AG95" s="45">
        <v>57500</v>
      </c>
      <c r="AH95" s="45"/>
      <c r="AI95" s="45">
        <v>3528454</v>
      </c>
      <c r="AJ95" s="45"/>
      <c r="AK95" s="45">
        <v>0</v>
      </c>
      <c r="AL95" s="45"/>
      <c r="AM95" s="45">
        <f>+'Gen rev'!U95-'Gen exp'!AC95-AG95+'Gen rev'!W95+AI95+AK95-'Gen Bal'!S95-'Gen exp'!AE95</f>
        <v>0</v>
      </c>
      <c r="AN95" s="45"/>
      <c r="AO95" s="45"/>
      <c r="AP95" s="45"/>
      <c r="AQ95" s="45"/>
      <c r="AR95" s="52"/>
      <c r="AS95" s="50"/>
    </row>
    <row r="96" spans="1:45" s="49" customFormat="1" ht="12.75" customHeight="1" x14ac:dyDescent="0.2">
      <c r="A96" s="28" t="s">
        <v>118</v>
      </c>
      <c r="C96" s="28" t="s">
        <v>13</v>
      </c>
      <c r="E96" s="45">
        <v>5451726</v>
      </c>
      <c r="F96" s="45"/>
      <c r="G96" s="45">
        <v>7042855</v>
      </c>
      <c r="H96" s="45"/>
      <c r="I96" s="45">
        <v>847209</v>
      </c>
      <c r="J96" s="45"/>
      <c r="K96" s="45">
        <v>246709</v>
      </c>
      <c r="L96" s="45"/>
      <c r="M96" s="45">
        <v>0</v>
      </c>
      <c r="N96" s="45"/>
      <c r="O96" s="45">
        <v>690620</v>
      </c>
      <c r="P96" s="45"/>
      <c r="Q96" s="45">
        <v>0</v>
      </c>
      <c r="R96" s="45"/>
      <c r="S96" s="45">
        <v>0</v>
      </c>
      <c r="T96" s="45"/>
      <c r="U96" s="45">
        <v>0</v>
      </c>
      <c r="V96" s="45"/>
      <c r="W96" s="45">
        <v>380869</v>
      </c>
      <c r="X96" s="45"/>
      <c r="Y96" s="45">
        <v>619131</v>
      </c>
      <c r="Z96" s="44"/>
      <c r="AA96" s="45">
        <v>0</v>
      </c>
      <c r="AB96" s="44"/>
      <c r="AC96" s="45">
        <f t="shared" si="5"/>
        <v>15279119</v>
      </c>
      <c r="AD96" s="45"/>
      <c r="AE96" s="48">
        <v>0</v>
      </c>
      <c r="AF96" s="48"/>
      <c r="AG96" s="45">
        <v>3995000</v>
      </c>
      <c r="AH96" s="45"/>
      <c r="AI96" s="45">
        <v>30262674</v>
      </c>
      <c r="AJ96" s="45"/>
      <c r="AK96" s="45">
        <v>0</v>
      </c>
      <c r="AL96" s="45"/>
      <c r="AM96" s="45">
        <f>+'Gen rev'!U96-'Gen exp'!AC96-AG96+'Gen rev'!W96+AI96+AK96-'Gen Bal'!S96-'Gen exp'!AE96</f>
        <v>0</v>
      </c>
      <c r="AN96" s="45"/>
      <c r="AO96" s="45"/>
      <c r="AP96" s="45"/>
      <c r="AQ96" s="45"/>
      <c r="AR96" s="52"/>
      <c r="AS96" s="50"/>
    </row>
    <row r="97" spans="1:45" s="49" customFormat="1" ht="12.75" customHeight="1" x14ac:dyDescent="0.2">
      <c r="A97" s="28" t="s">
        <v>120</v>
      </c>
      <c r="C97" s="28" t="s">
        <v>121</v>
      </c>
      <c r="E97" s="45">
        <v>1737289</v>
      </c>
      <c r="F97" s="45"/>
      <c r="G97" s="45">
        <v>3916386</v>
      </c>
      <c r="H97" s="45"/>
      <c r="I97" s="45">
        <v>506</v>
      </c>
      <c r="J97" s="45"/>
      <c r="K97" s="45">
        <v>319</v>
      </c>
      <c r="L97" s="45"/>
      <c r="M97" s="45">
        <v>57287</v>
      </c>
      <c r="N97" s="45"/>
      <c r="O97" s="45">
        <v>452391</v>
      </c>
      <c r="P97" s="45"/>
      <c r="Q97" s="45">
        <v>170626</v>
      </c>
      <c r="R97" s="45"/>
      <c r="S97" s="45">
        <v>371628</v>
      </c>
      <c r="T97" s="45"/>
      <c r="U97" s="45">
        <v>0</v>
      </c>
      <c r="V97" s="45"/>
      <c r="W97" s="45">
        <v>68867</v>
      </c>
      <c r="X97" s="45"/>
      <c r="Y97" s="45">
        <v>23978</v>
      </c>
      <c r="Z97" s="44"/>
      <c r="AA97" s="45">
        <v>1728</v>
      </c>
      <c r="AB97" s="44"/>
      <c r="AC97" s="45">
        <f t="shared" si="5"/>
        <v>6801005</v>
      </c>
      <c r="AD97" s="45"/>
      <c r="AE97" s="48">
        <v>0</v>
      </c>
      <c r="AF97" s="48"/>
      <c r="AG97" s="45">
        <f>92500+1390793</f>
        <v>1483293</v>
      </c>
      <c r="AH97" s="45"/>
      <c r="AI97" s="45">
        <v>2574545</v>
      </c>
      <c r="AJ97" s="45"/>
      <c r="AK97" s="45">
        <v>0</v>
      </c>
      <c r="AL97" s="45"/>
      <c r="AM97" s="45">
        <f>+'Gen rev'!U97-'Gen exp'!AC97-AG97+'Gen rev'!W97+AI97+AK97-'Gen Bal'!S97-'Gen exp'!AE97</f>
        <v>0</v>
      </c>
      <c r="AN97" s="45"/>
      <c r="AO97" s="45"/>
      <c r="AP97" s="45"/>
      <c r="AQ97" s="45"/>
      <c r="AR97" s="52"/>
      <c r="AS97" s="50"/>
    </row>
    <row r="98" spans="1:45" s="49" customFormat="1" ht="12.75" customHeight="1" x14ac:dyDescent="0.2">
      <c r="A98" s="28" t="s">
        <v>122</v>
      </c>
      <c r="C98" s="28" t="s">
        <v>43</v>
      </c>
      <c r="E98" s="45">
        <v>8088186</v>
      </c>
      <c r="F98" s="45"/>
      <c r="G98" s="45">
        <v>8131458</v>
      </c>
      <c r="H98" s="45"/>
      <c r="I98" s="45">
        <v>1052305</v>
      </c>
      <c r="J98" s="45"/>
      <c r="K98" s="45">
        <v>260359</v>
      </c>
      <c r="L98" s="45"/>
      <c r="M98" s="45">
        <v>0</v>
      </c>
      <c r="N98" s="45"/>
      <c r="O98" s="45">
        <v>790859</v>
      </c>
      <c r="P98" s="45"/>
      <c r="Q98" s="45">
        <v>0</v>
      </c>
      <c r="R98" s="45"/>
      <c r="S98" s="45">
        <v>1427650</v>
      </c>
      <c r="T98" s="45"/>
      <c r="U98" s="45">
        <v>0</v>
      </c>
      <c r="V98" s="45"/>
      <c r="W98" s="45">
        <v>79745</v>
      </c>
      <c r="X98" s="45"/>
      <c r="Y98" s="45">
        <v>3216</v>
      </c>
      <c r="Z98" s="44"/>
      <c r="AA98" s="45">
        <v>0</v>
      </c>
      <c r="AB98" s="44"/>
      <c r="AC98" s="45">
        <f t="shared" si="5"/>
        <v>19833778</v>
      </c>
      <c r="AD98" s="45"/>
      <c r="AE98" s="48">
        <v>0</v>
      </c>
      <c r="AF98" s="48"/>
      <c r="AG98" s="45">
        <v>791297</v>
      </c>
      <c r="AH98" s="45"/>
      <c r="AI98" s="45">
        <v>20056763</v>
      </c>
      <c r="AJ98" s="45"/>
      <c r="AK98" s="45">
        <v>0</v>
      </c>
      <c r="AL98" s="45"/>
      <c r="AM98" s="45">
        <f>+'Gen rev'!U98-'Gen exp'!AC98-AG98+'Gen rev'!W98+AI98+AK98-'Gen Bal'!S98-'Gen exp'!AE98</f>
        <v>0</v>
      </c>
      <c r="AN98" s="45"/>
      <c r="AO98" s="45"/>
      <c r="AP98" s="45"/>
      <c r="AQ98" s="45"/>
      <c r="AR98" s="52"/>
      <c r="AS98" s="50"/>
    </row>
    <row r="99" spans="1:45" s="49" customFormat="1" ht="12.75" customHeight="1" x14ac:dyDescent="0.2">
      <c r="A99" s="35" t="s">
        <v>507</v>
      </c>
      <c r="B99" s="51"/>
      <c r="C99" s="35" t="s">
        <v>43</v>
      </c>
      <c r="E99" s="45">
        <v>4806216</v>
      </c>
      <c r="F99" s="45"/>
      <c r="G99" s="45">
        <v>1581627</v>
      </c>
      <c r="H99" s="45"/>
      <c r="I99" s="45">
        <f>247587+124227</f>
        <v>371814</v>
      </c>
      <c r="J99" s="45"/>
      <c r="K99" s="45">
        <v>47635</v>
      </c>
      <c r="L99" s="45"/>
      <c r="M99" s="45">
        <v>118369</v>
      </c>
      <c r="N99" s="45"/>
      <c r="O99" s="45">
        <v>3035960</v>
      </c>
      <c r="P99" s="45"/>
      <c r="Q99" s="45">
        <v>0</v>
      </c>
      <c r="R99" s="45"/>
      <c r="S99" s="45">
        <v>0</v>
      </c>
      <c r="T99" s="45"/>
      <c r="U99" s="45">
        <v>0</v>
      </c>
      <c r="V99" s="45"/>
      <c r="W99" s="45">
        <v>13393</v>
      </c>
      <c r="X99" s="45"/>
      <c r="Y99" s="45">
        <v>3119</v>
      </c>
      <c r="Z99" s="44"/>
      <c r="AA99" s="45">
        <v>0</v>
      </c>
      <c r="AB99" s="44"/>
      <c r="AC99" s="45">
        <f t="shared" si="5"/>
        <v>9978133</v>
      </c>
      <c r="AD99" s="45"/>
      <c r="AE99" s="48">
        <v>0</v>
      </c>
      <c r="AF99" s="48"/>
      <c r="AG99" s="45">
        <v>361000</v>
      </c>
      <c r="AH99" s="45"/>
      <c r="AI99" s="45">
        <v>4208212</v>
      </c>
      <c r="AJ99" s="45"/>
      <c r="AK99" s="45">
        <v>0</v>
      </c>
      <c r="AL99" s="45"/>
      <c r="AM99" s="45">
        <f>+'Gen rev'!U99-'Gen exp'!AC99-AG99+'Gen rev'!W99+AI99+AK99-'Gen Bal'!S99-'Gen exp'!AE99</f>
        <v>0</v>
      </c>
      <c r="AN99" s="45"/>
      <c r="AO99" s="45"/>
      <c r="AP99" s="45"/>
      <c r="AQ99" s="45"/>
      <c r="AR99" s="52"/>
      <c r="AS99" s="50"/>
    </row>
    <row r="100" spans="1:45" s="49" customFormat="1" ht="12.75" customHeight="1" x14ac:dyDescent="0.2">
      <c r="A100" s="47" t="s">
        <v>45</v>
      </c>
      <c r="C100" s="28" t="s">
        <v>103</v>
      </c>
      <c r="E100" s="45">
        <v>4327853</v>
      </c>
      <c r="F100" s="45"/>
      <c r="G100" s="45">
        <v>24396829</v>
      </c>
      <c r="H100" s="45"/>
      <c r="I100" s="45">
        <v>131549</v>
      </c>
      <c r="J100" s="45"/>
      <c r="K100" s="45">
        <v>982114</v>
      </c>
      <c r="L100" s="45"/>
      <c r="M100" s="45">
        <v>0</v>
      </c>
      <c r="N100" s="45"/>
      <c r="O100" s="45">
        <v>919319</v>
      </c>
      <c r="P100" s="45"/>
      <c r="Q100" s="45">
        <v>320927</v>
      </c>
      <c r="R100" s="45"/>
      <c r="S100" s="45">
        <v>0</v>
      </c>
      <c r="T100" s="45"/>
      <c r="U100" s="45">
        <v>0</v>
      </c>
      <c r="V100" s="45"/>
      <c r="W100" s="45">
        <v>0</v>
      </c>
      <c r="X100" s="45"/>
      <c r="Y100" s="45">
        <v>0</v>
      </c>
      <c r="Z100" s="44"/>
      <c r="AA100" s="45">
        <v>0</v>
      </c>
      <c r="AB100" s="44"/>
      <c r="AC100" s="45">
        <f t="shared" si="5"/>
        <v>31078591</v>
      </c>
      <c r="AD100" s="45"/>
      <c r="AE100" s="48">
        <v>0</v>
      </c>
      <c r="AF100" s="48"/>
      <c r="AG100" s="45">
        <v>2145251</v>
      </c>
      <c r="AH100" s="45"/>
      <c r="AI100" s="45">
        <v>5655590</v>
      </c>
      <c r="AJ100" s="45"/>
      <c r="AK100" s="45">
        <v>43783</v>
      </c>
      <c r="AL100" s="45"/>
      <c r="AM100" s="45">
        <f>+'Gen rev'!U100-'Gen exp'!AC100-AG100+'Gen rev'!W100+AI100+AK100-'Gen Bal'!S100-'Gen exp'!AE100</f>
        <v>0</v>
      </c>
      <c r="AN100" s="44"/>
      <c r="AO100" s="44"/>
      <c r="AP100" s="44"/>
      <c r="AQ100" s="44"/>
    </row>
    <row r="101" spans="1:45" s="49" customFormat="1" ht="12.75" customHeight="1" x14ac:dyDescent="0.2">
      <c r="A101" s="47" t="s">
        <v>123</v>
      </c>
      <c r="C101" s="28" t="s">
        <v>45</v>
      </c>
      <c r="E101" s="45">
        <v>1107923</v>
      </c>
      <c r="F101" s="45"/>
      <c r="G101" s="45">
        <v>2387172</v>
      </c>
      <c r="H101" s="45"/>
      <c r="I101" s="45">
        <v>124383</v>
      </c>
      <c r="J101" s="45"/>
      <c r="K101" s="45">
        <v>12689</v>
      </c>
      <c r="L101" s="45"/>
      <c r="M101" s="45">
        <v>0</v>
      </c>
      <c r="N101" s="45"/>
      <c r="O101" s="45">
        <v>57627</v>
      </c>
      <c r="P101" s="45"/>
      <c r="Q101" s="45">
        <v>0</v>
      </c>
      <c r="R101" s="45"/>
      <c r="S101" s="45">
        <v>98332</v>
      </c>
      <c r="T101" s="45"/>
      <c r="U101" s="45">
        <v>0</v>
      </c>
      <c r="V101" s="45"/>
      <c r="W101" s="45">
        <v>46532</v>
      </c>
      <c r="X101" s="45"/>
      <c r="Y101" s="45">
        <v>2179</v>
      </c>
      <c r="Z101" s="44"/>
      <c r="AA101" s="45">
        <v>0</v>
      </c>
      <c r="AB101" s="44"/>
      <c r="AC101" s="45">
        <f t="shared" si="5"/>
        <v>3836837</v>
      </c>
      <c r="AD101" s="45"/>
      <c r="AE101" s="48">
        <v>0</v>
      </c>
      <c r="AF101" s="48"/>
      <c r="AG101" s="45">
        <v>1691263</v>
      </c>
      <c r="AH101" s="45"/>
      <c r="AI101" s="45">
        <v>1107785</v>
      </c>
      <c r="AJ101" s="45"/>
      <c r="AK101" s="45">
        <v>0</v>
      </c>
      <c r="AL101" s="45"/>
      <c r="AM101" s="45">
        <f>+'Gen rev'!U101-'Gen exp'!AC101-AG101+'Gen rev'!W101+AI101+AK101-'Gen Bal'!S101-'Gen exp'!AE101</f>
        <v>0</v>
      </c>
      <c r="AN101" s="44"/>
      <c r="AO101" s="44"/>
      <c r="AP101" s="44"/>
      <c r="AQ101" s="44"/>
    </row>
    <row r="102" spans="1:45" s="49" customFormat="1" ht="12.75" customHeight="1" x14ac:dyDescent="0.2">
      <c r="A102" s="28" t="s">
        <v>124</v>
      </c>
      <c r="C102" s="28" t="s">
        <v>125</v>
      </c>
      <c r="E102" s="45">
        <v>1337004</v>
      </c>
      <c r="F102" s="45"/>
      <c r="G102" s="45">
        <v>3761402</v>
      </c>
      <c r="H102" s="45"/>
      <c r="I102" s="45">
        <v>322269</v>
      </c>
      <c r="J102" s="45"/>
      <c r="K102" s="45">
        <v>56000</v>
      </c>
      <c r="L102" s="45"/>
      <c r="M102" s="45">
        <v>0</v>
      </c>
      <c r="N102" s="45"/>
      <c r="O102" s="45">
        <v>810510</v>
      </c>
      <c r="P102" s="45"/>
      <c r="Q102" s="45">
        <v>0</v>
      </c>
      <c r="R102" s="45"/>
      <c r="S102" s="45">
        <v>0</v>
      </c>
      <c r="T102" s="45"/>
      <c r="U102" s="45">
        <v>0</v>
      </c>
      <c r="V102" s="45"/>
      <c r="W102" s="45">
        <v>0</v>
      </c>
      <c r="X102" s="45"/>
      <c r="Y102" s="45">
        <v>0</v>
      </c>
      <c r="Z102" s="44"/>
      <c r="AA102" s="45">
        <v>0</v>
      </c>
      <c r="AB102" s="44"/>
      <c r="AC102" s="45">
        <f t="shared" si="5"/>
        <v>6287185</v>
      </c>
      <c r="AD102" s="45"/>
      <c r="AE102" s="48">
        <v>0</v>
      </c>
      <c r="AF102" s="48"/>
      <c r="AG102" s="45">
        <v>747450</v>
      </c>
      <c r="AH102" s="45"/>
      <c r="AI102" s="45">
        <v>3757108</v>
      </c>
      <c r="AJ102" s="45"/>
      <c r="AK102" s="45">
        <v>-1050</v>
      </c>
      <c r="AL102" s="45"/>
      <c r="AM102" s="45">
        <f>+'Gen rev'!U102-'Gen exp'!AC102-AG102+'Gen rev'!W102+AI102+AK102-'Gen Bal'!S102-'Gen exp'!AE102</f>
        <v>0</v>
      </c>
      <c r="AN102" s="44"/>
      <c r="AO102" s="44"/>
      <c r="AP102" s="44"/>
      <c r="AQ102" s="44"/>
    </row>
    <row r="103" spans="1:45" s="49" customFormat="1" ht="12.75" customHeight="1" x14ac:dyDescent="0.2">
      <c r="A103" s="28" t="s">
        <v>126</v>
      </c>
      <c r="C103" s="28" t="s">
        <v>27</v>
      </c>
      <c r="E103" s="45">
        <v>2302736</v>
      </c>
      <c r="F103" s="45"/>
      <c r="G103" s="45">
        <v>5381563</v>
      </c>
      <c r="H103" s="45"/>
      <c r="I103" s="45">
        <v>117450</v>
      </c>
      <c r="J103" s="45"/>
      <c r="K103" s="45">
        <v>37617</v>
      </c>
      <c r="L103" s="45"/>
      <c r="M103" s="45">
        <v>0</v>
      </c>
      <c r="N103" s="45"/>
      <c r="O103" s="45">
        <v>27159</v>
      </c>
      <c r="P103" s="45"/>
      <c r="Q103" s="45">
        <v>1915962</v>
      </c>
      <c r="R103" s="45"/>
      <c r="S103" s="45">
        <v>0</v>
      </c>
      <c r="T103" s="45"/>
      <c r="U103" s="45">
        <v>0</v>
      </c>
      <c r="V103" s="45"/>
      <c r="W103" s="45">
        <v>0</v>
      </c>
      <c r="X103" s="45"/>
      <c r="Y103" s="45">
        <v>0</v>
      </c>
      <c r="Z103" s="44"/>
      <c r="AA103" s="45">
        <v>0</v>
      </c>
      <c r="AB103" s="44"/>
      <c r="AC103" s="45">
        <f t="shared" si="5"/>
        <v>9782487</v>
      </c>
      <c r="AD103" s="45"/>
      <c r="AE103" s="48">
        <v>0</v>
      </c>
      <c r="AF103" s="48"/>
      <c r="AG103" s="45">
        <v>1104669</v>
      </c>
      <c r="AH103" s="45"/>
      <c r="AI103" s="45">
        <v>6733239</v>
      </c>
      <c r="AJ103" s="45"/>
      <c r="AK103" s="45">
        <v>-196</v>
      </c>
      <c r="AL103" s="45"/>
      <c r="AM103" s="45">
        <f>+'Gen rev'!U103-'Gen exp'!AC103-AG103+'Gen rev'!W103+AI103+AK103-'Gen Bal'!S103-'Gen exp'!AE103</f>
        <v>0</v>
      </c>
      <c r="AN103" s="44"/>
      <c r="AO103" s="44"/>
      <c r="AP103" s="44"/>
      <c r="AQ103" s="44"/>
    </row>
    <row r="104" spans="1:45" s="49" customFormat="1" ht="12.75" customHeight="1" x14ac:dyDescent="0.2">
      <c r="A104" s="28" t="s">
        <v>127</v>
      </c>
      <c r="C104" s="28" t="s">
        <v>43</v>
      </c>
      <c r="E104" s="45">
        <v>5101175</v>
      </c>
      <c r="F104" s="45"/>
      <c r="G104" s="45">
        <v>7864929</v>
      </c>
      <c r="H104" s="45"/>
      <c r="I104" s="45">
        <v>3079644</v>
      </c>
      <c r="J104" s="45"/>
      <c r="K104" s="45">
        <v>165311</v>
      </c>
      <c r="L104" s="45"/>
      <c r="M104" s="45">
        <v>0</v>
      </c>
      <c r="N104" s="45"/>
      <c r="O104" s="45">
        <v>2696078</v>
      </c>
      <c r="P104" s="45"/>
      <c r="Q104" s="45">
        <v>0</v>
      </c>
      <c r="R104" s="45"/>
      <c r="S104" s="45">
        <v>0</v>
      </c>
      <c r="T104" s="45"/>
      <c r="U104" s="45">
        <v>0</v>
      </c>
      <c r="V104" s="45"/>
      <c r="W104" s="45">
        <v>0</v>
      </c>
      <c r="X104" s="45"/>
      <c r="Y104" s="45">
        <v>0</v>
      </c>
      <c r="Z104" s="44"/>
      <c r="AA104" s="45">
        <v>0</v>
      </c>
      <c r="AB104" s="44"/>
      <c r="AC104" s="45">
        <f t="shared" si="5"/>
        <v>18907137</v>
      </c>
      <c r="AD104" s="45"/>
      <c r="AE104" s="48">
        <v>0</v>
      </c>
      <c r="AF104" s="48"/>
      <c r="AG104" s="45">
        <v>0</v>
      </c>
      <c r="AH104" s="45"/>
      <c r="AI104" s="45">
        <v>3572520</v>
      </c>
      <c r="AJ104" s="45"/>
      <c r="AK104" s="45">
        <v>0</v>
      </c>
      <c r="AL104" s="45"/>
      <c r="AM104" s="45">
        <f>+'Gen rev'!U104-'Gen exp'!AC104-AG104+'Gen rev'!W104+AI104+AK104-'Gen Bal'!S104-'Gen exp'!AE104</f>
        <v>0</v>
      </c>
      <c r="AN104" s="44"/>
      <c r="AO104" s="44"/>
      <c r="AP104" s="44"/>
      <c r="AQ104" s="44"/>
    </row>
    <row r="105" spans="1:45" s="49" customFormat="1" ht="12.75" customHeight="1" x14ac:dyDescent="0.2">
      <c r="A105" s="28" t="s">
        <v>128</v>
      </c>
      <c r="C105" s="28" t="s">
        <v>119</v>
      </c>
      <c r="E105" s="45">
        <f>826177+306985</f>
        <v>1133162</v>
      </c>
      <c r="F105" s="45"/>
      <c r="G105" s="45">
        <v>2969242</v>
      </c>
      <c r="H105" s="45"/>
      <c r="I105" s="45">
        <v>748</v>
      </c>
      <c r="J105" s="45"/>
      <c r="K105" s="45">
        <v>12544</v>
      </c>
      <c r="L105" s="45"/>
      <c r="M105" s="45">
        <v>0</v>
      </c>
      <c r="N105" s="45"/>
      <c r="O105" s="45">
        <v>0</v>
      </c>
      <c r="P105" s="45"/>
      <c r="Q105" s="45">
        <v>0</v>
      </c>
      <c r="R105" s="45"/>
      <c r="S105" s="45">
        <v>12413</v>
      </c>
      <c r="T105" s="45"/>
      <c r="U105" s="45">
        <v>0</v>
      </c>
      <c r="V105" s="45"/>
      <c r="W105" s="45">
        <v>30710</v>
      </c>
      <c r="X105" s="45"/>
      <c r="Y105" s="45">
        <v>631</v>
      </c>
      <c r="Z105" s="44"/>
      <c r="AA105" s="45">
        <v>0</v>
      </c>
      <c r="AB105" s="44"/>
      <c r="AC105" s="45">
        <f t="shared" si="5"/>
        <v>4159450</v>
      </c>
      <c r="AD105" s="45"/>
      <c r="AE105" s="48">
        <v>0</v>
      </c>
      <c r="AF105" s="48"/>
      <c r="AG105" s="45">
        <v>747462</v>
      </c>
      <c r="AH105" s="45"/>
      <c r="AI105" s="45">
        <v>1162224</v>
      </c>
      <c r="AJ105" s="45"/>
      <c r="AK105" s="45">
        <v>0</v>
      </c>
      <c r="AL105" s="45"/>
      <c r="AM105" s="45">
        <f>+'Gen rev'!U105-'Gen exp'!AC105-AG105+'Gen rev'!W105+AI105+AK105-'Gen Bal'!S105-'Gen exp'!AE105</f>
        <v>0</v>
      </c>
      <c r="AN105" s="44"/>
      <c r="AO105" s="44"/>
      <c r="AP105" s="44"/>
      <c r="AQ105" s="44"/>
    </row>
    <row r="106" spans="1:45" s="49" customFormat="1" ht="12.75" customHeight="1" x14ac:dyDescent="0.2">
      <c r="A106" s="28" t="s">
        <v>129</v>
      </c>
      <c r="C106" s="28" t="s">
        <v>80</v>
      </c>
      <c r="E106" s="45">
        <v>193840</v>
      </c>
      <c r="F106" s="45"/>
      <c r="G106" s="45">
        <v>1651163</v>
      </c>
      <c r="H106" s="45"/>
      <c r="I106" s="45">
        <v>660</v>
      </c>
      <c r="J106" s="45"/>
      <c r="K106" s="45">
        <v>14490</v>
      </c>
      <c r="L106" s="45"/>
      <c r="M106" s="45">
        <v>0</v>
      </c>
      <c r="N106" s="45"/>
      <c r="O106" s="45">
        <v>3676</v>
      </c>
      <c r="P106" s="45"/>
      <c r="Q106" s="45">
        <v>0</v>
      </c>
      <c r="R106" s="45"/>
      <c r="S106" s="45">
        <v>0</v>
      </c>
      <c r="T106" s="45"/>
      <c r="U106" s="45">
        <v>0</v>
      </c>
      <c r="V106" s="45"/>
      <c r="W106" s="45">
        <v>11993</v>
      </c>
      <c r="X106" s="45"/>
      <c r="Y106" s="45">
        <v>2396</v>
      </c>
      <c r="Z106" s="44"/>
      <c r="AA106" s="45">
        <v>0</v>
      </c>
      <c r="AB106" s="44"/>
      <c r="AC106" s="45">
        <f t="shared" si="5"/>
        <v>1878218</v>
      </c>
      <c r="AD106" s="45"/>
      <c r="AE106" s="48">
        <v>0</v>
      </c>
      <c r="AF106" s="48"/>
      <c r="AG106" s="45">
        <v>858489</v>
      </c>
      <c r="AH106" s="45"/>
      <c r="AI106" s="45">
        <v>290338</v>
      </c>
      <c r="AJ106" s="45"/>
      <c r="AK106" s="45">
        <v>0</v>
      </c>
      <c r="AL106" s="45"/>
      <c r="AM106" s="45">
        <f>+'Gen rev'!U106-'Gen exp'!AC106-AG106+'Gen rev'!W106+AI106+AK106-'Gen Bal'!S106-'Gen exp'!AE106</f>
        <v>0</v>
      </c>
      <c r="AN106" s="45"/>
      <c r="AO106" s="45"/>
      <c r="AP106" s="45"/>
      <c r="AQ106" s="45"/>
      <c r="AR106" s="52"/>
      <c r="AS106" s="50"/>
    </row>
    <row r="107" spans="1:45" s="49" customFormat="1" ht="12.75" customHeight="1" x14ac:dyDescent="0.2">
      <c r="A107" s="64" t="s">
        <v>130</v>
      </c>
      <c r="B107" s="46"/>
      <c r="C107" s="64" t="s">
        <v>66</v>
      </c>
      <c r="D107" s="46"/>
      <c r="E107" s="45">
        <v>2907505</v>
      </c>
      <c r="F107" s="45"/>
      <c r="G107" s="45">
        <v>1066754</v>
      </c>
      <c r="H107" s="45"/>
      <c r="I107" s="45">
        <v>1097060</v>
      </c>
      <c r="J107" s="45"/>
      <c r="K107" s="45">
        <v>0</v>
      </c>
      <c r="L107" s="45"/>
      <c r="M107" s="45">
        <v>0</v>
      </c>
      <c r="N107" s="45"/>
      <c r="O107" s="45">
        <v>400655</v>
      </c>
      <c r="P107" s="45"/>
      <c r="Q107" s="45">
        <v>0</v>
      </c>
      <c r="R107" s="45"/>
      <c r="S107" s="45">
        <v>149325</v>
      </c>
      <c r="T107" s="45"/>
      <c r="U107" s="45">
        <v>0</v>
      </c>
      <c r="V107" s="45"/>
      <c r="W107" s="45">
        <v>0</v>
      </c>
      <c r="X107" s="45"/>
      <c r="Y107" s="45">
        <v>0</v>
      </c>
      <c r="Z107" s="44"/>
      <c r="AA107" s="45">
        <v>0</v>
      </c>
      <c r="AB107" s="44"/>
      <c r="AC107" s="45">
        <f t="shared" si="5"/>
        <v>5621299</v>
      </c>
      <c r="AD107" s="45"/>
      <c r="AE107" s="48">
        <v>0</v>
      </c>
      <c r="AF107" s="48"/>
      <c r="AG107" s="45">
        <v>5353990</v>
      </c>
      <c r="AH107" s="45"/>
      <c r="AI107" s="45">
        <v>7167219</v>
      </c>
      <c r="AJ107" s="45"/>
      <c r="AK107" s="45">
        <v>0</v>
      </c>
      <c r="AL107" s="45"/>
      <c r="AM107" s="45">
        <f>+'Gen rev'!U107-'Gen exp'!AC107-AG107+'Gen rev'!W107+AI107+AK107-'Gen Bal'!S107-'Gen exp'!AE107</f>
        <v>0</v>
      </c>
      <c r="AN107" s="45"/>
      <c r="AO107" s="45"/>
      <c r="AP107" s="45"/>
      <c r="AQ107" s="45"/>
      <c r="AR107" s="52"/>
      <c r="AS107" s="50"/>
    </row>
    <row r="108" spans="1:45" s="49" customFormat="1" ht="12.75" customHeight="1" x14ac:dyDescent="0.2">
      <c r="A108" s="28" t="s">
        <v>131</v>
      </c>
      <c r="C108" s="28" t="s">
        <v>13</v>
      </c>
      <c r="E108" s="45">
        <v>5647205</v>
      </c>
      <c r="F108" s="45"/>
      <c r="G108" s="45">
        <v>3919729</v>
      </c>
      <c r="H108" s="45"/>
      <c r="I108" s="45">
        <v>1402006</v>
      </c>
      <c r="J108" s="45"/>
      <c r="K108" s="45">
        <v>302067</v>
      </c>
      <c r="L108" s="45"/>
      <c r="M108" s="45">
        <v>0</v>
      </c>
      <c r="N108" s="45"/>
      <c r="O108" s="45">
        <v>0</v>
      </c>
      <c r="P108" s="45"/>
      <c r="Q108" s="45">
        <v>0</v>
      </c>
      <c r="R108" s="45"/>
      <c r="S108" s="45">
        <v>82927</v>
      </c>
      <c r="T108" s="45"/>
      <c r="U108" s="45">
        <v>0</v>
      </c>
      <c r="V108" s="45"/>
      <c r="W108" s="45">
        <v>0</v>
      </c>
      <c r="X108" s="45"/>
      <c r="Y108" s="45">
        <v>0</v>
      </c>
      <c r="Z108" s="44"/>
      <c r="AA108" s="45">
        <v>0</v>
      </c>
      <c r="AB108" s="44"/>
      <c r="AC108" s="45">
        <f t="shared" si="5"/>
        <v>11353934</v>
      </c>
      <c r="AD108" s="45"/>
      <c r="AE108" s="48">
        <v>0</v>
      </c>
      <c r="AF108" s="48"/>
      <c r="AG108" s="45">
        <v>8176287</v>
      </c>
      <c r="AH108" s="45"/>
      <c r="AI108" s="45">
        <v>14043427</v>
      </c>
      <c r="AJ108" s="45"/>
      <c r="AK108" s="45">
        <v>0</v>
      </c>
      <c r="AL108" s="45"/>
      <c r="AM108" s="45">
        <f>+'Gen rev'!U108-'Gen exp'!AC108-AG108+'Gen rev'!W108+AI108+AK108-'Gen Bal'!S108-'Gen exp'!AE108</f>
        <v>0</v>
      </c>
      <c r="AN108" s="45"/>
      <c r="AO108" s="45"/>
      <c r="AP108" s="45"/>
      <c r="AQ108" s="45"/>
      <c r="AR108" s="52"/>
      <c r="AS108" s="50"/>
    </row>
    <row r="109" spans="1:45" s="49" customFormat="1" ht="12.75" customHeight="1" x14ac:dyDescent="0.2">
      <c r="A109" s="28" t="s">
        <v>38</v>
      </c>
      <c r="C109" s="28" t="s">
        <v>132</v>
      </c>
      <c r="E109" s="45">
        <v>809238</v>
      </c>
      <c r="F109" s="45"/>
      <c r="G109" s="45">
        <v>1300327</v>
      </c>
      <c r="H109" s="45"/>
      <c r="I109" s="45">
        <v>0</v>
      </c>
      <c r="J109" s="45"/>
      <c r="K109" s="45">
        <v>0</v>
      </c>
      <c r="L109" s="45"/>
      <c r="M109" s="45">
        <v>0</v>
      </c>
      <c r="N109" s="45"/>
      <c r="O109" s="45">
        <v>0</v>
      </c>
      <c r="P109" s="45"/>
      <c r="Q109" s="45">
        <v>540313</v>
      </c>
      <c r="R109" s="45"/>
      <c r="S109" s="45">
        <v>6193</v>
      </c>
      <c r="T109" s="45"/>
      <c r="U109" s="45">
        <v>0</v>
      </c>
      <c r="V109" s="45"/>
      <c r="W109" s="45">
        <v>0</v>
      </c>
      <c r="X109" s="45"/>
      <c r="Y109" s="45">
        <v>0</v>
      </c>
      <c r="Z109" s="44"/>
      <c r="AA109" s="45">
        <v>0</v>
      </c>
      <c r="AB109" s="44"/>
      <c r="AC109" s="45">
        <f t="shared" si="5"/>
        <v>2656071</v>
      </c>
      <c r="AD109" s="45"/>
      <c r="AE109" s="48">
        <v>0</v>
      </c>
      <c r="AF109" s="48"/>
      <c r="AG109" s="45">
        <v>1594971</v>
      </c>
      <c r="AH109" s="45"/>
      <c r="AI109" s="45">
        <v>936952</v>
      </c>
      <c r="AJ109" s="45"/>
      <c r="AK109" s="45">
        <v>0</v>
      </c>
      <c r="AL109" s="45"/>
      <c r="AM109" s="45">
        <f>+'Gen rev'!U109-'Gen exp'!AC109-AG109+'Gen rev'!W109+AI109+AK109-'Gen Bal'!S109-'Gen exp'!AE109</f>
        <v>0</v>
      </c>
      <c r="AN109" s="45"/>
      <c r="AO109" s="45"/>
      <c r="AP109" s="45"/>
      <c r="AQ109" s="45"/>
      <c r="AR109" s="52"/>
      <c r="AS109" s="50"/>
    </row>
    <row r="110" spans="1:45" s="49" customFormat="1" ht="12.75" customHeight="1" x14ac:dyDescent="0.2">
      <c r="A110" s="28" t="s">
        <v>133</v>
      </c>
      <c r="C110" s="28" t="s">
        <v>27</v>
      </c>
      <c r="E110" s="45">
        <v>5949293</v>
      </c>
      <c r="F110" s="45"/>
      <c r="G110" s="45">
        <v>7378300</v>
      </c>
      <c r="H110" s="45"/>
      <c r="I110" s="45">
        <v>2057304</v>
      </c>
      <c r="J110" s="45"/>
      <c r="K110" s="45">
        <v>0</v>
      </c>
      <c r="L110" s="45"/>
      <c r="M110" s="45">
        <v>692062</v>
      </c>
      <c r="N110" s="45"/>
      <c r="O110" s="45">
        <v>2751947</v>
      </c>
      <c r="P110" s="45"/>
      <c r="Q110" s="45">
        <v>496390</v>
      </c>
      <c r="R110" s="45"/>
      <c r="S110" s="45">
        <v>0</v>
      </c>
      <c r="T110" s="45"/>
      <c r="U110" s="45">
        <v>0</v>
      </c>
      <c r="V110" s="45"/>
      <c r="W110" s="45">
        <v>0</v>
      </c>
      <c r="X110" s="45"/>
      <c r="Y110" s="45">
        <v>0</v>
      </c>
      <c r="Z110" s="44"/>
      <c r="AA110" s="45">
        <v>0</v>
      </c>
      <c r="AB110" s="44"/>
      <c r="AC110" s="45">
        <f t="shared" si="5"/>
        <v>19325296</v>
      </c>
      <c r="AD110" s="45"/>
      <c r="AE110" s="48">
        <v>0</v>
      </c>
      <c r="AF110" s="48"/>
      <c r="AG110" s="45">
        <v>7047900</v>
      </c>
      <c r="AH110" s="45"/>
      <c r="AI110" s="45">
        <v>14459686</v>
      </c>
      <c r="AJ110" s="45"/>
      <c r="AK110" s="45">
        <v>0</v>
      </c>
      <c r="AL110" s="45"/>
      <c r="AM110" s="45">
        <f>+'Gen rev'!U111-'Gen exp'!AC110-AG110+'Gen rev'!W111+AI110+AK110-'Gen Bal'!S110-'Gen exp'!AE110</f>
        <v>0</v>
      </c>
      <c r="AN110" s="45"/>
      <c r="AO110" s="45"/>
      <c r="AP110" s="45"/>
      <c r="AQ110" s="45"/>
      <c r="AR110" s="52"/>
      <c r="AS110" s="50"/>
    </row>
    <row r="111" spans="1:45" s="49" customFormat="1" ht="12.75" customHeight="1" x14ac:dyDescent="0.2">
      <c r="A111" s="28" t="s">
        <v>482</v>
      </c>
      <c r="C111" s="28" t="s">
        <v>45</v>
      </c>
      <c r="E111" s="45">
        <v>1645094</v>
      </c>
      <c r="F111" s="45"/>
      <c r="G111" s="45">
        <v>4399054</v>
      </c>
      <c r="H111" s="45"/>
      <c r="I111" s="45">
        <v>1535431</v>
      </c>
      <c r="J111" s="45"/>
      <c r="K111" s="45">
        <v>115858</v>
      </c>
      <c r="L111" s="45"/>
      <c r="M111" s="45">
        <v>0</v>
      </c>
      <c r="N111" s="45"/>
      <c r="O111" s="45">
        <v>863501</v>
      </c>
      <c r="P111" s="45"/>
      <c r="Q111" s="45">
        <v>0</v>
      </c>
      <c r="R111" s="45"/>
      <c r="S111" s="45">
        <v>0</v>
      </c>
      <c r="T111" s="45"/>
      <c r="U111" s="45">
        <v>0</v>
      </c>
      <c r="V111" s="45"/>
      <c r="W111" s="45">
        <v>0</v>
      </c>
      <c r="X111" s="45"/>
      <c r="Y111" s="45">
        <v>0</v>
      </c>
      <c r="Z111" s="44"/>
      <c r="AA111" s="45">
        <v>0</v>
      </c>
      <c r="AB111" s="44"/>
      <c r="AC111" s="45">
        <f t="shared" si="5"/>
        <v>8558938</v>
      </c>
      <c r="AD111" s="45"/>
      <c r="AE111" s="48">
        <v>0</v>
      </c>
      <c r="AF111" s="48"/>
      <c r="AG111" s="45">
        <v>1531978</v>
      </c>
      <c r="AH111" s="45"/>
      <c r="AI111" s="45">
        <v>7741933</v>
      </c>
      <c r="AJ111" s="45"/>
      <c r="AK111" s="45">
        <v>171975</v>
      </c>
      <c r="AL111" s="45"/>
      <c r="AM111" s="45">
        <f>+'Gen rev'!U112-'Gen exp'!AC111-AG111+'Gen rev'!W112+AI111+AK111-'Gen Bal'!S111-'Gen exp'!AE111</f>
        <v>0</v>
      </c>
      <c r="AN111" s="45"/>
      <c r="AO111" s="45"/>
      <c r="AP111" s="45"/>
      <c r="AQ111" s="45"/>
      <c r="AR111" s="52"/>
      <c r="AS111" s="50"/>
    </row>
    <row r="112" spans="1:45" s="49" customFormat="1" ht="12.75" customHeight="1" x14ac:dyDescent="0.2">
      <c r="A112" s="35" t="s">
        <v>134</v>
      </c>
      <c r="B112" s="55"/>
      <c r="C112" s="35" t="s">
        <v>135</v>
      </c>
      <c r="E112" s="45">
        <v>1825957</v>
      </c>
      <c r="F112" s="45"/>
      <c r="G112" s="45">
        <v>3132952</v>
      </c>
      <c r="H112" s="45"/>
      <c r="I112" s="45">
        <v>44862</v>
      </c>
      <c r="J112" s="45"/>
      <c r="K112" s="45">
        <v>261749</v>
      </c>
      <c r="L112" s="45"/>
      <c r="M112" s="45">
        <v>0</v>
      </c>
      <c r="N112" s="45"/>
      <c r="O112" s="45">
        <v>0</v>
      </c>
      <c r="P112" s="45"/>
      <c r="Q112" s="45">
        <v>0</v>
      </c>
      <c r="R112" s="45"/>
      <c r="S112" s="45">
        <v>1466</v>
      </c>
      <c r="T112" s="45"/>
      <c r="U112" s="45">
        <v>0</v>
      </c>
      <c r="V112" s="45"/>
      <c r="W112" s="45">
        <v>148202</v>
      </c>
      <c r="X112" s="45"/>
      <c r="Y112" s="45">
        <v>116086</v>
      </c>
      <c r="Z112" s="44"/>
      <c r="AA112" s="45">
        <v>0</v>
      </c>
      <c r="AB112" s="44"/>
      <c r="AC112" s="45">
        <f t="shared" si="5"/>
        <v>5531274</v>
      </c>
      <c r="AD112" s="45"/>
      <c r="AE112" s="48">
        <v>0</v>
      </c>
      <c r="AF112" s="48"/>
      <c r="AG112" s="45">
        <v>0</v>
      </c>
      <c r="AH112" s="45"/>
      <c r="AI112" s="45">
        <v>535129</v>
      </c>
      <c r="AJ112" s="45"/>
      <c r="AK112" s="45">
        <v>0</v>
      </c>
      <c r="AL112" s="45"/>
      <c r="AM112" s="45">
        <f>+'Gen rev'!U113-'Gen exp'!AC112-AG112+'Gen rev'!W113+AI112+AK112-'Gen Bal'!S112-'Gen exp'!AE112</f>
        <v>0</v>
      </c>
      <c r="AN112" s="45"/>
      <c r="AO112" s="45"/>
      <c r="AP112" s="45"/>
      <c r="AQ112" s="45"/>
      <c r="AR112" s="52"/>
      <c r="AS112" s="50"/>
    </row>
    <row r="113" spans="1:45" s="49" customFormat="1" ht="12.75" customHeight="1" x14ac:dyDescent="0.2">
      <c r="A113" s="28" t="s">
        <v>136</v>
      </c>
      <c r="C113" s="28" t="s">
        <v>136</v>
      </c>
      <c r="E113" s="45">
        <v>1121386</v>
      </c>
      <c r="F113" s="45"/>
      <c r="G113" s="45">
        <v>1826403</v>
      </c>
      <c r="H113" s="45"/>
      <c r="I113" s="45">
        <v>37255</v>
      </c>
      <c r="J113" s="45"/>
      <c r="K113" s="45">
        <v>0</v>
      </c>
      <c r="L113" s="45"/>
      <c r="M113" s="45">
        <v>153680</v>
      </c>
      <c r="N113" s="45"/>
      <c r="O113" s="45">
        <v>648</v>
      </c>
      <c r="P113" s="45"/>
      <c r="Q113" s="45">
        <v>0</v>
      </c>
      <c r="R113" s="45"/>
      <c r="S113" s="45">
        <v>0</v>
      </c>
      <c r="T113" s="45"/>
      <c r="U113" s="45">
        <v>0</v>
      </c>
      <c r="V113" s="45"/>
      <c r="W113" s="45">
        <v>829</v>
      </c>
      <c r="X113" s="45"/>
      <c r="Y113" s="45">
        <v>1465</v>
      </c>
      <c r="Z113" s="44"/>
      <c r="AA113" s="45">
        <v>0</v>
      </c>
      <c r="AB113" s="44"/>
      <c r="AC113" s="45">
        <f t="shared" si="5"/>
        <v>3141666</v>
      </c>
      <c r="AD113" s="45"/>
      <c r="AE113" s="48">
        <v>0</v>
      </c>
      <c r="AF113" s="48"/>
      <c r="AG113" s="45">
        <v>456582</v>
      </c>
      <c r="AH113" s="45"/>
      <c r="AI113" s="45">
        <v>2402671</v>
      </c>
      <c r="AJ113" s="45"/>
      <c r="AK113" s="45">
        <v>0</v>
      </c>
      <c r="AL113" s="45"/>
      <c r="AM113" s="45">
        <f>+'Gen rev'!U114-'Gen exp'!AC113-AG113+'Gen rev'!W114+AI113+AK113-'Gen Bal'!S113-'Gen exp'!AE113</f>
        <v>0</v>
      </c>
      <c r="AN113" s="45"/>
      <c r="AO113" s="45"/>
      <c r="AP113" s="45"/>
      <c r="AQ113" s="45"/>
      <c r="AR113" s="52"/>
      <c r="AS113" s="50"/>
    </row>
    <row r="114" spans="1:45" s="49" customFormat="1" ht="12.75" customHeight="1" x14ac:dyDescent="0.2">
      <c r="A114" s="28" t="s">
        <v>137</v>
      </c>
      <c r="C114" s="28" t="s">
        <v>22</v>
      </c>
      <c r="E114" s="45">
        <v>2287545</v>
      </c>
      <c r="F114" s="45"/>
      <c r="G114" s="45">
        <v>4658145</v>
      </c>
      <c r="H114" s="45"/>
      <c r="I114" s="45">
        <v>1638185</v>
      </c>
      <c r="J114" s="45"/>
      <c r="K114" s="45">
        <v>544860</v>
      </c>
      <c r="L114" s="45"/>
      <c r="M114" s="45">
        <v>0</v>
      </c>
      <c r="N114" s="45"/>
      <c r="O114" s="45">
        <v>0</v>
      </c>
      <c r="P114" s="45"/>
      <c r="Q114" s="45">
        <v>0</v>
      </c>
      <c r="R114" s="45"/>
      <c r="S114" s="45">
        <v>1573250</v>
      </c>
      <c r="T114" s="45"/>
      <c r="U114" s="45">
        <v>0</v>
      </c>
      <c r="V114" s="45"/>
      <c r="W114" s="45">
        <v>0</v>
      </c>
      <c r="X114" s="45"/>
      <c r="Y114" s="45">
        <v>0</v>
      </c>
      <c r="Z114" s="44"/>
      <c r="AA114" s="45">
        <v>0</v>
      </c>
      <c r="AB114" s="44"/>
      <c r="AC114" s="45">
        <f t="shared" si="5"/>
        <v>10701985</v>
      </c>
      <c r="AD114" s="45"/>
      <c r="AE114" s="48">
        <v>0</v>
      </c>
      <c r="AF114" s="48"/>
      <c r="AG114" s="45">
        <v>140000</v>
      </c>
      <c r="AH114" s="45"/>
      <c r="AI114" s="45">
        <v>9619517</v>
      </c>
      <c r="AJ114" s="45"/>
      <c r="AK114" s="45">
        <v>0</v>
      </c>
      <c r="AL114" s="45"/>
      <c r="AM114" s="45">
        <f>+'Gen rev'!U115-'Gen exp'!AC114-AG114+'Gen rev'!W115+AI114+AK114-'Gen Bal'!S114-'Gen exp'!AE114</f>
        <v>0</v>
      </c>
      <c r="AN114" s="45"/>
      <c r="AO114" s="45"/>
      <c r="AP114" s="45"/>
      <c r="AQ114" s="45"/>
      <c r="AR114" s="52"/>
      <c r="AS114" s="50"/>
    </row>
    <row r="115" spans="1:45" s="49" customFormat="1" ht="12.75" hidden="1" customHeight="1" x14ac:dyDescent="0.2">
      <c r="A115" s="28" t="s">
        <v>138</v>
      </c>
      <c r="C115" s="28" t="s">
        <v>139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4"/>
      <c r="AA115" s="45"/>
      <c r="AB115" s="44"/>
      <c r="AC115" s="45">
        <f t="shared" si="5"/>
        <v>0</v>
      </c>
      <c r="AD115" s="45"/>
      <c r="AE115" s="48"/>
      <c r="AF115" s="48"/>
      <c r="AG115" s="45"/>
      <c r="AH115" s="45"/>
      <c r="AI115" s="45"/>
      <c r="AJ115" s="45"/>
      <c r="AK115" s="45"/>
      <c r="AL115" s="45"/>
      <c r="AM115" s="45">
        <f>+'Gen rev'!U116-'Gen exp'!AC115-AG115+'Gen rev'!W116+AI115+AK115-'Gen Bal'!S115-'Gen exp'!AE115</f>
        <v>0</v>
      </c>
      <c r="AN115" s="45"/>
      <c r="AO115" s="45"/>
      <c r="AP115" s="45"/>
      <c r="AQ115" s="45"/>
      <c r="AR115" s="52"/>
      <c r="AS115" s="50"/>
    </row>
    <row r="116" spans="1:45" s="49" customFormat="1" ht="12.75" customHeight="1" x14ac:dyDescent="0.2">
      <c r="A116" s="28" t="s">
        <v>140</v>
      </c>
      <c r="C116" s="28" t="s">
        <v>66</v>
      </c>
      <c r="E116" s="45">
        <v>10997975</v>
      </c>
      <c r="F116" s="45"/>
      <c r="G116" s="45">
        <f>12801094+10049828</f>
        <v>22850922</v>
      </c>
      <c r="H116" s="45"/>
      <c r="I116" s="45">
        <v>0</v>
      </c>
      <c r="J116" s="45"/>
      <c r="K116" s="45">
        <v>0</v>
      </c>
      <c r="L116" s="45"/>
      <c r="M116" s="45">
        <v>2812705</v>
      </c>
      <c r="N116" s="45"/>
      <c r="O116" s="45">
        <v>0</v>
      </c>
      <c r="P116" s="45"/>
      <c r="Q116" s="45">
        <v>0</v>
      </c>
      <c r="R116" s="45"/>
      <c r="S116" s="45">
        <v>0</v>
      </c>
      <c r="T116" s="45"/>
      <c r="U116" s="45">
        <v>0</v>
      </c>
      <c r="V116" s="45"/>
      <c r="W116" s="45">
        <v>0</v>
      </c>
      <c r="X116" s="45"/>
      <c r="Y116" s="45">
        <v>0</v>
      </c>
      <c r="Z116" s="44"/>
      <c r="AA116" s="45">
        <v>0</v>
      </c>
      <c r="AB116" s="44"/>
      <c r="AC116" s="45">
        <f t="shared" si="5"/>
        <v>36661602</v>
      </c>
      <c r="AD116" s="45"/>
      <c r="AE116" s="48">
        <v>0</v>
      </c>
      <c r="AF116" s="48"/>
      <c r="AG116" s="45">
        <v>11658166</v>
      </c>
      <c r="AH116" s="45"/>
      <c r="AI116" s="45">
        <v>39595363</v>
      </c>
      <c r="AJ116" s="45"/>
      <c r="AK116" s="45">
        <v>0</v>
      </c>
      <c r="AL116" s="45"/>
      <c r="AM116" s="45">
        <f>+'Gen rev'!U117-'Gen exp'!AC116-AG116+'Gen rev'!W117+AI116+AK116-'Gen Bal'!S117-'Gen exp'!AE116</f>
        <v>0</v>
      </c>
      <c r="AN116" s="45"/>
      <c r="AO116" s="45"/>
      <c r="AP116" s="45"/>
      <c r="AQ116" s="45"/>
      <c r="AR116" s="52"/>
      <c r="AS116" s="50"/>
    </row>
    <row r="117" spans="1:45" s="49" customFormat="1" ht="12.75" customHeight="1" x14ac:dyDescent="0.2">
      <c r="A117" s="28" t="s">
        <v>478</v>
      </c>
      <c r="C117" s="28" t="s">
        <v>92</v>
      </c>
      <c r="E117" s="45">
        <v>1749578</v>
      </c>
      <c r="F117" s="45"/>
      <c r="G117" s="45">
        <v>1409765</v>
      </c>
      <c r="H117" s="45"/>
      <c r="I117" s="45">
        <v>71191</v>
      </c>
      <c r="J117" s="45"/>
      <c r="K117" s="45">
        <v>74939</v>
      </c>
      <c r="L117" s="45"/>
      <c r="M117" s="45">
        <v>920505</v>
      </c>
      <c r="N117" s="45"/>
      <c r="O117" s="45">
        <v>106596</v>
      </c>
      <c r="P117" s="45"/>
      <c r="Q117" s="45">
        <v>0</v>
      </c>
      <c r="R117" s="45"/>
      <c r="S117" s="45">
        <v>0</v>
      </c>
      <c r="T117" s="45"/>
      <c r="U117" s="45">
        <v>0</v>
      </c>
      <c r="V117" s="45"/>
      <c r="W117" s="45">
        <v>50000</v>
      </c>
      <c r="X117" s="45"/>
      <c r="Y117" s="45">
        <v>3033</v>
      </c>
      <c r="Z117" s="44"/>
      <c r="AA117" s="45">
        <v>0</v>
      </c>
      <c r="AB117" s="44"/>
      <c r="AC117" s="45">
        <f t="shared" si="5"/>
        <v>4385607</v>
      </c>
      <c r="AD117" s="45"/>
      <c r="AE117" s="48">
        <v>0</v>
      </c>
      <c r="AF117" s="48"/>
      <c r="AG117" s="45">
        <f>160000+293318</f>
        <v>453318</v>
      </c>
      <c r="AH117" s="45"/>
      <c r="AI117" s="45">
        <v>659959</v>
      </c>
      <c r="AJ117" s="45"/>
      <c r="AK117" s="45">
        <v>0</v>
      </c>
      <c r="AL117" s="45"/>
      <c r="AM117" s="45">
        <f>+'Gen rev'!U118-'Gen exp'!AC117-AG117+'Gen rev'!W118+AI117+AK117-'Gen Bal'!S118-'Gen exp'!AE117</f>
        <v>0</v>
      </c>
      <c r="AN117" s="45"/>
      <c r="AO117" s="45"/>
      <c r="AP117" s="45"/>
      <c r="AQ117" s="45"/>
      <c r="AR117" s="52"/>
      <c r="AS117" s="50"/>
    </row>
    <row r="118" spans="1:45" s="49" customFormat="1" ht="12.75" customHeight="1" x14ac:dyDescent="0.2">
      <c r="A118" s="28" t="s">
        <v>141</v>
      </c>
      <c r="C118" s="28" t="s">
        <v>27</v>
      </c>
      <c r="E118" s="45">
        <v>7456344</v>
      </c>
      <c r="F118" s="45"/>
      <c r="G118" s="45">
        <f>10622224+6194740</f>
        <v>16816964</v>
      </c>
      <c r="H118" s="45"/>
      <c r="I118" s="45">
        <v>2654431</v>
      </c>
      <c r="J118" s="45"/>
      <c r="K118" s="45">
        <v>589405</v>
      </c>
      <c r="L118" s="45"/>
      <c r="M118" s="45">
        <v>0</v>
      </c>
      <c r="N118" s="45"/>
      <c r="O118" s="45">
        <v>1732556</v>
      </c>
      <c r="P118" s="45"/>
      <c r="Q118" s="45">
        <v>3331914</v>
      </c>
      <c r="R118" s="45"/>
      <c r="S118" s="45">
        <v>711538</v>
      </c>
      <c r="T118" s="45"/>
      <c r="U118" s="45">
        <v>0</v>
      </c>
      <c r="V118" s="45"/>
      <c r="W118" s="45">
        <v>939630</v>
      </c>
      <c r="X118" s="45"/>
      <c r="Y118" s="45">
        <v>245395</v>
      </c>
      <c r="Z118" s="44"/>
      <c r="AA118" s="45">
        <v>0</v>
      </c>
      <c r="AB118" s="44"/>
      <c r="AC118" s="45">
        <f t="shared" si="5"/>
        <v>34478177</v>
      </c>
      <c r="AD118" s="45"/>
      <c r="AE118" s="48">
        <v>0</v>
      </c>
      <c r="AF118" s="48"/>
      <c r="AG118" s="45">
        <v>1814232</v>
      </c>
      <c r="AH118" s="45"/>
      <c r="AI118" s="45">
        <v>6564808</v>
      </c>
      <c r="AJ118" s="45"/>
      <c r="AK118" s="45">
        <v>0</v>
      </c>
      <c r="AL118" s="45"/>
      <c r="AM118" s="45">
        <f>+'Gen rev'!U119-'Gen exp'!AC118-AG118+'Gen rev'!W119+AI118+AK118-'Gen Bal'!S119-'Gen exp'!AE118</f>
        <v>0</v>
      </c>
      <c r="AN118" s="45"/>
      <c r="AO118" s="45"/>
      <c r="AP118" s="45"/>
      <c r="AQ118" s="45"/>
      <c r="AR118" s="52"/>
      <c r="AS118" s="50"/>
    </row>
    <row r="119" spans="1:45" s="46" customFormat="1" ht="12.75" customHeight="1" x14ac:dyDescent="0.2">
      <c r="A119" s="28" t="s">
        <v>142</v>
      </c>
      <c r="B119" s="49"/>
      <c r="C119" s="28" t="s">
        <v>102</v>
      </c>
      <c r="D119" s="49"/>
      <c r="E119" s="45">
        <v>5880038</v>
      </c>
      <c r="F119" s="45"/>
      <c r="G119" s="45">
        <v>15774360</v>
      </c>
      <c r="H119" s="45"/>
      <c r="I119" s="45">
        <v>156506</v>
      </c>
      <c r="J119" s="45"/>
      <c r="K119" s="45">
        <v>243901</v>
      </c>
      <c r="L119" s="45"/>
      <c r="M119" s="45">
        <v>0</v>
      </c>
      <c r="N119" s="45"/>
      <c r="O119" s="45">
        <v>0</v>
      </c>
      <c r="P119" s="45"/>
      <c r="Q119" s="45">
        <v>0</v>
      </c>
      <c r="R119" s="45"/>
      <c r="S119" s="45">
        <v>0</v>
      </c>
      <c r="T119" s="45"/>
      <c r="U119" s="45">
        <v>0</v>
      </c>
      <c r="V119" s="45"/>
      <c r="W119" s="45">
        <v>43066</v>
      </c>
      <c r="X119" s="45"/>
      <c r="Y119" s="45">
        <v>63749</v>
      </c>
      <c r="Z119" s="44"/>
      <c r="AA119" s="45">
        <v>0</v>
      </c>
      <c r="AB119" s="44"/>
      <c r="AC119" s="45">
        <f t="shared" si="5"/>
        <v>22161620</v>
      </c>
      <c r="AD119" s="45"/>
      <c r="AE119" s="48">
        <v>0</v>
      </c>
      <c r="AF119" s="48"/>
      <c r="AG119" s="45">
        <v>1025527</v>
      </c>
      <c r="AH119" s="45"/>
      <c r="AI119" s="45">
        <v>3673814</v>
      </c>
      <c r="AJ119" s="45"/>
      <c r="AK119" s="45">
        <v>16128</v>
      </c>
      <c r="AL119" s="45"/>
      <c r="AM119" s="45">
        <f>+'Gen rev'!U120-'Gen exp'!AC119-AG119+'Gen rev'!W120+AI119+AK119-'Gen Bal'!S120-'Gen exp'!AE119</f>
        <v>0</v>
      </c>
      <c r="AR119" s="90"/>
      <c r="AS119" s="64"/>
    </row>
    <row r="120" spans="1:45" s="49" customFormat="1" ht="12.75" customHeight="1" x14ac:dyDescent="0.2">
      <c r="A120" s="28" t="s">
        <v>143</v>
      </c>
      <c r="C120" s="28" t="s">
        <v>111</v>
      </c>
      <c r="E120" s="45">
        <v>3511332</v>
      </c>
      <c r="F120" s="45"/>
      <c r="G120" s="45">
        <v>4078906</v>
      </c>
      <c r="H120" s="45"/>
      <c r="I120" s="45">
        <v>711535</v>
      </c>
      <c r="J120" s="45"/>
      <c r="K120" s="45">
        <v>0</v>
      </c>
      <c r="L120" s="45"/>
      <c r="M120" s="45">
        <v>0</v>
      </c>
      <c r="N120" s="45"/>
      <c r="O120" s="45">
        <v>493220</v>
      </c>
      <c r="P120" s="45"/>
      <c r="Q120" s="45">
        <v>0</v>
      </c>
      <c r="R120" s="45"/>
      <c r="S120" s="45">
        <v>0</v>
      </c>
      <c r="T120" s="45"/>
      <c r="U120" s="45">
        <v>0</v>
      </c>
      <c r="V120" s="45"/>
      <c r="W120" s="45">
        <v>457</v>
      </c>
      <c r="X120" s="45"/>
      <c r="Y120" s="45">
        <v>808</v>
      </c>
      <c r="Z120" s="44"/>
      <c r="AA120" s="45">
        <v>0</v>
      </c>
      <c r="AB120" s="44"/>
      <c r="AC120" s="45">
        <f t="shared" si="5"/>
        <v>8796258</v>
      </c>
      <c r="AD120" s="45"/>
      <c r="AE120" s="48">
        <v>0</v>
      </c>
      <c r="AF120" s="48"/>
      <c r="AG120" s="45">
        <v>66120</v>
      </c>
      <c r="AH120" s="45"/>
      <c r="AI120" s="45">
        <v>5136122</v>
      </c>
      <c r="AJ120" s="45"/>
      <c r="AK120" s="45">
        <v>0</v>
      </c>
      <c r="AL120" s="45"/>
      <c r="AM120" s="45">
        <f>+'Gen rev'!U121-'Gen exp'!AC120-AG120+'Gen rev'!W121+AI120+AK120-'Gen Bal'!S121-'Gen exp'!AE120</f>
        <v>0</v>
      </c>
      <c r="AN120" s="45"/>
      <c r="AO120" s="45"/>
      <c r="AP120" s="45"/>
      <c r="AQ120" s="45"/>
      <c r="AR120" s="52"/>
      <c r="AS120" s="50"/>
    </row>
    <row r="121" spans="1:45" s="49" customFormat="1" ht="12.75" customHeight="1" x14ac:dyDescent="0.2">
      <c r="A121" s="28" t="s">
        <v>144</v>
      </c>
      <c r="C121" s="28" t="s">
        <v>88</v>
      </c>
      <c r="E121" s="45">
        <v>7606379</v>
      </c>
      <c r="F121" s="45"/>
      <c r="G121" s="45">
        <v>15752908</v>
      </c>
      <c r="H121" s="45"/>
      <c r="I121" s="45">
        <v>895811</v>
      </c>
      <c r="J121" s="45"/>
      <c r="K121" s="45">
        <v>0</v>
      </c>
      <c r="L121" s="45"/>
      <c r="M121" s="45">
        <v>1061710</v>
      </c>
      <c r="N121" s="45"/>
      <c r="O121" s="45">
        <v>927972</v>
      </c>
      <c r="P121" s="45"/>
      <c r="Q121" s="45">
        <v>0</v>
      </c>
      <c r="R121" s="45"/>
      <c r="S121" s="45">
        <v>154206</v>
      </c>
      <c r="T121" s="45"/>
      <c r="U121" s="45">
        <v>0</v>
      </c>
      <c r="V121" s="45"/>
      <c r="W121" s="45">
        <v>73505</v>
      </c>
      <c r="X121" s="45"/>
      <c r="Y121" s="45">
        <v>14958</v>
      </c>
      <c r="Z121" s="44"/>
      <c r="AA121" s="45">
        <v>0</v>
      </c>
      <c r="AB121" s="44"/>
      <c r="AC121" s="45">
        <f t="shared" si="5"/>
        <v>26487449</v>
      </c>
      <c r="AD121" s="45"/>
      <c r="AE121" s="48">
        <v>0</v>
      </c>
      <c r="AF121" s="48"/>
      <c r="AG121" s="45">
        <v>25261</v>
      </c>
      <c r="AH121" s="45"/>
      <c r="AI121" s="45">
        <v>4830009</v>
      </c>
      <c r="AJ121" s="45"/>
      <c r="AK121" s="45">
        <v>0</v>
      </c>
      <c r="AL121" s="45"/>
      <c r="AM121" s="45">
        <f>+'Gen rev'!U122-'Gen exp'!AC121-AG121+'Gen rev'!W122+AI121+AK121-'Gen Bal'!S122-'Gen exp'!AE121</f>
        <v>0</v>
      </c>
      <c r="AN121" s="45"/>
      <c r="AO121" s="45"/>
      <c r="AP121" s="45"/>
      <c r="AQ121" s="45"/>
      <c r="AR121" s="52"/>
      <c r="AS121" s="50"/>
    </row>
    <row r="122" spans="1:45" s="49" customFormat="1" ht="12.75" customHeight="1" x14ac:dyDescent="0.2">
      <c r="A122" s="28" t="s">
        <v>36</v>
      </c>
      <c r="C122" s="28" t="s">
        <v>145</v>
      </c>
      <c r="E122" s="45">
        <v>587989</v>
      </c>
      <c r="F122" s="45"/>
      <c r="G122" s="45">
        <f>1652892+581392</f>
        <v>2234284</v>
      </c>
      <c r="H122" s="45"/>
      <c r="I122" s="45">
        <v>10835</v>
      </c>
      <c r="J122" s="45"/>
      <c r="K122" s="45">
        <v>312705</v>
      </c>
      <c r="L122" s="45"/>
      <c r="M122" s="45">
        <v>231806</v>
      </c>
      <c r="N122" s="45"/>
      <c r="O122" s="45">
        <v>0</v>
      </c>
      <c r="P122" s="45"/>
      <c r="Q122" s="45">
        <v>2232</v>
      </c>
      <c r="R122" s="45"/>
      <c r="S122" s="45">
        <v>0</v>
      </c>
      <c r="T122" s="45"/>
      <c r="U122" s="45">
        <v>0</v>
      </c>
      <c r="V122" s="45"/>
      <c r="W122" s="45">
        <v>20668</v>
      </c>
      <c r="X122" s="45"/>
      <c r="Y122" s="45">
        <v>10166</v>
      </c>
      <c r="Z122" s="44"/>
      <c r="AA122" s="45">
        <v>0</v>
      </c>
      <c r="AB122" s="44"/>
      <c r="AC122" s="45">
        <f t="shared" si="5"/>
        <v>3410685</v>
      </c>
      <c r="AD122" s="45"/>
      <c r="AE122" s="48">
        <v>0</v>
      </c>
      <c r="AF122" s="48"/>
      <c r="AG122" s="45">
        <v>20000</v>
      </c>
      <c r="AH122" s="45"/>
      <c r="AI122" s="45">
        <v>1276876</v>
      </c>
      <c r="AJ122" s="45"/>
      <c r="AK122" s="45">
        <v>0</v>
      </c>
      <c r="AL122" s="45"/>
      <c r="AM122" s="45">
        <f>+'Gen rev'!U123-'Gen exp'!AC122-AG122+'Gen rev'!W123+AI122+AK122-'Gen Bal'!S123-'Gen exp'!AE122</f>
        <v>0</v>
      </c>
      <c r="AN122" s="35"/>
      <c r="AO122" s="35"/>
      <c r="AP122" s="35"/>
      <c r="AQ122" s="35"/>
      <c r="AR122" s="50"/>
      <c r="AS122" s="50"/>
    </row>
    <row r="123" spans="1:45" s="49" customFormat="1" ht="12.75" customHeight="1" x14ac:dyDescent="0.2">
      <c r="A123" s="28" t="s">
        <v>146</v>
      </c>
      <c r="C123" s="28" t="s">
        <v>147</v>
      </c>
      <c r="E123" s="45">
        <v>1193932</v>
      </c>
      <c r="F123" s="45"/>
      <c r="G123" s="45">
        <v>2517669</v>
      </c>
      <c r="H123" s="45"/>
      <c r="I123" s="45">
        <v>144336</v>
      </c>
      <c r="J123" s="45"/>
      <c r="K123" s="45">
        <v>0</v>
      </c>
      <c r="L123" s="45"/>
      <c r="M123" s="45">
        <v>0</v>
      </c>
      <c r="N123" s="45"/>
      <c r="O123" s="45">
        <v>160407</v>
      </c>
      <c r="P123" s="45"/>
      <c r="Q123" s="45">
        <v>0</v>
      </c>
      <c r="R123" s="45"/>
      <c r="S123" s="45">
        <v>0</v>
      </c>
      <c r="T123" s="45"/>
      <c r="U123" s="45">
        <v>0</v>
      </c>
      <c r="V123" s="45"/>
      <c r="W123" s="45">
        <v>0</v>
      </c>
      <c r="X123" s="45"/>
      <c r="Y123" s="45">
        <v>0</v>
      </c>
      <c r="Z123" s="44"/>
      <c r="AA123" s="45">
        <v>0</v>
      </c>
      <c r="AB123" s="44"/>
      <c r="AC123" s="45">
        <f t="shared" si="5"/>
        <v>4016344</v>
      </c>
      <c r="AD123" s="45"/>
      <c r="AE123" s="48">
        <v>0</v>
      </c>
      <c r="AF123" s="48"/>
      <c r="AG123" s="45">
        <v>434112</v>
      </c>
      <c r="AH123" s="45"/>
      <c r="AI123" s="45">
        <v>1718460</v>
      </c>
      <c r="AJ123" s="45"/>
      <c r="AK123" s="45">
        <v>0</v>
      </c>
      <c r="AL123" s="45"/>
      <c r="AM123" s="45">
        <f>+'Gen rev'!U124-'Gen exp'!AC123-AG123+'Gen rev'!W124+AI123+AK123-'Gen Bal'!S124-'Gen exp'!AE123</f>
        <v>0</v>
      </c>
      <c r="AN123" s="44"/>
      <c r="AO123" s="44"/>
      <c r="AP123" s="44"/>
      <c r="AQ123" s="44"/>
    </row>
    <row r="124" spans="1:45" s="49" customFormat="1" ht="12.75" customHeight="1" x14ac:dyDescent="0.2">
      <c r="A124" s="28" t="s">
        <v>17</v>
      </c>
      <c r="C124" s="28" t="s">
        <v>17</v>
      </c>
      <c r="E124" s="45">
        <v>7305864</v>
      </c>
      <c r="F124" s="45"/>
      <c r="G124" s="45">
        <v>17072096</v>
      </c>
      <c r="H124" s="45"/>
      <c r="I124" s="45">
        <f>376237+150833</f>
        <v>527070</v>
      </c>
      <c r="J124" s="45"/>
      <c r="K124" s="45">
        <v>185897</v>
      </c>
      <c r="L124" s="45"/>
      <c r="M124" s="45">
        <v>0</v>
      </c>
      <c r="N124" s="45"/>
      <c r="O124" s="45">
        <v>332550</v>
      </c>
      <c r="P124" s="45"/>
      <c r="Q124" s="45">
        <v>0</v>
      </c>
      <c r="R124" s="45"/>
      <c r="S124" s="45">
        <v>0</v>
      </c>
      <c r="T124" s="45"/>
      <c r="U124" s="45">
        <v>0</v>
      </c>
      <c r="V124" s="45"/>
      <c r="W124" s="45">
        <v>605235</v>
      </c>
      <c r="X124" s="45"/>
      <c r="Y124" s="45">
        <v>107576</v>
      </c>
      <c r="Z124" s="44"/>
      <c r="AA124" s="45">
        <v>0</v>
      </c>
      <c r="AB124" s="44"/>
      <c r="AC124" s="45">
        <f t="shared" si="5"/>
        <v>26136288</v>
      </c>
      <c r="AD124" s="45"/>
      <c r="AE124" s="48">
        <v>0</v>
      </c>
      <c r="AF124" s="48"/>
      <c r="AG124" s="45">
        <v>1472627</v>
      </c>
      <c r="AH124" s="45"/>
      <c r="AI124" s="45">
        <v>2178164</v>
      </c>
      <c r="AJ124" s="45"/>
      <c r="AK124" s="45">
        <v>0</v>
      </c>
      <c r="AL124" s="45"/>
      <c r="AM124" s="45">
        <f>+'Gen rev'!U125-'Gen exp'!AC124-AG124+'Gen rev'!W125+AI124+AK124-'Gen Bal'!S125-'Gen exp'!AE124</f>
        <v>0</v>
      </c>
      <c r="AN124" s="44"/>
      <c r="AO124" s="44"/>
      <c r="AP124" s="44"/>
      <c r="AQ124" s="44"/>
    </row>
    <row r="125" spans="1:45" s="49" customFormat="1" ht="12.75" customHeight="1" x14ac:dyDescent="0.2">
      <c r="A125" s="28" t="s">
        <v>148</v>
      </c>
      <c r="C125" s="28" t="s">
        <v>15</v>
      </c>
      <c r="E125" s="45">
        <v>847125</v>
      </c>
      <c r="F125" s="45"/>
      <c r="G125" s="45">
        <v>1758457</v>
      </c>
      <c r="H125" s="45"/>
      <c r="I125" s="45">
        <v>151145</v>
      </c>
      <c r="J125" s="45"/>
      <c r="K125" s="45">
        <v>50860</v>
      </c>
      <c r="L125" s="45"/>
      <c r="M125" s="45">
        <v>0</v>
      </c>
      <c r="N125" s="45"/>
      <c r="O125" s="45">
        <v>149882</v>
      </c>
      <c r="P125" s="45"/>
      <c r="Q125" s="45">
        <v>0</v>
      </c>
      <c r="R125" s="45"/>
      <c r="S125" s="45">
        <v>135426</v>
      </c>
      <c r="T125" s="45"/>
      <c r="U125" s="45">
        <v>0</v>
      </c>
      <c r="V125" s="45"/>
      <c r="W125" s="45">
        <v>29761</v>
      </c>
      <c r="X125" s="45"/>
      <c r="Y125" s="45">
        <v>1090</v>
      </c>
      <c r="Z125" s="44"/>
      <c r="AA125" s="45">
        <v>0</v>
      </c>
      <c r="AB125" s="44"/>
      <c r="AC125" s="45">
        <f t="shared" si="5"/>
        <v>3123746</v>
      </c>
      <c r="AD125" s="45"/>
      <c r="AE125" s="48">
        <v>0</v>
      </c>
      <c r="AF125" s="48"/>
      <c r="AG125" s="45">
        <v>449260</v>
      </c>
      <c r="AH125" s="45"/>
      <c r="AI125" s="45">
        <v>1617040</v>
      </c>
      <c r="AJ125" s="45"/>
      <c r="AK125" s="45">
        <v>0</v>
      </c>
      <c r="AL125" s="45"/>
      <c r="AM125" s="45">
        <f>+'Gen rev'!U126-'Gen exp'!AC125-AG125+'Gen rev'!W126+AI125+AK125-'Gen Bal'!S126-'Gen exp'!AE125</f>
        <v>0</v>
      </c>
      <c r="AN125" s="44"/>
      <c r="AO125" s="44"/>
      <c r="AP125" s="44"/>
      <c r="AQ125" s="44"/>
    </row>
    <row r="126" spans="1:45" s="46" customFormat="1" ht="12.75" customHeight="1" x14ac:dyDescent="0.2">
      <c r="A126" s="28" t="s">
        <v>149</v>
      </c>
      <c r="B126" s="49"/>
      <c r="C126" s="28" t="s">
        <v>45</v>
      </c>
      <c r="D126" s="49"/>
      <c r="E126" s="45">
        <v>2302293</v>
      </c>
      <c r="F126" s="45"/>
      <c r="G126" s="45">
        <v>2712175</v>
      </c>
      <c r="H126" s="45"/>
      <c r="I126" s="45">
        <v>209694</v>
      </c>
      <c r="J126" s="45"/>
      <c r="K126" s="45">
        <v>0</v>
      </c>
      <c r="L126" s="45"/>
      <c r="M126" s="45">
        <v>0</v>
      </c>
      <c r="N126" s="45"/>
      <c r="O126" s="45">
        <v>391113</v>
      </c>
      <c r="P126" s="45"/>
      <c r="Q126" s="45">
        <v>0</v>
      </c>
      <c r="R126" s="45"/>
      <c r="S126" s="45">
        <v>0</v>
      </c>
      <c r="T126" s="45"/>
      <c r="U126" s="45">
        <v>0</v>
      </c>
      <c r="V126" s="45"/>
      <c r="W126" s="45">
        <v>0</v>
      </c>
      <c r="X126" s="45"/>
      <c r="Y126" s="45">
        <v>0</v>
      </c>
      <c r="Z126" s="44"/>
      <c r="AA126" s="45">
        <v>0</v>
      </c>
      <c r="AB126" s="44"/>
      <c r="AC126" s="45">
        <f t="shared" si="5"/>
        <v>5615275</v>
      </c>
      <c r="AD126" s="45"/>
      <c r="AE126" s="48">
        <v>0</v>
      </c>
      <c r="AF126" s="48"/>
      <c r="AG126" s="45">
        <v>165927</v>
      </c>
      <c r="AH126" s="45"/>
      <c r="AI126" s="45">
        <v>2622208</v>
      </c>
      <c r="AJ126" s="45"/>
      <c r="AK126" s="45">
        <v>-1306</v>
      </c>
      <c r="AL126" s="45"/>
      <c r="AM126" s="45">
        <f>+'Gen rev'!U127-'Gen exp'!AC126-AG126+'Gen rev'!W127+AI126+AK126-'Gen Bal'!S127-'Gen exp'!AE126</f>
        <v>0</v>
      </c>
    </row>
    <row r="127" spans="1:45" s="49" customFormat="1" ht="12.75" customHeight="1" x14ac:dyDescent="0.2">
      <c r="A127" s="28" t="s">
        <v>150</v>
      </c>
      <c r="C127" s="28" t="s">
        <v>27</v>
      </c>
      <c r="E127" s="45">
        <v>3830687</v>
      </c>
      <c r="F127" s="45"/>
      <c r="G127" s="45">
        <v>6767633</v>
      </c>
      <c r="H127" s="45"/>
      <c r="I127" s="45">
        <v>453613</v>
      </c>
      <c r="J127" s="45"/>
      <c r="K127" s="45">
        <v>56532</v>
      </c>
      <c r="L127" s="45"/>
      <c r="M127" s="45">
        <v>0</v>
      </c>
      <c r="N127" s="45"/>
      <c r="O127" s="45">
        <v>939935</v>
      </c>
      <c r="P127" s="45"/>
      <c r="Q127" s="45">
        <v>1055582</v>
      </c>
      <c r="R127" s="45"/>
      <c r="S127" s="45">
        <v>0</v>
      </c>
      <c r="T127" s="45"/>
      <c r="U127" s="45">
        <v>0</v>
      </c>
      <c r="V127" s="45"/>
      <c r="W127" s="45">
        <v>94</v>
      </c>
      <c r="X127" s="45"/>
      <c r="Y127" s="45">
        <v>0</v>
      </c>
      <c r="Z127" s="44"/>
      <c r="AA127" s="45">
        <v>0</v>
      </c>
      <c r="AB127" s="44"/>
      <c r="AC127" s="45">
        <f t="shared" si="5"/>
        <v>13104076</v>
      </c>
      <c r="AD127" s="45"/>
      <c r="AE127" s="48">
        <v>0</v>
      </c>
      <c r="AF127" s="48"/>
      <c r="AG127" s="45">
        <v>1715735</v>
      </c>
      <c r="AH127" s="45"/>
      <c r="AI127" s="45">
        <v>4625044</v>
      </c>
      <c r="AJ127" s="45"/>
      <c r="AK127" s="45">
        <v>11334</v>
      </c>
      <c r="AL127" s="45"/>
      <c r="AM127" s="45">
        <f>+'Gen rev'!U128-'Gen exp'!AC127-AG127+'Gen rev'!W128+AI127+AK127-'Gen Bal'!S128-'Gen exp'!AE127</f>
        <v>0</v>
      </c>
      <c r="AN127" s="44"/>
      <c r="AO127" s="44"/>
      <c r="AP127" s="44"/>
      <c r="AQ127" s="44"/>
    </row>
    <row r="128" spans="1:45" s="46" customFormat="1" ht="12.75" customHeight="1" x14ac:dyDescent="0.2">
      <c r="A128" s="28" t="s">
        <v>151</v>
      </c>
      <c r="B128" s="49"/>
      <c r="C128" s="28" t="s">
        <v>13</v>
      </c>
      <c r="D128" s="49"/>
      <c r="E128" s="45">
        <v>2042121</v>
      </c>
      <c r="F128" s="45"/>
      <c r="G128" s="45">
        <v>4406672</v>
      </c>
      <c r="H128" s="45"/>
      <c r="I128" s="45">
        <v>474741</v>
      </c>
      <c r="J128" s="45"/>
      <c r="K128" s="45">
        <v>135132</v>
      </c>
      <c r="L128" s="45"/>
      <c r="M128" s="45">
        <v>0</v>
      </c>
      <c r="N128" s="45"/>
      <c r="O128" s="45">
        <v>0</v>
      </c>
      <c r="P128" s="45"/>
      <c r="Q128" s="45">
        <v>133996</v>
      </c>
      <c r="R128" s="45"/>
      <c r="S128" s="45">
        <v>15536</v>
      </c>
      <c r="T128" s="45"/>
      <c r="U128" s="45">
        <v>0</v>
      </c>
      <c r="V128" s="45"/>
      <c r="W128" s="45">
        <v>473828</v>
      </c>
      <c r="X128" s="45"/>
      <c r="Y128" s="45">
        <v>279228</v>
      </c>
      <c r="Z128" s="44"/>
      <c r="AA128" s="45">
        <v>0</v>
      </c>
      <c r="AB128" s="44"/>
      <c r="AC128" s="45">
        <f t="shared" si="5"/>
        <v>7961254</v>
      </c>
      <c r="AD128" s="45"/>
      <c r="AE128" s="48">
        <v>0</v>
      </c>
      <c r="AF128" s="48"/>
      <c r="AG128" s="45">
        <v>1899295</v>
      </c>
      <c r="AH128" s="45"/>
      <c r="AI128" s="45">
        <v>2572756</v>
      </c>
      <c r="AJ128" s="45"/>
      <c r="AK128" s="45">
        <v>0</v>
      </c>
      <c r="AL128" s="45"/>
      <c r="AM128" s="45">
        <f>+'Gen rev'!U129-'Gen exp'!AC128-AG128+'Gen rev'!W129+AI128+AK128-'Gen Bal'!S129-'Gen exp'!AE128</f>
        <v>0</v>
      </c>
    </row>
    <row r="129" spans="1:45" s="121" customFormat="1" ht="12.75" hidden="1" customHeight="1" x14ac:dyDescent="0.2">
      <c r="A129" s="126" t="s">
        <v>481</v>
      </c>
      <c r="C129" s="126" t="s">
        <v>45</v>
      </c>
      <c r="E129" s="127">
        <v>987756</v>
      </c>
      <c r="F129" s="127"/>
      <c r="G129" s="127">
        <v>3146176</v>
      </c>
      <c r="H129" s="127"/>
      <c r="I129" s="127">
        <v>93794</v>
      </c>
      <c r="J129" s="127"/>
      <c r="K129" s="127">
        <v>0</v>
      </c>
      <c r="L129" s="127"/>
      <c r="M129" s="127">
        <v>597216</v>
      </c>
      <c r="N129" s="127"/>
      <c r="O129" s="127">
        <v>98946</v>
      </c>
      <c r="P129" s="127"/>
      <c r="Q129" s="127">
        <v>574455</v>
      </c>
      <c r="R129" s="127"/>
      <c r="S129" s="127">
        <v>0</v>
      </c>
      <c r="T129" s="127"/>
      <c r="U129" s="127">
        <v>0</v>
      </c>
      <c r="V129" s="127"/>
      <c r="W129" s="127">
        <v>0</v>
      </c>
      <c r="X129" s="127"/>
      <c r="Y129" s="127">
        <v>0</v>
      </c>
      <c r="AA129" s="127">
        <v>0</v>
      </c>
      <c r="AC129" s="127">
        <f t="shared" si="5"/>
        <v>5498343</v>
      </c>
      <c r="AD129" s="127"/>
      <c r="AE129" s="130">
        <v>0</v>
      </c>
      <c r="AF129" s="130"/>
      <c r="AG129" s="127">
        <v>148762</v>
      </c>
      <c r="AH129" s="127"/>
      <c r="AI129" s="127">
        <v>1697869</v>
      </c>
      <c r="AJ129" s="127"/>
      <c r="AK129" s="127">
        <v>0</v>
      </c>
      <c r="AL129" s="127"/>
      <c r="AM129" s="127">
        <f>+'Gen rev'!U130-'Gen exp'!AC129-AG129+'Gen rev'!W130+AI129+AK129-'Gen Bal'!S130-'Gen exp'!AE129</f>
        <v>0</v>
      </c>
      <c r="AN129" s="121" t="s">
        <v>502</v>
      </c>
    </row>
    <row r="130" spans="1:45" s="49" customFormat="1" ht="12.75" customHeight="1" x14ac:dyDescent="0.2">
      <c r="A130" s="28" t="s">
        <v>152</v>
      </c>
      <c r="C130" s="28" t="s">
        <v>153</v>
      </c>
      <c r="E130" s="45">
        <v>6625657</v>
      </c>
      <c r="F130" s="45"/>
      <c r="G130" s="45">
        <v>7064</v>
      </c>
      <c r="H130" s="45"/>
      <c r="I130" s="45">
        <v>408183</v>
      </c>
      <c r="J130" s="45"/>
      <c r="K130" s="45">
        <v>3445</v>
      </c>
      <c r="L130" s="45"/>
      <c r="M130" s="45">
        <v>0</v>
      </c>
      <c r="N130" s="45"/>
      <c r="O130" s="45">
        <v>283280</v>
      </c>
      <c r="P130" s="45"/>
      <c r="Q130" s="45">
        <v>0</v>
      </c>
      <c r="R130" s="45"/>
      <c r="S130" s="45">
        <v>0</v>
      </c>
      <c r="T130" s="45"/>
      <c r="U130" s="45">
        <v>0</v>
      </c>
      <c r="V130" s="45"/>
      <c r="W130" s="45">
        <v>0</v>
      </c>
      <c r="X130" s="45"/>
      <c r="Y130" s="45">
        <v>0</v>
      </c>
      <c r="Z130" s="44"/>
      <c r="AA130" s="45">
        <v>0</v>
      </c>
      <c r="AB130" s="44"/>
      <c r="AC130" s="45">
        <f t="shared" si="5"/>
        <v>7327629</v>
      </c>
      <c r="AD130" s="45"/>
      <c r="AE130" s="48">
        <v>0</v>
      </c>
      <c r="AF130" s="48"/>
      <c r="AG130" s="45">
        <v>18861</v>
      </c>
      <c r="AH130" s="45"/>
      <c r="AI130" s="45">
        <v>839328</v>
      </c>
      <c r="AJ130" s="45"/>
      <c r="AK130" s="45">
        <v>7184</v>
      </c>
      <c r="AL130" s="45"/>
      <c r="AM130" s="45">
        <f>+'Gen rev'!U131-'Gen exp'!AC130-AG130+'Gen rev'!W131+AI130+AK130-'Gen Bal'!S131-'Gen exp'!AE130</f>
        <v>0</v>
      </c>
      <c r="AN130" s="44"/>
      <c r="AO130" s="44"/>
      <c r="AP130" s="44"/>
      <c r="AQ130" s="44"/>
    </row>
    <row r="131" spans="1:45" s="49" customFormat="1" ht="12.75" customHeight="1" x14ac:dyDescent="0.2">
      <c r="A131" s="28"/>
      <c r="C131" s="28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4"/>
      <c r="AA131" s="45"/>
      <c r="AB131" s="44"/>
      <c r="AC131" s="45"/>
      <c r="AD131" s="45"/>
      <c r="AE131" s="48"/>
      <c r="AF131" s="48"/>
      <c r="AG131" s="48" t="s">
        <v>484</v>
      </c>
      <c r="AH131" s="45"/>
      <c r="AI131" s="45"/>
      <c r="AJ131" s="45"/>
      <c r="AK131" s="45"/>
      <c r="AL131" s="45"/>
      <c r="AM131" s="45"/>
      <c r="AN131" s="44"/>
      <c r="AO131" s="44"/>
      <c r="AP131" s="44"/>
      <c r="AQ131" s="44"/>
    </row>
    <row r="132" spans="1:45" s="46" customFormat="1" ht="12.75" customHeight="1" x14ac:dyDescent="0.2">
      <c r="A132" s="64" t="s">
        <v>154</v>
      </c>
      <c r="C132" s="64" t="s">
        <v>27</v>
      </c>
      <c r="E132" s="94">
        <v>5362055</v>
      </c>
      <c r="F132" s="94"/>
      <c r="G132" s="94">
        <v>6128744</v>
      </c>
      <c r="H132" s="94"/>
      <c r="I132" s="94">
        <v>661393</v>
      </c>
      <c r="J132" s="94"/>
      <c r="K132" s="94">
        <v>96777</v>
      </c>
      <c r="L132" s="94"/>
      <c r="M132" s="94">
        <v>0</v>
      </c>
      <c r="N132" s="94"/>
      <c r="O132" s="94">
        <v>693117</v>
      </c>
      <c r="P132" s="94"/>
      <c r="Q132" s="94">
        <v>359781</v>
      </c>
      <c r="R132" s="94"/>
      <c r="S132" s="94">
        <v>0</v>
      </c>
      <c r="T132" s="94"/>
      <c r="U132" s="94">
        <v>0</v>
      </c>
      <c r="V132" s="94"/>
      <c r="W132" s="94">
        <v>8671</v>
      </c>
      <c r="X132" s="94"/>
      <c r="Y132" s="94">
        <v>890</v>
      </c>
      <c r="AA132" s="94">
        <v>0</v>
      </c>
      <c r="AC132" s="94">
        <f t="shared" si="5"/>
        <v>13311428</v>
      </c>
      <c r="AD132" s="94"/>
      <c r="AE132" s="68">
        <v>0</v>
      </c>
      <c r="AF132" s="68"/>
      <c r="AG132" s="94">
        <v>1392985</v>
      </c>
      <c r="AH132" s="94"/>
      <c r="AI132" s="94">
        <v>-150471</v>
      </c>
      <c r="AJ132" s="94"/>
      <c r="AK132" s="94">
        <v>0</v>
      </c>
      <c r="AL132" s="94"/>
      <c r="AM132" s="94">
        <f>+'Gen rev'!U132-'Gen exp'!AC132-AG132+'Gen rev'!W132+AI132+AK132-'Gen Bal'!S132-'Gen exp'!AE132</f>
        <v>0</v>
      </c>
    </row>
    <row r="133" spans="1:45" s="49" customFormat="1" ht="12.75" customHeight="1" x14ac:dyDescent="0.2">
      <c r="A133" s="28" t="s">
        <v>155</v>
      </c>
      <c r="C133" s="28" t="s">
        <v>40</v>
      </c>
      <c r="E133" s="45">
        <f>3498412+671164</f>
        <v>4169576</v>
      </c>
      <c r="F133" s="45"/>
      <c r="G133" s="45">
        <f>3183902+2118440</f>
        <v>5302342</v>
      </c>
      <c r="H133" s="45"/>
      <c r="I133" s="45">
        <v>0</v>
      </c>
      <c r="J133" s="45"/>
      <c r="K133" s="45">
        <v>368884</v>
      </c>
      <c r="L133" s="45"/>
      <c r="M133" s="45">
        <v>0</v>
      </c>
      <c r="N133" s="45"/>
      <c r="O133" s="45">
        <v>0</v>
      </c>
      <c r="P133" s="45"/>
      <c r="Q133" s="45">
        <v>0</v>
      </c>
      <c r="R133" s="45"/>
      <c r="S133" s="45">
        <v>0</v>
      </c>
      <c r="T133" s="45"/>
      <c r="U133" s="45">
        <v>0</v>
      </c>
      <c r="V133" s="45"/>
      <c r="W133" s="45">
        <v>54000</v>
      </c>
      <c r="X133" s="45"/>
      <c r="Y133" s="45">
        <v>11076</v>
      </c>
      <c r="Z133" s="44"/>
      <c r="AA133" s="45">
        <v>0</v>
      </c>
      <c r="AB133" s="44"/>
      <c r="AC133" s="45">
        <f t="shared" si="5"/>
        <v>9905878</v>
      </c>
      <c r="AD133" s="45"/>
      <c r="AE133" s="48">
        <v>0</v>
      </c>
      <c r="AF133" s="48"/>
      <c r="AG133" s="45">
        <v>147460</v>
      </c>
      <c r="AH133" s="45"/>
      <c r="AI133" s="45">
        <v>2218030</v>
      </c>
      <c r="AJ133" s="45"/>
      <c r="AK133" s="45">
        <v>0</v>
      </c>
      <c r="AL133" s="45"/>
      <c r="AM133" s="45">
        <f>+'Gen rev'!U133-'Gen exp'!AC133-AG133+'Gen rev'!W133+AI133+AK133-'Gen Bal'!S133-'Gen exp'!AE133</f>
        <v>0</v>
      </c>
      <c r="AN133" s="44"/>
      <c r="AO133" s="44"/>
      <c r="AP133" s="44"/>
      <c r="AQ133" s="44"/>
    </row>
    <row r="134" spans="1:45" s="49" customFormat="1" ht="12.75" customHeight="1" x14ac:dyDescent="0.2">
      <c r="A134" s="64" t="s">
        <v>156</v>
      </c>
      <c r="B134" s="46"/>
      <c r="C134" s="64" t="s">
        <v>156</v>
      </c>
      <c r="D134" s="46"/>
      <c r="E134" s="45">
        <f>772543+2774565</f>
        <v>3547108</v>
      </c>
      <c r="F134" s="45"/>
      <c r="G134" s="45">
        <f>6145231+5400261+258206</f>
        <v>11803698</v>
      </c>
      <c r="H134" s="45"/>
      <c r="I134" s="45">
        <v>338202</v>
      </c>
      <c r="J134" s="45"/>
      <c r="K134" s="45">
        <v>488966</v>
      </c>
      <c r="L134" s="45"/>
      <c r="M134" s="45">
        <v>283814</v>
      </c>
      <c r="N134" s="45"/>
      <c r="O134" s="45">
        <v>1003771</v>
      </c>
      <c r="P134" s="45"/>
      <c r="Q134" s="45">
        <v>0</v>
      </c>
      <c r="R134" s="45"/>
      <c r="S134" s="45">
        <v>0</v>
      </c>
      <c r="T134" s="45"/>
      <c r="U134" s="45">
        <v>0</v>
      </c>
      <c r="V134" s="45"/>
      <c r="W134" s="45">
        <v>0</v>
      </c>
      <c r="X134" s="45"/>
      <c r="Y134" s="45">
        <v>0</v>
      </c>
      <c r="Z134" s="44"/>
      <c r="AA134" s="45">
        <v>0</v>
      </c>
      <c r="AB134" s="44"/>
      <c r="AC134" s="45">
        <f t="shared" ref="AC134" si="6">SUM(E134:AA134)</f>
        <v>17465559</v>
      </c>
      <c r="AD134" s="45"/>
      <c r="AE134" s="48">
        <v>0</v>
      </c>
      <c r="AF134" s="48"/>
      <c r="AG134" s="45">
        <v>927897</v>
      </c>
      <c r="AH134" s="45"/>
      <c r="AI134" s="45">
        <v>-825206</v>
      </c>
      <c r="AJ134" s="45"/>
      <c r="AK134" s="45">
        <v>0</v>
      </c>
      <c r="AL134" s="45"/>
      <c r="AM134" s="45">
        <f>+'Gen rev'!U134-'Gen exp'!AC134-AG134+'Gen rev'!W134+AI134+AK134-'Gen Bal'!S134-'Gen exp'!AE134</f>
        <v>0</v>
      </c>
      <c r="AN134" s="45"/>
      <c r="AO134" s="45"/>
      <c r="AP134" s="45"/>
      <c r="AQ134" s="45"/>
      <c r="AR134" s="52"/>
      <c r="AS134" s="50"/>
    </row>
    <row r="135" spans="1:45" s="49" customFormat="1" ht="12.75" customHeight="1" x14ac:dyDescent="0.2">
      <c r="A135" s="28" t="s">
        <v>157</v>
      </c>
      <c r="C135" s="28" t="s">
        <v>33</v>
      </c>
      <c r="E135" s="45">
        <v>719743</v>
      </c>
      <c r="F135" s="45"/>
      <c r="G135" s="45">
        <v>1325592</v>
      </c>
      <c r="H135" s="45"/>
      <c r="I135" s="45">
        <v>0</v>
      </c>
      <c r="J135" s="45"/>
      <c r="K135" s="45">
        <v>19878</v>
      </c>
      <c r="L135" s="45"/>
      <c r="M135" s="45">
        <v>0</v>
      </c>
      <c r="N135" s="45"/>
      <c r="O135" s="45">
        <v>0</v>
      </c>
      <c r="P135" s="45"/>
      <c r="Q135" s="45">
        <v>0</v>
      </c>
      <c r="R135" s="45"/>
      <c r="S135" s="45">
        <v>0</v>
      </c>
      <c r="T135" s="45"/>
      <c r="U135" s="45">
        <v>0</v>
      </c>
      <c r="V135" s="45"/>
      <c r="W135" s="45">
        <v>0</v>
      </c>
      <c r="X135" s="45"/>
      <c r="Y135" s="45">
        <v>0</v>
      </c>
      <c r="Z135" s="44"/>
      <c r="AA135" s="45">
        <v>0</v>
      </c>
      <c r="AB135" s="44"/>
      <c r="AC135" s="45">
        <f t="shared" ref="AC135:AC199" si="7">SUM(E135:AA135)</f>
        <v>2065213</v>
      </c>
      <c r="AD135" s="45"/>
      <c r="AE135" s="48">
        <v>0</v>
      </c>
      <c r="AF135" s="48"/>
      <c r="AG135" s="45">
        <v>134500</v>
      </c>
      <c r="AH135" s="45"/>
      <c r="AI135" s="45">
        <v>390321</v>
      </c>
      <c r="AJ135" s="45"/>
      <c r="AK135" s="45">
        <v>0</v>
      </c>
      <c r="AL135" s="45"/>
      <c r="AM135" s="45">
        <f>+'Gen rev'!U135-'Gen exp'!AC135-AG135+'Gen rev'!W135+AI135+AK135-'Gen Bal'!S135-'Gen exp'!AE135</f>
        <v>0</v>
      </c>
      <c r="AN135" s="44"/>
      <c r="AO135" s="44"/>
      <c r="AP135" s="44"/>
      <c r="AQ135" s="44"/>
    </row>
    <row r="136" spans="1:45" s="49" customFormat="1" ht="12.75" customHeight="1" x14ac:dyDescent="0.2">
      <c r="A136" s="64" t="s">
        <v>158</v>
      </c>
      <c r="B136" s="46"/>
      <c r="C136" s="64" t="s">
        <v>159</v>
      </c>
      <c r="D136" s="46"/>
      <c r="E136" s="45">
        <v>2813280</v>
      </c>
      <c r="F136" s="45"/>
      <c r="G136" s="45">
        <f>3862804+3707693+813884</f>
        <v>8384381</v>
      </c>
      <c r="H136" s="45"/>
      <c r="I136" s="45">
        <v>530127</v>
      </c>
      <c r="J136" s="45"/>
      <c r="K136" s="45">
        <v>344413</v>
      </c>
      <c r="L136" s="45"/>
      <c r="M136" s="45">
        <v>0</v>
      </c>
      <c r="N136" s="45"/>
      <c r="O136" s="45">
        <v>107957</v>
      </c>
      <c r="P136" s="45"/>
      <c r="Q136" s="45">
        <v>0</v>
      </c>
      <c r="R136" s="45"/>
      <c r="S136" s="45">
        <v>0</v>
      </c>
      <c r="T136" s="45"/>
      <c r="U136" s="45">
        <v>0</v>
      </c>
      <c r="V136" s="45"/>
      <c r="W136" s="45">
        <v>0</v>
      </c>
      <c r="X136" s="45"/>
      <c r="Y136" s="45">
        <v>0</v>
      </c>
      <c r="Z136" s="44"/>
      <c r="AA136" s="45">
        <v>0</v>
      </c>
      <c r="AB136" s="44"/>
      <c r="AC136" s="45">
        <f t="shared" si="7"/>
        <v>12180158</v>
      </c>
      <c r="AD136" s="45"/>
      <c r="AE136" s="48">
        <v>0</v>
      </c>
      <c r="AF136" s="48"/>
      <c r="AG136" s="45">
        <v>3224990</v>
      </c>
      <c r="AH136" s="45"/>
      <c r="AI136" s="45">
        <v>6746254</v>
      </c>
      <c r="AJ136" s="45"/>
      <c r="AK136" s="45">
        <v>0</v>
      </c>
      <c r="AL136" s="45"/>
      <c r="AM136" s="45">
        <f>+'Gen rev'!U136-'Gen exp'!AC136-AG136+'Gen rev'!W136+AI136+AK136-'Gen Bal'!S136-'Gen exp'!AE136</f>
        <v>0</v>
      </c>
      <c r="AN136" s="45"/>
      <c r="AO136" s="45"/>
      <c r="AP136" s="45"/>
      <c r="AQ136" s="45"/>
      <c r="AR136" s="52"/>
      <c r="AS136" s="50"/>
    </row>
    <row r="137" spans="1:45" s="46" customFormat="1" ht="12.75" customHeight="1" x14ac:dyDescent="0.2">
      <c r="A137" s="64" t="s">
        <v>160</v>
      </c>
      <c r="C137" s="64" t="s">
        <v>111</v>
      </c>
      <c r="E137" s="45">
        <v>7446590</v>
      </c>
      <c r="F137" s="45"/>
      <c r="G137" s="45">
        <v>6608729</v>
      </c>
      <c r="H137" s="45"/>
      <c r="I137" s="45">
        <v>2080270</v>
      </c>
      <c r="J137" s="45"/>
      <c r="K137" s="45">
        <v>0</v>
      </c>
      <c r="L137" s="45"/>
      <c r="M137" s="45">
        <v>2515864</v>
      </c>
      <c r="N137" s="45"/>
      <c r="O137" s="45">
        <v>1835718</v>
      </c>
      <c r="P137" s="45"/>
      <c r="Q137" s="45">
        <v>295972</v>
      </c>
      <c r="R137" s="45"/>
      <c r="S137" s="45">
        <v>551334</v>
      </c>
      <c r="T137" s="45"/>
      <c r="U137" s="45">
        <v>0</v>
      </c>
      <c r="V137" s="45"/>
      <c r="W137" s="45">
        <v>0</v>
      </c>
      <c r="X137" s="45"/>
      <c r="Y137" s="45">
        <v>120499</v>
      </c>
      <c r="Z137" s="44"/>
      <c r="AA137" s="45">
        <v>0</v>
      </c>
      <c r="AB137" s="44"/>
      <c r="AC137" s="45">
        <f t="shared" si="7"/>
        <v>21454976</v>
      </c>
      <c r="AD137" s="45"/>
      <c r="AE137" s="48">
        <v>0</v>
      </c>
      <c r="AF137" s="48"/>
      <c r="AG137" s="45">
        <v>3247645</v>
      </c>
      <c r="AH137" s="45"/>
      <c r="AI137" s="45">
        <v>21769240</v>
      </c>
      <c r="AJ137" s="45"/>
      <c r="AK137" s="45">
        <v>46686</v>
      </c>
      <c r="AL137" s="45"/>
      <c r="AM137" s="45">
        <f>+'Gen rev'!U137-'Gen exp'!AC137-AG137+'Gen rev'!W137+AI137+AK137-'Gen Bal'!S137-'Gen exp'!AE137</f>
        <v>0</v>
      </c>
      <c r="AN137" s="90"/>
      <c r="AO137" s="90"/>
      <c r="AP137" s="90"/>
      <c r="AQ137" s="90"/>
      <c r="AR137" s="90"/>
      <c r="AS137" s="64"/>
    </row>
    <row r="138" spans="1:45" s="49" customFormat="1" ht="12.75" customHeight="1" x14ac:dyDescent="0.2">
      <c r="A138" s="28" t="s">
        <v>161</v>
      </c>
      <c r="C138" s="28" t="s">
        <v>15</v>
      </c>
      <c r="E138" s="45">
        <v>5869966</v>
      </c>
      <c r="F138" s="45"/>
      <c r="G138" s="45">
        <v>9419684</v>
      </c>
      <c r="H138" s="45"/>
      <c r="I138" s="45">
        <v>12646</v>
      </c>
      <c r="J138" s="45"/>
      <c r="K138" s="45">
        <v>344632</v>
      </c>
      <c r="L138" s="45"/>
      <c r="M138" s="45">
        <v>1738719</v>
      </c>
      <c r="N138" s="45"/>
      <c r="O138" s="45">
        <v>0</v>
      </c>
      <c r="P138" s="45"/>
      <c r="Q138" s="45">
        <v>0</v>
      </c>
      <c r="R138" s="45"/>
      <c r="S138" s="45">
        <v>0</v>
      </c>
      <c r="T138" s="45"/>
      <c r="U138" s="45">
        <v>0</v>
      </c>
      <c r="V138" s="45"/>
      <c r="W138" s="45">
        <v>0</v>
      </c>
      <c r="X138" s="45"/>
      <c r="Y138" s="45">
        <v>0</v>
      </c>
      <c r="Z138" s="44"/>
      <c r="AA138" s="45">
        <v>0</v>
      </c>
      <c r="AB138" s="44"/>
      <c r="AC138" s="45">
        <f t="shared" si="7"/>
        <v>17385647</v>
      </c>
      <c r="AD138" s="45"/>
      <c r="AE138" s="48">
        <v>0</v>
      </c>
      <c r="AF138" s="48"/>
      <c r="AG138" s="45">
        <v>1320862</v>
      </c>
      <c r="AH138" s="45"/>
      <c r="AI138" s="45">
        <v>442799</v>
      </c>
      <c r="AJ138" s="45"/>
      <c r="AK138" s="45">
        <v>0</v>
      </c>
      <c r="AL138" s="45"/>
      <c r="AM138" s="45">
        <f>+'Gen rev'!U138-'Gen exp'!AC138-AG138+'Gen rev'!W138+AI138+AK138-'Gen Bal'!S138-'Gen exp'!AE138</f>
        <v>0</v>
      </c>
      <c r="AN138" s="45"/>
      <c r="AO138" s="45"/>
      <c r="AP138" s="45"/>
      <c r="AQ138" s="45"/>
      <c r="AR138" s="52"/>
      <c r="AS138" s="50"/>
    </row>
    <row r="139" spans="1:45" s="49" customFormat="1" ht="12.75" customHeight="1" x14ac:dyDescent="0.2">
      <c r="A139" s="28" t="s">
        <v>162</v>
      </c>
      <c r="C139" s="28" t="s">
        <v>163</v>
      </c>
      <c r="E139" s="45">
        <v>3666938</v>
      </c>
      <c r="F139" s="45"/>
      <c r="G139" s="45">
        <v>8609916</v>
      </c>
      <c r="H139" s="45"/>
      <c r="I139" s="45">
        <v>489839</v>
      </c>
      <c r="J139" s="45"/>
      <c r="K139" s="45">
        <v>165134</v>
      </c>
      <c r="L139" s="45"/>
      <c r="M139" s="45">
        <v>1132112</v>
      </c>
      <c r="N139" s="45"/>
      <c r="O139" s="45">
        <v>1728961</v>
      </c>
      <c r="P139" s="45"/>
      <c r="Q139" s="45">
        <v>957869</v>
      </c>
      <c r="R139" s="45"/>
      <c r="S139" s="45">
        <v>0</v>
      </c>
      <c r="T139" s="45"/>
      <c r="U139" s="45">
        <v>0</v>
      </c>
      <c r="V139" s="45"/>
      <c r="W139" s="45">
        <v>0</v>
      </c>
      <c r="X139" s="45"/>
      <c r="Y139" s="45">
        <v>0</v>
      </c>
      <c r="Z139" s="44"/>
      <c r="AA139" s="45">
        <v>0</v>
      </c>
      <c r="AB139" s="44"/>
      <c r="AC139" s="45">
        <f t="shared" si="7"/>
        <v>16750769</v>
      </c>
      <c r="AD139" s="45"/>
      <c r="AE139" s="48">
        <v>0</v>
      </c>
      <c r="AF139" s="48"/>
      <c r="AG139" s="45">
        <v>686500</v>
      </c>
      <c r="AH139" s="45"/>
      <c r="AI139" s="45">
        <v>7711550</v>
      </c>
      <c r="AJ139" s="45"/>
      <c r="AK139" s="45">
        <v>-17923</v>
      </c>
      <c r="AL139" s="45"/>
      <c r="AM139" s="45">
        <f>+'Gen rev'!U139-'Gen exp'!AC139-AG139+'Gen rev'!W139+AI139+AK139-'Gen Bal'!S139-'Gen exp'!AE139</f>
        <v>0</v>
      </c>
      <c r="AN139" s="44"/>
      <c r="AO139" s="44"/>
      <c r="AP139" s="44"/>
      <c r="AQ139" s="44"/>
    </row>
    <row r="140" spans="1:45" s="49" customFormat="1" ht="12.75" customHeight="1" x14ac:dyDescent="0.2">
      <c r="A140" s="28" t="s">
        <v>164</v>
      </c>
      <c r="C140" s="28" t="s">
        <v>27</v>
      </c>
      <c r="E140" s="45">
        <v>2309253</v>
      </c>
      <c r="F140" s="45"/>
      <c r="G140" s="45">
        <v>10953806</v>
      </c>
      <c r="H140" s="45"/>
      <c r="I140" s="45">
        <v>881892</v>
      </c>
      <c r="J140" s="45"/>
      <c r="K140" s="45">
        <v>391154</v>
      </c>
      <c r="L140" s="45"/>
      <c r="M140" s="45">
        <v>1222829</v>
      </c>
      <c r="N140" s="45"/>
      <c r="O140" s="45">
        <v>1327573</v>
      </c>
      <c r="P140" s="45"/>
      <c r="Q140" s="45">
        <v>679937</v>
      </c>
      <c r="R140" s="45"/>
      <c r="S140" s="45">
        <v>0</v>
      </c>
      <c r="T140" s="45"/>
      <c r="U140" s="45">
        <v>0</v>
      </c>
      <c r="V140" s="45"/>
      <c r="W140" s="45">
        <v>0</v>
      </c>
      <c r="X140" s="45"/>
      <c r="Y140" s="45">
        <v>0</v>
      </c>
      <c r="Z140" s="44"/>
      <c r="AA140" s="45">
        <v>0</v>
      </c>
      <c r="AB140" s="44"/>
      <c r="AC140" s="45">
        <f t="shared" si="7"/>
        <v>17766444</v>
      </c>
      <c r="AD140" s="45"/>
      <c r="AE140" s="48">
        <v>0</v>
      </c>
      <c r="AF140" s="48"/>
      <c r="AG140" s="45">
        <v>1135138</v>
      </c>
      <c r="AH140" s="45"/>
      <c r="AI140" s="45">
        <v>9091204</v>
      </c>
      <c r="AJ140" s="45"/>
      <c r="AK140" s="45">
        <v>27663</v>
      </c>
      <c r="AL140" s="45"/>
      <c r="AM140" s="45">
        <f>+'Gen rev'!U140-'Gen exp'!AC140-AG140+'Gen rev'!W140+AI140+AK140-'Gen Bal'!S140-'Gen exp'!AE140</f>
        <v>0</v>
      </c>
      <c r="AN140" s="44"/>
      <c r="AO140" s="44"/>
      <c r="AP140" s="44"/>
      <c r="AQ140" s="44"/>
    </row>
    <row r="141" spans="1:45" s="49" customFormat="1" ht="12.75" customHeight="1" x14ac:dyDescent="0.2">
      <c r="A141" s="28" t="s">
        <v>53</v>
      </c>
      <c r="C141" s="28" t="s">
        <v>53</v>
      </c>
      <c r="E141" s="45">
        <v>6185201</v>
      </c>
      <c r="F141" s="45"/>
      <c r="G141" s="45">
        <v>187269</v>
      </c>
      <c r="H141" s="45"/>
      <c r="I141" s="45">
        <v>674263</v>
      </c>
      <c r="J141" s="45"/>
      <c r="K141" s="45">
        <v>212404</v>
      </c>
      <c r="L141" s="45"/>
      <c r="M141" s="45">
        <v>60327</v>
      </c>
      <c r="N141" s="45"/>
      <c r="O141" s="45">
        <v>0</v>
      </c>
      <c r="P141" s="45"/>
      <c r="Q141" s="45">
        <v>0</v>
      </c>
      <c r="R141" s="45"/>
      <c r="S141" s="45">
        <v>0</v>
      </c>
      <c r="T141" s="45"/>
      <c r="U141" s="45">
        <v>0</v>
      </c>
      <c r="V141" s="45"/>
      <c r="W141" s="45">
        <v>0</v>
      </c>
      <c r="X141" s="45"/>
      <c r="Y141" s="45">
        <v>0</v>
      </c>
      <c r="Z141" s="44"/>
      <c r="AA141" s="45">
        <v>0</v>
      </c>
      <c r="AB141" s="44"/>
      <c r="AC141" s="45">
        <f t="shared" si="7"/>
        <v>7319464</v>
      </c>
      <c r="AD141" s="45"/>
      <c r="AE141" s="48">
        <v>0</v>
      </c>
      <c r="AF141" s="48"/>
      <c r="AG141" s="45">
        <v>113517</v>
      </c>
      <c r="AH141" s="45"/>
      <c r="AI141" s="45">
        <v>11418247</v>
      </c>
      <c r="AJ141" s="45"/>
      <c r="AK141" s="45">
        <v>0</v>
      </c>
      <c r="AL141" s="45"/>
      <c r="AM141" s="45">
        <f>+'Gen rev'!U141-'Gen exp'!AC141-AG141+'Gen rev'!W141+AI141+AK141-'Gen Bal'!S141-'Gen exp'!AE141</f>
        <v>0</v>
      </c>
      <c r="AN141" s="45"/>
      <c r="AO141" s="45"/>
      <c r="AP141" s="45"/>
      <c r="AQ141" s="45"/>
      <c r="AR141" s="52"/>
      <c r="AS141" s="50"/>
    </row>
    <row r="142" spans="1:45" s="49" customFormat="1" ht="12.75" customHeight="1" x14ac:dyDescent="0.2">
      <c r="A142" s="28" t="s">
        <v>165</v>
      </c>
      <c r="C142" s="28" t="s">
        <v>92</v>
      </c>
      <c r="E142" s="45">
        <v>6478191</v>
      </c>
      <c r="F142" s="45"/>
      <c r="G142" s="45">
        <f>11072306+9168764</f>
        <v>20241070</v>
      </c>
      <c r="H142" s="45"/>
      <c r="I142" s="45">
        <v>1650364</v>
      </c>
      <c r="J142" s="45"/>
      <c r="K142" s="45">
        <v>0</v>
      </c>
      <c r="L142" s="45"/>
      <c r="M142" s="45">
        <v>7963904</v>
      </c>
      <c r="N142" s="45"/>
      <c r="O142" s="45">
        <v>6231148</v>
      </c>
      <c r="P142" s="45"/>
      <c r="Q142" s="45">
        <v>1851076</v>
      </c>
      <c r="R142" s="45"/>
      <c r="S142" s="45">
        <v>245104</v>
      </c>
      <c r="T142" s="45"/>
      <c r="U142" s="45">
        <v>0</v>
      </c>
      <c r="V142" s="45"/>
      <c r="W142" s="45">
        <v>22927</v>
      </c>
      <c r="X142" s="45"/>
      <c r="Y142" s="45">
        <v>0</v>
      </c>
      <c r="Z142" s="44"/>
      <c r="AA142" s="45">
        <v>0</v>
      </c>
      <c r="AB142" s="44"/>
      <c r="AC142" s="45">
        <f t="shared" si="7"/>
        <v>44683784</v>
      </c>
      <c r="AD142" s="45"/>
      <c r="AE142" s="48">
        <v>0</v>
      </c>
      <c r="AF142" s="48"/>
      <c r="AG142" s="45">
        <v>2775412</v>
      </c>
      <c r="AH142" s="45"/>
      <c r="AI142" s="45">
        <v>21633928</v>
      </c>
      <c r="AJ142" s="45"/>
      <c r="AK142" s="45">
        <v>-70738</v>
      </c>
      <c r="AL142" s="45"/>
      <c r="AM142" s="45">
        <f>+'Gen rev'!U142-'Gen exp'!AC142-AG142+'Gen rev'!W142+AI142+AK142-'Gen Bal'!S142-'Gen exp'!AE142</f>
        <v>0</v>
      </c>
      <c r="AN142" s="44"/>
      <c r="AO142" s="44"/>
      <c r="AP142" s="44"/>
      <c r="AQ142" s="44"/>
    </row>
    <row r="143" spans="1:45" s="49" customFormat="1" ht="12.75" customHeight="1" x14ac:dyDescent="0.2">
      <c r="A143" s="28" t="s">
        <v>166</v>
      </c>
      <c r="C143" s="28" t="s">
        <v>92</v>
      </c>
      <c r="E143" s="45">
        <v>681645</v>
      </c>
      <c r="F143" s="45"/>
      <c r="G143" s="45">
        <v>936593</v>
      </c>
      <c r="H143" s="45"/>
      <c r="I143" s="45">
        <v>0</v>
      </c>
      <c r="J143" s="45"/>
      <c r="K143" s="45">
        <v>59725</v>
      </c>
      <c r="L143" s="45"/>
      <c r="M143" s="45">
        <v>162241</v>
      </c>
      <c r="N143" s="45"/>
      <c r="O143" s="45">
        <v>39057</v>
      </c>
      <c r="P143" s="45"/>
      <c r="Q143" s="45">
        <v>436098</v>
      </c>
      <c r="R143" s="45"/>
      <c r="S143" s="45">
        <v>38223</v>
      </c>
      <c r="T143" s="45"/>
      <c r="U143" s="45">
        <v>0</v>
      </c>
      <c r="V143" s="45"/>
      <c r="W143" s="45">
        <v>0</v>
      </c>
      <c r="X143" s="45"/>
      <c r="Y143" s="45">
        <v>2454</v>
      </c>
      <c r="Z143" s="44"/>
      <c r="AA143" s="45">
        <v>0</v>
      </c>
      <c r="AB143" s="44"/>
      <c r="AC143" s="45">
        <f t="shared" si="7"/>
        <v>2356036</v>
      </c>
      <c r="AD143" s="45"/>
      <c r="AE143" s="48">
        <v>0</v>
      </c>
      <c r="AF143" s="48"/>
      <c r="AG143" s="45">
        <v>114400</v>
      </c>
      <c r="AH143" s="45"/>
      <c r="AI143" s="45">
        <v>153419</v>
      </c>
      <c r="AJ143" s="45"/>
      <c r="AK143" s="45">
        <v>0</v>
      </c>
      <c r="AL143" s="45"/>
      <c r="AM143" s="45">
        <f>+'Gen rev'!U143-'Gen exp'!AC143-AG143+'Gen rev'!W143+AI143+AK143-'Gen Bal'!S143-'Gen exp'!AE143</f>
        <v>0</v>
      </c>
      <c r="AN143" s="44"/>
      <c r="AO143" s="44"/>
      <c r="AP143" s="44"/>
      <c r="AQ143" s="44"/>
    </row>
    <row r="144" spans="1:45" s="49" customFormat="1" ht="12.75" customHeight="1" x14ac:dyDescent="0.2">
      <c r="A144" s="28" t="s">
        <v>167</v>
      </c>
      <c r="C144" s="28" t="s">
        <v>66</v>
      </c>
      <c r="E144" s="45">
        <v>4638566</v>
      </c>
      <c r="F144" s="45"/>
      <c r="G144" s="45">
        <v>6778341</v>
      </c>
      <c r="H144" s="45"/>
      <c r="I144" s="45">
        <v>966244</v>
      </c>
      <c r="J144" s="45"/>
      <c r="K144" s="45">
        <v>8349</v>
      </c>
      <c r="L144" s="45"/>
      <c r="M144" s="45">
        <v>140800</v>
      </c>
      <c r="N144" s="45"/>
      <c r="O144" s="45">
        <v>2274424</v>
      </c>
      <c r="P144" s="45"/>
      <c r="Q144" s="45">
        <v>1223404</v>
      </c>
      <c r="R144" s="45"/>
      <c r="S144" s="45">
        <v>0</v>
      </c>
      <c r="T144" s="45"/>
      <c r="U144" s="45">
        <v>0</v>
      </c>
      <c r="V144" s="45"/>
      <c r="W144" s="45">
        <v>0</v>
      </c>
      <c r="X144" s="45"/>
      <c r="Y144" s="45">
        <v>109155</v>
      </c>
      <c r="Z144" s="44"/>
      <c r="AA144" s="45">
        <v>0</v>
      </c>
      <c r="AB144" s="44"/>
      <c r="AC144" s="45">
        <f t="shared" si="7"/>
        <v>16139283</v>
      </c>
      <c r="AD144" s="45"/>
      <c r="AE144" s="48">
        <v>0</v>
      </c>
      <c r="AF144" s="48"/>
      <c r="AG144" s="45">
        <v>227355</v>
      </c>
      <c r="AH144" s="45"/>
      <c r="AI144" s="45">
        <v>4423271</v>
      </c>
      <c r="AJ144" s="45"/>
      <c r="AK144" s="45">
        <v>0</v>
      </c>
      <c r="AL144" s="45"/>
      <c r="AM144" s="45">
        <f>+'Gen rev'!U144-'Gen exp'!AC144-AG144+'Gen rev'!W144+AI144+AK144-'Gen Bal'!S144-'Gen exp'!AE144</f>
        <v>0</v>
      </c>
      <c r="AN144" s="44"/>
      <c r="AO144" s="44"/>
      <c r="AP144" s="44"/>
      <c r="AQ144" s="44"/>
    </row>
    <row r="145" spans="1:45" s="49" customFormat="1" ht="12.75" customHeight="1" x14ac:dyDescent="0.2">
      <c r="A145" s="44" t="s">
        <v>168</v>
      </c>
      <c r="C145" s="44" t="s">
        <v>27</v>
      </c>
      <c r="E145" s="45">
        <v>6611410</v>
      </c>
      <c r="F145" s="45"/>
      <c r="G145" s="45">
        <f>4641735+3261565+59032</f>
        <v>7962332</v>
      </c>
      <c r="H145" s="45"/>
      <c r="I145" s="45">
        <f>532084+304620</f>
        <v>836704</v>
      </c>
      <c r="J145" s="45"/>
      <c r="K145" s="45">
        <v>149452</v>
      </c>
      <c r="L145" s="45"/>
      <c r="M145" s="45">
        <v>0</v>
      </c>
      <c r="N145" s="45"/>
      <c r="O145" s="45">
        <v>0</v>
      </c>
      <c r="P145" s="45"/>
      <c r="Q145" s="45">
        <v>1091845</v>
      </c>
      <c r="R145" s="45"/>
      <c r="S145" s="45">
        <v>0</v>
      </c>
      <c r="T145" s="45"/>
      <c r="U145" s="45">
        <v>0</v>
      </c>
      <c r="V145" s="45"/>
      <c r="W145" s="45">
        <v>0</v>
      </c>
      <c r="X145" s="45"/>
      <c r="Y145" s="45">
        <v>0</v>
      </c>
      <c r="Z145" s="44"/>
      <c r="AA145" s="45">
        <v>0</v>
      </c>
      <c r="AB145" s="44"/>
      <c r="AC145" s="45">
        <f t="shared" si="7"/>
        <v>16651743</v>
      </c>
      <c r="AD145" s="45"/>
      <c r="AE145" s="48">
        <v>0</v>
      </c>
      <c r="AF145" s="48"/>
      <c r="AG145" s="45">
        <v>850000</v>
      </c>
      <c r="AH145" s="45"/>
      <c r="AI145" s="45">
        <v>3793814</v>
      </c>
      <c r="AJ145" s="45"/>
      <c r="AK145" s="45">
        <v>0</v>
      </c>
      <c r="AL145" s="45"/>
      <c r="AM145" s="45">
        <f>+'Gen rev'!U145-'Gen exp'!AC145-AG145+'Gen rev'!W145+AI145+AK145-'Gen Bal'!S145-'Gen exp'!AE145</f>
        <v>0</v>
      </c>
      <c r="AN145" s="45"/>
      <c r="AO145" s="45"/>
      <c r="AP145" s="45"/>
      <c r="AQ145" s="45"/>
      <c r="AR145" s="52"/>
      <c r="AS145" s="50"/>
    </row>
    <row r="146" spans="1:45" s="49" customFormat="1" ht="12.75" customHeight="1" x14ac:dyDescent="0.2">
      <c r="A146" s="28" t="s">
        <v>169</v>
      </c>
      <c r="C146" s="28" t="s">
        <v>103</v>
      </c>
      <c r="E146" s="45">
        <v>3684889</v>
      </c>
      <c r="F146" s="45"/>
      <c r="G146" s="45">
        <v>19684149</v>
      </c>
      <c r="H146" s="45"/>
      <c r="I146" s="45">
        <v>1884537</v>
      </c>
      <c r="J146" s="45"/>
      <c r="K146" s="45">
        <v>0</v>
      </c>
      <c r="L146" s="45"/>
      <c r="M146" s="45">
        <v>0</v>
      </c>
      <c r="N146" s="45"/>
      <c r="O146" s="45">
        <v>903639</v>
      </c>
      <c r="P146" s="45"/>
      <c r="Q146" s="45">
        <v>1270930</v>
      </c>
      <c r="R146" s="45"/>
      <c r="S146" s="45">
        <v>0</v>
      </c>
      <c r="T146" s="45"/>
      <c r="U146" s="45">
        <v>0</v>
      </c>
      <c r="V146" s="45"/>
      <c r="W146" s="45">
        <v>0</v>
      </c>
      <c r="X146" s="45"/>
      <c r="Y146" s="45">
        <v>0</v>
      </c>
      <c r="Z146" s="44"/>
      <c r="AA146" s="45">
        <v>0</v>
      </c>
      <c r="AB146" s="44"/>
      <c r="AC146" s="45">
        <f t="shared" si="7"/>
        <v>27428144</v>
      </c>
      <c r="AD146" s="45"/>
      <c r="AE146" s="48">
        <v>0</v>
      </c>
      <c r="AF146" s="48"/>
      <c r="AG146" s="45">
        <v>99000</v>
      </c>
      <c r="AH146" s="45"/>
      <c r="AI146" s="45">
        <v>12579773</v>
      </c>
      <c r="AJ146" s="45"/>
      <c r="AK146" s="45">
        <v>0</v>
      </c>
      <c r="AL146" s="45"/>
      <c r="AM146" s="45">
        <f>+'Gen rev'!U146-'Gen exp'!AC146-AG146+'Gen rev'!W146+AI146+AK146-'Gen Bal'!S146-'Gen exp'!AE146</f>
        <v>0</v>
      </c>
      <c r="AN146" s="44"/>
      <c r="AO146" s="44"/>
      <c r="AP146" s="44"/>
      <c r="AQ146" s="44"/>
    </row>
    <row r="147" spans="1:45" s="49" customFormat="1" ht="12.75" customHeight="1" x14ac:dyDescent="0.2">
      <c r="A147" s="28" t="s">
        <v>170</v>
      </c>
      <c r="C147" s="28" t="s">
        <v>171</v>
      </c>
      <c r="E147" s="45">
        <v>1093540</v>
      </c>
      <c r="F147" s="45"/>
      <c r="G147" s="45">
        <v>1941703</v>
      </c>
      <c r="H147" s="45"/>
      <c r="I147" s="45">
        <v>0</v>
      </c>
      <c r="J147" s="45"/>
      <c r="K147" s="45">
        <v>236587</v>
      </c>
      <c r="L147" s="45"/>
      <c r="M147" s="45">
        <v>342525</v>
      </c>
      <c r="N147" s="45"/>
      <c r="O147" s="45">
        <v>164928</v>
      </c>
      <c r="P147" s="45"/>
      <c r="Q147" s="45">
        <v>0</v>
      </c>
      <c r="R147" s="45"/>
      <c r="S147" s="45">
        <v>0</v>
      </c>
      <c r="T147" s="45"/>
      <c r="U147" s="45">
        <v>146629</v>
      </c>
      <c r="V147" s="45"/>
      <c r="W147" s="45">
        <v>0</v>
      </c>
      <c r="X147" s="45"/>
      <c r="Y147" s="45">
        <v>0</v>
      </c>
      <c r="Z147" s="44"/>
      <c r="AA147" s="45">
        <v>0</v>
      </c>
      <c r="AB147" s="44"/>
      <c r="AC147" s="45">
        <f t="shared" si="7"/>
        <v>3925912</v>
      </c>
      <c r="AD147" s="45"/>
      <c r="AE147" s="48">
        <v>0</v>
      </c>
      <c r="AF147" s="48"/>
      <c r="AG147" s="45">
        <v>100000</v>
      </c>
      <c r="AH147" s="45"/>
      <c r="AI147" s="45">
        <v>3444816</v>
      </c>
      <c r="AJ147" s="45"/>
      <c r="AK147" s="45">
        <v>0</v>
      </c>
      <c r="AL147" s="45"/>
      <c r="AM147" s="45">
        <f>+'Gen rev'!U147-'Gen exp'!AC147-AG147+'Gen rev'!W147+AI147+AK147-'Gen Bal'!S147-'Gen exp'!AE147</f>
        <v>0</v>
      </c>
      <c r="AN147" s="44"/>
      <c r="AO147" s="44"/>
      <c r="AP147" s="44"/>
      <c r="AQ147" s="44"/>
    </row>
    <row r="148" spans="1:45" s="49" customFormat="1" ht="12.75" customHeight="1" x14ac:dyDescent="0.2">
      <c r="A148" s="28" t="s">
        <v>172</v>
      </c>
      <c r="C148" s="28" t="s">
        <v>103</v>
      </c>
      <c r="E148" s="45">
        <v>2245191</v>
      </c>
      <c r="F148" s="45"/>
      <c r="G148" s="45">
        <v>413790</v>
      </c>
      <c r="H148" s="45"/>
      <c r="I148" s="45">
        <v>0</v>
      </c>
      <c r="J148" s="45"/>
      <c r="K148" s="45">
        <v>0</v>
      </c>
      <c r="L148" s="45"/>
      <c r="M148" s="45">
        <v>213922</v>
      </c>
      <c r="N148" s="45"/>
      <c r="O148" s="45">
        <v>224446</v>
      </c>
      <c r="P148" s="45"/>
      <c r="Q148" s="45">
        <v>0</v>
      </c>
      <c r="R148" s="45"/>
      <c r="S148" s="45">
        <v>0</v>
      </c>
      <c r="T148" s="45"/>
      <c r="U148" s="45">
        <v>0</v>
      </c>
      <c r="V148" s="45"/>
      <c r="W148" s="45">
        <v>1876</v>
      </c>
      <c r="X148" s="45"/>
      <c r="Y148" s="45">
        <v>2671</v>
      </c>
      <c r="Z148" s="44"/>
      <c r="AA148" s="45">
        <v>0</v>
      </c>
      <c r="AB148" s="44"/>
      <c r="AC148" s="45">
        <f t="shared" si="7"/>
        <v>3101896</v>
      </c>
      <c r="AD148" s="45"/>
      <c r="AE148" s="48">
        <v>0</v>
      </c>
      <c r="AF148" s="48"/>
      <c r="AG148" s="45">
        <v>5083852</v>
      </c>
      <c r="AH148" s="45"/>
      <c r="AI148" s="45">
        <v>6082955</v>
      </c>
      <c r="AJ148" s="45"/>
      <c r="AK148" s="45">
        <v>0</v>
      </c>
      <c r="AL148" s="45"/>
      <c r="AM148" s="45">
        <f>+'Gen rev'!U148-'Gen exp'!AC148-AG148+'Gen rev'!W148+AI148+AK148-'Gen Bal'!S148-'Gen exp'!AE148</f>
        <v>0</v>
      </c>
      <c r="AN148" s="44"/>
      <c r="AO148" s="44"/>
      <c r="AP148" s="44"/>
      <c r="AQ148" s="44"/>
    </row>
    <row r="149" spans="1:45" s="49" customFormat="1" ht="12.75" customHeight="1" x14ac:dyDescent="0.2">
      <c r="A149" s="28" t="s">
        <v>66</v>
      </c>
      <c r="C149" s="28" t="s">
        <v>45</v>
      </c>
      <c r="E149" s="45">
        <v>3451238</v>
      </c>
      <c r="F149" s="45"/>
      <c r="G149" s="45">
        <v>3024984</v>
      </c>
      <c r="H149" s="45"/>
      <c r="I149" s="45">
        <v>407163</v>
      </c>
      <c r="J149" s="45"/>
      <c r="K149" s="45">
        <v>0</v>
      </c>
      <c r="L149" s="45"/>
      <c r="M149" s="45">
        <v>609135</v>
      </c>
      <c r="N149" s="45"/>
      <c r="O149" s="45">
        <v>963794</v>
      </c>
      <c r="P149" s="45"/>
      <c r="Q149" s="45">
        <v>0</v>
      </c>
      <c r="R149" s="45"/>
      <c r="S149" s="45">
        <v>0</v>
      </c>
      <c r="T149" s="45"/>
      <c r="U149" s="45">
        <v>0</v>
      </c>
      <c r="V149" s="45"/>
      <c r="W149" s="45">
        <v>0</v>
      </c>
      <c r="X149" s="45"/>
      <c r="Y149" s="45">
        <v>0</v>
      </c>
      <c r="Z149" s="44"/>
      <c r="AA149" s="45">
        <v>0</v>
      </c>
      <c r="AB149" s="44"/>
      <c r="AC149" s="45">
        <f t="shared" si="7"/>
        <v>8456314</v>
      </c>
      <c r="AD149" s="45"/>
      <c r="AE149" s="48">
        <v>0</v>
      </c>
      <c r="AF149" s="48"/>
      <c r="AG149" s="45">
        <v>422981</v>
      </c>
      <c r="AH149" s="45"/>
      <c r="AI149" s="45">
        <v>14678571</v>
      </c>
      <c r="AJ149" s="45"/>
      <c r="AK149" s="45">
        <v>0</v>
      </c>
      <c r="AL149" s="45"/>
      <c r="AM149" s="45">
        <f>+'Gen rev'!U149-'Gen exp'!AC149-AG149+'Gen rev'!W149+AI149+AK149-'Gen Bal'!S149-'Gen exp'!AE149</f>
        <v>0</v>
      </c>
      <c r="AN149" s="44"/>
      <c r="AO149" s="44"/>
      <c r="AP149" s="44"/>
      <c r="AQ149" s="44"/>
    </row>
    <row r="150" spans="1:45" s="49" customFormat="1" ht="12.75" customHeight="1" x14ac:dyDescent="0.2">
      <c r="A150" s="28" t="s">
        <v>173</v>
      </c>
      <c r="C150" s="28" t="s">
        <v>66</v>
      </c>
      <c r="E150" s="45">
        <v>3087993</v>
      </c>
      <c r="F150" s="45"/>
      <c r="G150" s="45">
        <v>7435935</v>
      </c>
      <c r="H150" s="45"/>
      <c r="I150" s="45">
        <v>179449</v>
      </c>
      <c r="J150" s="45"/>
      <c r="K150" s="45">
        <v>78621</v>
      </c>
      <c r="L150" s="45"/>
      <c r="M150" s="45">
        <v>420371</v>
      </c>
      <c r="N150" s="45"/>
      <c r="O150" s="45">
        <v>886368</v>
      </c>
      <c r="P150" s="45"/>
      <c r="Q150" s="45">
        <v>284131</v>
      </c>
      <c r="R150" s="45"/>
      <c r="S150" s="45">
        <v>0</v>
      </c>
      <c r="T150" s="45"/>
      <c r="U150" s="45">
        <v>0</v>
      </c>
      <c r="V150" s="45"/>
      <c r="W150" s="45">
        <v>0</v>
      </c>
      <c r="X150" s="45"/>
      <c r="Y150" s="45">
        <v>0</v>
      </c>
      <c r="Z150" s="44"/>
      <c r="AA150" s="45">
        <v>0</v>
      </c>
      <c r="AB150" s="44"/>
      <c r="AC150" s="45">
        <f t="shared" si="7"/>
        <v>12372868</v>
      </c>
      <c r="AD150" s="45"/>
      <c r="AE150" s="48">
        <v>0</v>
      </c>
      <c r="AF150" s="48"/>
      <c r="AG150" s="45">
        <v>2200000</v>
      </c>
      <c r="AH150" s="45"/>
      <c r="AI150" s="45">
        <v>9157172</v>
      </c>
      <c r="AJ150" s="45"/>
      <c r="AK150" s="45">
        <v>0</v>
      </c>
      <c r="AL150" s="45"/>
      <c r="AM150" s="45">
        <f>+'Gen rev'!U150-'Gen exp'!AC150-AG150+'Gen rev'!W150+AI150+AK150-'Gen Bal'!S150-'Gen exp'!AE150</f>
        <v>0</v>
      </c>
      <c r="AN150" s="44"/>
      <c r="AO150" s="44"/>
      <c r="AP150" s="44"/>
      <c r="AQ150" s="44"/>
    </row>
    <row r="151" spans="1:45" s="49" customFormat="1" ht="12.75" customHeight="1" x14ac:dyDescent="0.2">
      <c r="A151" s="28" t="s">
        <v>174</v>
      </c>
      <c r="C151" s="28" t="s">
        <v>45</v>
      </c>
      <c r="E151" s="45">
        <v>594906</v>
      </c>
      <c r="F151" s="45"/>
      <c r="G151" s="45">
        <v>1257495</v>
      </c>
      <c r="H151" s="45"/>
      <c r="I151" s="45">
        <v>74735</v>
      </c>
      <c r="J151" s="45"/>
      <c r="K151" s="45">
        <v>0</v>
      </c>
      <c r="L151" s="45"/>
      <c r="M151" s="45">
        <v>472406</v>
      </c>
      <c r="N151" s="45"/>
      <c r="O151" s="45">
        <v>158388</v>
      </c>
      <c r="P151" s="45"/>
      <c r="Q151" s="45">
        <v>0</v>
      </c>
      <c r="R151" s="45"/>
      <c r="S151" s="45">
        <v>90674</v>
      </c>
      <c r="T151" s="45"/>
      <c r="U151" s="45">
        <v>0</v>
      </c>
      <c r="V151" s="45"/>
      <c r="W151" s="45">
        <v>7721</v>
      </c>
      <c r="X151" s="45"/>
      <c r="Y151" s="45">
        <v>2244</v>
      </c>
      <c r="Z151" s="44"/>
      <c r="AA151" s="45">
        <v>0</v>
      </c>
      <c r="AB151" s="44"/>
      <c r="AC151" s="45">
        <f t="shared" si="7"/>
        <v>2658569</v>
      </c>
      <c r="AD151" s="45"/>
      <c r="AE151" s="48">
        <v>0</v>
      </c>
      <c r="AF151" s="48"/>
      <c r="AG151" s="45">
        <v>253379</v>
      </c>
      <c r="AH151" s="45"/>
      <c r="AI151" s="45">
        <v>110760</v>
      </c>
      <c r="AJ151" s="45"/>
      <c r="AK151" s="45">
        <v>0</v>
      </c>
      <c r="AL151" s="45"/>
      <c r="AM151" s="45">
        <f>+'Gen rev'!U151-'Gen exp'!AC151-AG151+'Gen rev'!W151+AI151+AK151-'Gen Bal'!S151-'Gen exp'!AE151</f>
        <v>0</v>
      </c>
      <c r="AN151" s="44"/>
      <c r="AO151" s="44"/>
      <c r="AP151" s="44"/>
      <c r="AQ151" s="44"/>
    </row>
    <row r="152" spans="1:45" s="49" customFormat="1" ht="12.75" customHeight="1" x14ac:dyDescent="0.2">
      <c r="A152" s="28" t="s">
        <v>175</v>
      </c>
      <c r="C152" s="28" t="s">
        <v>176</v>
      </c>
      <c r="E152" s="45">
        <v>5201031</v>
      </c>
      <c r="F152" s="45"/>
      <c r="G152" s="45">
        <v>5360240</v>
      </c>
      <c r="H152" s="45"/>
      <c r="I152" s="45">
        <v>26219</v>
      </c>
      <c r="J152" s="45"/>
      <c r="K152" s="45">
        <v>348310</v>
      </c>
      <c r="L152" s="45"/>
      <c r="M152" s="45">
        <v>50650</v>
      </c>
      <c r="N152" s="45"/>
      <c r="O152" s="45">
        <v>717676</v>
      </c>
      <c r="P152" s="45"/>
      <c r="Q152" s="45">
        <v>0</v>
      </c>
      <c r="R152" s="45"/>
      <c r="S152" s="45">
        <v>0</v>
      </c>
      <c r="T152" s="45"/>
      <c r="U152" s="45">
        <v>0</v>
      </c>
      <c r="V152" s="45"/>
      <c r="W152" s="45">
        <v>10073</v>
      </c>
      <c r="X152" s="45"/>
      <c r="Y152" s="45">
        <v>17802</v>
      </c>
      <c r="Z152" s="44"/>
      <c r="AA152" s="45">
        <v>0</v>
      </c>
      <c r="AB152" s="44"/>
      <c r="AC152" s="45">
        <f t="shared" si="7"/>
        <v>11732001</v>
      </c>
      <c r="AD152" s="45"/>
      <c r="AE152" s="48">
        <v>0</v>
      </c>
      <c r="AF152" s="48"/>
      <c r="AG152" s="45">
        <v>701036</v>
      </c>
      <c r="AH152" s="45"/>
      <c r="AI152" s="45">
        <v>5009465</v>
      </c>
      <c r="AJ152" s="45"/>
      <c r="AK152" s="45">
        <v>113</v>
      </c>
      <c r="AL152" s="45"/>
      <c r="AM152" s="45">
        <f>+'Gen rev'!U152-'Gen exp'!AC152-AG152+'Gen rev'!W152+AI152+AK152-'Gen Bal'!S152-'Gen exp'!AE152</f>
        <v>0</v>
      </c>
      <c r="AN152" s="44"/>
      <c r="AO152" s="44"/>
      <c r="AP152" s="44"/>
      <c r="AQ152" s="44"/>
    </row>
    <row r="153" spans="1:45" s="49" customFormat="1" ht="12.75" customHeight="1" x14ac:dyDescent="0.2">
      <c r="A153" s="28" t="s">
        <v>177</v>
      </c>
      <c r="C153" s="28" t="s">
        <v>13</v>
      </c>
      <c r="E153" s="45">
        <v>630548</v>
      </c>
      <c r="F153" s="45"/>
      <c r="G153" s="45">
        <v>990233</v>
      </c>
      <c r="H153" s="45"/>
      <c r="I153" s="45">
        <v>0</v>
      </c>
      <c r="J153" s="45"/>
      <c r="K153" s="45">
        <v>39735</v>
      </c>
      <c r="L153" s="45"/>
      <c r="M153" s="45">
        <v>87714</v>
      </c>
      <c r="N153" s="45"/>
      <c r="O153" s="45">
        <v>39904</v>
      </c>
      <c r="P153" s="45"/>
      <c r="Q153" s="45">
        <v>0</v>
      </c>
      <c r="R153" s="45"/>
      <c r="S153" s="45">
        <v>0</v>
      </c>
      <c r="T153" s="45"/>
      <c r="U153" s="45">
        <v>0</v>
      </c>
      <c r="V153" s="45"/>
      <c r="W153" s="45">
        <v>0</v>
      </c>
      <c r="X153" s="45"/>
      <c r="Y153" s="45">
        <v>0</v>
      </c>
      <c r="Z153" s="44"/>
      <c r="AA153" s="45">
        <v>0</v>
      </c>
      <c r="AB153" s="44"/>
      <c r="AC153" s="45">
        <f t="shared" si="7"/>
        <v>1788134</v>
      </c>
      <c r="AD153" s="45"/>
      <c r="AE153" s="48">
        <v>0</v>
      </c>
      <c r="AF153" s="48"/>
      <c r="AG153" s="45">
        <v>0</v>
      </c>
      <c r="AH153" s="45"/>
      <c r="AI153" s="45">
        <v>1840429</v>
      </c>
      <c r="AJ153" s="45"/>
      <c r="AK153" s="45">
        <v>0</v>
      </c>
      <c r="AL153" s="45"/>
      <c r="AM153" s="45">
        <f>+'Gen rev'!U153-'Gen exp'!AC153-AG153+'Gen rev'!W153+AI153+AK153-'Gen Bal'!S153-'Gen exp'!AE153</f>
        <v>0</v>
      </c>
      <c r="AN153" s="44"/>
      <c r="AO153" s="44"/>
      <c r="AP153" s="44"/>
      <c r="AQ153" s="44"/>
      <c r="AR153" s="52"/>
      <c r="AS153" s="50"/>
    </row>
    <row r="154" spans="1:45" s="49" customFormat="1" ht="12.75" customHeight="1" x14ac:dyDescent="0.2">
      <c r="A154" s="28" t="s">
        <v>178</v>
      </c>
      <c r="C154" s="28" t="s">
        <v>179</v>
      </c>
      <c r="E154" s="45">
        <v>908695</v>
      </c>
      <c r="F154" s="45"/>
      <c r="G154" s="45">
        <v>2489073</v>
      </c>
      <c r="H154" s="45"/>
      <c r="I154" s="45">
        <v>453996</v>
      </c>
      <c r="J154" s="45"/>
      <c r="K154" s="45">
        <v>110917</v>
      </c>
      <c r="L154" s="45"/>
      <c r="M154" s="45">
        <v>0</v>
      </c>
      <c r="N154" s="45"/>
      <c r="O154" s="45">
        <v>0</v>
      </c>
      <c r="P154" s="45"/>
      <c r="Q154" s="45">
        <v>0</v>
      </c>
      <c r="R154" s="45"/>
      <c r="S154" s="45">
        <v>0</v>
      </c>
      <c r="T154" s="45"/>
      <c r="U154" s="45">
        <v>0</v>
      </c>
      <c r="V154" s="45"/>
      <c r="W154" s="45">
        <v>0</v>
      </c>
      <c r="X154" s="45"/>
      <c r="Y154" s="45">
        <v>0</v>
      </c>
      <c r="Z154" s="44"/>
      <c r="AA154" s="45">
        <v>0</v>
      </c>
      <c r="AB154" s="44"/>
      <c r="AC154" s="45">
        <f t="shared" si="7"/>
        <v>3962681</v>
      </c>
      <c r="AD154" s="45"/>
      <c r="AE154" s="48">
        <v>0</v>
      </c>
      <c r="AF154" s="48"/>
      <c r="AG154" s="45">
        <v>1725921</v>
      </c>
      <c r="AH154" s="45"/>
      <c r="AI154" s="45">
        <v>2020731</v>
      </c>
      <c r="AJ154" s="45"/>
      <c r="AK154" s="45">
        <v>-1088</v>
      </c>
      <c r="AL154" s="45"/>
      <c r="AM154" s="45">
        <f>+'Gen rev'!U154-'Gen exp'!AC154-AG154+'Gen rev'!W154+AI154+AK154-'Gen Bal'!S154-'Gen exp'!AE154</f>
        <v>0</v>
      </c>
      <c r="AN154" s="45"/>
      <c r="AO154" s="45"/>
      <c r="AP154" s="45"/>
      <c r="AQ154" s="45"/>
      <c r="AR154" s="52"/>
      <c r="AS154" s="50"/>
    </row>
    <row r="155" spans="1:45" s="49" customFormat="1" ht="12.75" customHeight="1" x14ac:dyDescent="0.2">
      <c r="A155" s="28" t="s">
        <v>180</v>
      </c>
      <c r="C155" s="28" t="s">
        <v>20</v>
      </c>
      <c r="E155" s="45">
        <v>561076</v>
      </c>
      <c r="F155" s="45"/>
      <c r="G155" s="45">
        <f>827958+435349</f>
        <v>1263307</v>
      </c>
      <c r="H155" s="45"/>
      <c r="I155" s="45">
        <v>1502</v>
      </c>
      <c r="J155" s="45"/>
      <c r="K155" s="45">
        <v>0</v>
      </c>
      <c r="L155" s="45"/>
      <c r="M155" s="45">
        <v>80942</v>
      </c>
      <c r="N155" s="45"/>
      <c r="O155" s="45">
        <v>0</v>
      </c>
      <c r="P155" s="45"/>
      <c r="Q155" s="45">
        <v>0</v>
      </c>
      <c r="R155" s="45"/>
      <c r="S155" s="45">
        <v>0</v>
      </c>
      <c r="T155" s="45"/>
      <c r="U155" s="45">
        <v>0</v>
      </c>
      <c r="V155" s="45"/>
      <c r="W155" s="45">
        <v>0</v>
      </c>
      <c r="X155" s="45"/>
      <c r="Y155" s="45">
        <v>0</v>
      </c>
      <c r="Z155" s="44"/>
      <c r="AA155" s="45">
        <v>0</v>
      </c>
      <c r="AB155" s="44"/>
      <c r="AC155" s="45">
        <f t="shared" si="7"/>
        <v>1906827</v>
      </c>
      <c r="AD155" s="45"/>
      <c r="AE155" s="48">
        <v>0</v>
      </c>
      <c r="AF155" s="48"/>
      <c r="AG155" s="45">
        <v>24300</v>
      </c>
      <c r="AH155" s="45"/>
      <c r="AI155" s="45">
        <v>1820910</v>
      </c>
      <c r="AJ155" s="45"/>
      <c r="AK155" s="45">
        <v>0</v>
      </c>
      <c r="AL155" s="45"/>
      <c r="AM155" s="45">
        <f>+'Gen rev'!U155-'Gen exp'!AC155-AG155+'Gen rev'!W155+AI155+AK155-'Gen Bal'!S155-'Gen exp'!AE155</f>
        <v>0</v>
      </c>
      <c r="AN155" s="44"/>
      <c r="AO155" s="44"/>
      <c r="AP155" s="44"/>
      <c r="AQ155" s="44"/>
    </row>
    <row r="156" spans="1:45" s="49" customFormat="1" ht="12.75" customHeight="1" x14ac:dyDescent="0.2">
      <c r="A156" s="44" t="s">
        <v>508</v>
      </c>
      <c r="B156" s="47"/>
      <c r="C156" s="44" t="s">
        <v>43</v>
      </c>
      <c r="E156" s="45">
        <v>3500533</v>
      </c>
      <c r="F156" s="45"/>
      <c r="G156" s="45">
        <v>2690530</v>
      </c>
      <c r="H156" s="45"/>
      <c r="I156" s="45">
        <v>1331037</v>
      </c>
      <c r="J156" s="45"/>
      <c r="K156" s="45">
        <v>0</v>
      </c>
      <c r="L156" s="45"/>
      <c r="M156" s="45">
        <v>1962021</v>
      </c>
      <c r="N156" s="45"/>
      <c r="O156" s="45">
        <v>0</v>
      </c>
      <c r="P156" s="45"/>
      <c r="Q156" s="45">
        <v>0</v>
      </c>
      <c r="R156" s="45"/>
      <c r="S156" s="45">
        <v>269032</v>
      </c>
      <c r="T156" s="45"/>
      <c r="U156" s="45">
        <v>0</v>
      </c>
      <c r="V156" s="45"/>
      <c r="W156" s="45">
        <v>53743</v>
      </c>
      <c r="X156" s="45"/>
      <c r="Y156" s="45">
        <v>6107</v>
      </c>
      <c r="Z156" s="44"/>
      <c r="AA156" s="45">
        <v>0</v>
      </c>
      <c r="AB156" s="44"/>
      <c r="AC156" s="45">
        <f t="shared" si="7"/>
        <v>9813003</v>
      </c>
      <c r="AD156" s="45"/>
      <c r="AE156" s="48">
        <v>0</v>
      </c>
      <c r="AF156" s="48"/>
      <c r="AG156" s="45">
        <v>858483</v>
      </c>
      <c r="AH156" s="45"/>
      <c r="AI156" s="45">
        <v>7183963</v>
      </c>
      <c r="AJ156" s="45"/>
      <c r="AK156" s="45">
        <v>0</v>
      </c>
      <c r="AL156" s="45"/>
      <c r="AM156" s="45">
        <f>+'Gen rev'!U156-'Gen exp'!AC156-AG156+'Gen rev'!W156+AI156+AK156-'Gen Bal'!S156-'Gen exp'!AE156</f>
        <v>0</v>
      </c>
      <c r="AN156" s="44"/>
      <c r="AO156" s="44"/>
      <c r="AP156" s="44"/>
      <c r="AQ156" s="44"/>
    </row>
    <row r="157" spans="1:45" s="49" customFormat="1" ht="12.75" customHeight="1" x14ac:dyDescent="0.2">
      <c r="A157" s="28" t="s">
        <v>182</v>
      </c>
      <c r="C157" s="28" t="s">
        <v>183</v>
      </c>
      <c r="E157" s="45">
        <v>660973</v>
      </c>
      <c r="F157" s="45"/>
      <c r="G157" s="45">
        <v>359935</v>
      </c>
      <c r="H157" s="45"/>
      <c r="I157" s="45">
        <v>41306</v>
      </c>
      <c r="J157" s="45"/>
      <c r="K157" s="45">
        <v>0</v>
      </c>
      <c r="L157" s="45"/>
      <c r="M157" s="45">
        <v>0</v>
      </c>
      <c r="N157" s="45"/>
      <c r="O157" s="45">
        <v>66303</v>
      </c>
      <c r="P157" s="45"/>
      <c r="Q157" s="45">
        <v>0</v>
      </c>
      <c r="R157" s="45"/>
      <c r="S157" s="45">
        <v>13197</v>
      </c>
      <c r="T157" s="45"/>
      <c r="U157" s="45">
        <v>0</v>
      </c>
      <c r="V157" s="45"/>
      <c r="W157" s="45">
        <v>0</v>
      </c>
      <c r="X157" s="45"/>
      <c r="Y157" s="45">
        <v>0</v>
      </c>
      <c r="Z157" s="44"/>
      <c r="AA157" s="45">
        <v>0</v>
      </c>
      <c r="AB157" s="44"/>
      <c r="AC157" s="45">
        <f t="shared" si="7"/>
        <v>1141714</v>
      </c>
      <c r="AD157" s="45"/>
      <c r="AE157" s="48">
        <v>0</v>
      </c>
      <c r="AF157" s="48"/>
      <c r="AG157" s="45">
        <v>208000</v>
      </c>
      <c r="AH157" s="45"/>
      <c r="AI157" s="45">
        <v>369476</v>
      </c>
      <c r="AJ157" s="45"/>
      <c r="AK157" s="45">
        <v>0</v>
      </c>
      <c r="AL157" s="45"/>
      <c r="AM157" s="45">
        <f>+'Gen rev'!U157-'Gen exp'!AC157-AG157+'Gen rev'!W157+AI157+AK157-'Gen Bal'!S157-'Gen exp'!AE157</f>
        <v>0</v>
      </c>
      <c r="AN157" s="44"/>
      <c r="AO157" s="44"/>
      <c r="AP157" s="44"/>
      <c r="AQ157" s="44"/>
    </row>
    <row r="158" spans="1:45" s="49" customFormat="1" ht="12.75" customHeight="1" x14ac:dyDescent="0.2">
      <c r="A158" s="28" t="s">
        <v>487</v>
      </c>
      <c r="C158" s="28" t="s">
        <v>13</v>
      </c>
      <c r="E158" s="45">
        <v>861728</v>
      </c>
      <c r="F158" s="45"/>
      <c r="G158" s="45">
        <v>303320</v>
      </c>
      <c r="H158" s="45"/>
      <c r="I158" s="45">
        <v>120583</v>
      </c>
      <c r="J158" s="45"/>
      <c r="K158" s="45">
        <v>109792</v>
      </c>
      <c r="L158" s="45"/>
      <c r="M158" s="45">
        <v>593957</v>
      </c>
      <c r="N158" s="45"/>
      <c r="O158" s="45">
        <v>19810</v>
      </c>
      <c r="P158" s="45"/>
      <c r="Q158" s="45">
        <v>0</v>
      </c>
      <c r="R158" s="45"/>
      <c r="S158" s="45">
        <v>32765</v>
      </c>
      <c r="T158" s="45"/>
      <c r="U158" s="45">
        <v>0</v>
      </c>
      <c r="V158" s="45"/>
      <c r="W158" s="45">
        <v>0</v>
      </c>
      <c r="X158" s="45"/>
      <c r="Y158" s="45">
        <v>0</v>
      </c>
      <c r="Z158" s="44"/>
      <c r="AA158" s="45">
        <v>0</v>
      </c>
      <c r="AB158" s="44"/>
      <c r="AC158" s="45">
        <f t="shared" si="7"/>
        <v>2041955</v>
      </c>
      <c r="AD158" s="45"/>
      <c r="AE158" s="48">
        <v>0</v>
      </c>
      <c r="AF158" s="48"/>
      <c r="AG158" s="45">
        <v>733609</v>
      </c>
      <c r="AH158" s="45"/>
      <c r="AI158" s="45">
        <v>1574326</v>
      </c>
      <c r="AJ158" s="45"/>
      <c r="AK158" s="45">
        <v>0</v>
      </c>
      <c r="AL158" s="45"/>
      <c r="AM158" s="45">
        <f>+'Gen rev'!U158-'Gen exp'!AC158-AG158+'Gen rev'!W158+AI158+AK158-'Gen Bal'!S158-'Gen exp'!AE158</f>
        <v>0</v>
      </c>
      <c r="AN158" s="45"/>
      <c r="AO158" s="45"/>
      <c r="AP158" s="45"/>
      <c r="AQ158" s="45"/>
      <c r="AR158" s="52"/>
      <c r="AS158" s="50"/>
    </row>
    <row r="159" spans="1:45" s="49" customFormat="1" ht="12.75" customHeight="1" x14ac:dyDescent="0.2">
      <c r="A159" s="28" t="s">
        <v>184</v>
      </c>
      <c r="C159" s="28" t="s">
        <v>89</v>
      </c>
      <c r="E159" s="45">
        <v>2719955</v>
      </c>
      <c r="F159" s="45"/>
      <c r="G159" s="45">
        <v>2230991</v>
      </c>
      <c r="H159" s="45"/>
      <c r="I159" s="45">
        <v>0</v>
      </c>
      <c r="J159" s="45"/>
      <c r="K159" s="45">
        <v>273160</v>
      </c>
      <c r="L159" s="45"/>
      <c r="M159" s="45">
        <v>45241</v>
      </c>
      <c r="N159" s="45"/>
      <c r="O159" s="45">
        <v>723838</v>
      </c>
      <c r="P159" s="45"/>
      <c r="Q159" s="45">
        <v>0</v>
      </c>
      <c r="R159" s="45"/>
      <c r="S159" s="45">
        <v>120455</v>
      </c>
      <c r="T159" s="45"/>
      <c r="U159" s="45">
        <v>0</v>
      </c>
      <c r="V159" s="45"/>
      <c r="W159" s="45">
        <v>37416</v>
      </c>
      <c r="X159" s="45"/>
      <c r="Y159" s="45">
        <v>3569</v>
      </c>
      <c r="Z159" s="44"/>
      <c r="AA159" s="45">
        <v>0</v>
      </c>
      <c r="AB159" s="44"/>
      <c r="AC159" s="45">
        <f t="shared" si="7"/>
        <v>6154625</v>
      </c>
      <c r="AD159" s="45"/>
      <c r="AE159" s="48">
        <v>0</v>
      </c>
      <c r="AF159" s="48"/>
      <c r="AG159" s="45">
        <v>164000</v>
      </c>
      <c r="AH159" s="45"/>
      <c r="AI159" s="45">
        <v>1782421</v>
      </c>
      <c r="AJ159" s="45"/>
      <c r="AK159" s="45">
        <v>0</v>
      </c>
      <c r="AL159" s="45"/>
      <c r="AM159" s="45">
        <f>+'Gen rev'!U159-'Gen exp'!AC159-AG159+'Gen rev'!W159+AI159+AK159-'Gen Bal'!S159-'Gen exp'!AE159</f>
        <v>0</v>
      </c>
      <c r="AN159" s="45"/>
      <c r="AO159" s="45"/>
      <c r="AP159" s="45"/>
      <c r="AQ159" s="45"/>
      <c r="AR159" s="52"/>
      <c r="AS159" s="50"/>
    </row>
    <row r="160" spans="1:45" s="49" customFormat="1" ht="12.75" customHeight="1" x14ac:dyDescent="0.2">
      <c r="A160" s="28" t="s">
        <v>181</v>
      </c>
      <c r="C160" s="28" t="s">
        <v>125</v>
      </c>
      <c r="E160" s="45">
        <v>9968157</v>
      </c>
      <c r="F160" s="45"/>
      <c r="G160" s="45">
        <v>16377377</v>
      </c>
      <c r="H160" s="45"/>
      <c r="I160" s="45">
        <v>99650</v>
      </c>
      <c r="J160" s="45"/>
      <c r="K160" s="45">
        <v>2684</v>
      </c>
      <c r="L160" s="45"/>
      <c r="M160" s="45">
        <v>0</v>
      </c>
      <c r="N160" s="45"/>
      <c r="O160" s="45">
        <v>0</v>
      </c>
      <c r="P160" s="45"/>
      <c r="Q160" s="45">
        <v>0</v>
      </c>
      <c r="R160" s="45"/>
      <c r="S160" s="45">
        <v>0</v>
      </c>
      <c r="T160" s="45"/>
      <c r="U160" s="45">
        <v>0</v>
      </c>
      <c r="V160" s="45"/>
      <c r="W160" s="45">
        <v>0</v>
      </c>
      <c r="X160" s="45"/>
      <c r="Y160" s="45">
        <v>0</v>
      </c>
      <c r="Z160" s="44"/>
      <c r="AA160" s="45">
        <v>0</v>
      </c>
      <c r="AB160" s="44"/>
      <c r="AC160" s="45">
        <f t="shared" si="7"/>
        <v>26447868</v>
      </c>
      <c r="AD160" s="45"/>
      <c r="AE160" s="48">
        <v>0</v>
      </c>
      <c r="AF160" s="48"/>
      <c r="AG160" s="45">
        <v>4007077</v>
      </c>
      <c r="AH160" s="45"/>
      <c r="AI160" s="45">
        <v>4826508</v>
      </c>
      <c r="AJ160" s="45"/>
      <c r="AK160" s="45">
        <v>-6353</v>
      </c>
      <c r="AL160" s="45"/>
      <c r="AM160" s="45">
        <f>+'Gen rev'!U160-'Gen exp'!AC160-AG160+'Gen rev'!W160+AI160+AK160-'Gen Bal'!S160-'Gen exp'!AE160</f>
        <v>0</v>
      </c>
      <c r="AN160" s="45"/>
      <c r="AO160" s="45"/>
      <c r="AP160" s="45"/>
      <c r="AQ160" s="45"/>
      <c r="AR160" s="52"/>
      <c r="AS160" s="50"/>
    </row>
    <row r="161" spans="1:45" s="49" customFormat="1" ht="12.75" customHeight="1" x14ac:dyDescent="0.2">
      <c r="A161" s="28" t="s">
        <v>185</v>
      </c>
      <c r="C161" s="28" t="s">
        <v>80</v>
      </c>
      <c r="E161" s="45">
        <v>1830158</v>
      </c>
      <c r="F161" s="45"/>
      <c r="G161" s="45">
        <v>395847</v>
      </c>
      <c r="H161" s="45"/>
      <c r="I161" s="45">
        <v>320961</v>
      </c>
      <c r="J161" s="45"/>
      <c r="K161" s="45">
        <v>519269</v>
      </c>
      <c r="L161" s="45"/>
      <c r="M161" s="45">
        <v>523570</v>
      </c>
      <c r="N161" s="45"/>
      <c r="O161" s="45">
        <v>11952</v>
      </c>
      <c r="P161" s="45"/>
      <c r="Q161" s="45">
        <v>141712</v>
      </c>
      <c r="R161" s="45"/>
      <c r="S161" s="45">
        <v>0</v>
      </c>
      <c r="T161" s="45"/>
      <c r="U161" s="45">
        <v>0</v>
      </c>
      <c r="V161" s="45"/>
      <c r="W161" s="45">
        <v>1976</v>
      </c>
      <c r="X161" s="45"/>
      <c r="Y161" s="45">
        <v>280</v>
      </c>
      <c r="Z161" s="44"/>
      <c r="AA161" s="45">
        <v>40674</v>
      </c>
      <c r="AB161" s="44"/>
      <c r="AC161" s="45">
        <f t="shared" si="7"/>
        <v>3786399</v>
      </c>
      <c r="AD161" s="45"/>
      <c r="AE161" s="48">
        <v>0</v>
      </c>
      <c r="AF161" s="48"/>
      <c r="AG161" s="45">
        <v>8446006</v>
      </c>
      <c r="AH161" s="45"/>
      <c r="AI161" s="45">
        <v>11523777</v>
      </c>
      <c r="AJ161" s="45"/>
      <c r="AK161" s="45">
        <v>0</v>
      </c>
      <c r="AL161" s="45"/>
      <c r="AM161" s="45">
        <f>+'Gen rev'!U161-'Gen exp'!AC161-AG161+'Gen rev'!W161+AI161+AK161-'Gen Bal'!S161-'Gen exp'!AE161</f>
        <v>0</v>
      </c>
      <c r="AN161" s="44"/>
      <c r="AO161" s="44"/>
      <c r="AP161" s="44"/>
      <c r="AQ161" s="44"/>
      <c r="AR161" s="52"/>
      <c r="AS161" s="50"/>
    </row>
    <row r="162" spans="1:45" s="49" customFormat="1" ht="12.75" customHeight="1" x14ac:dyDescent="0.2">
      <c r="A162" s="28" t="s">
        <v>186</v>
      </c>
      <c r="C162" s="28" t="s">
        <v>15</v>
      </c>
      <c r="E162" s="45">
        <v>1729043</v>
      </c>
      <c r="F162" s="45"/>
      <c r="G162" s="45">
        <v>3189169</v>
      </c>
      <c r="H162" s="45"/>
      <c r="I162" s="45">
        <v>422242</v>
      </c>
      <c r="J162" s="45"/>
      <c r="K162" s="45">
        <v>102265</v>
      </c>
      <c r="L162" s="45"/>
      <c r="M162" s="45">
        <v>53688</v>
      </c>
      <c r="N162" s="45"/>
      <c r="O162" s="45">
        <v>764307</v>
      </c>
      <c r="P162" s="45"/>
      <c r="Q162" s="45">
        <v>27538</v>
      </c>
      <c r="R162" s="45"/>
      <c r="S162" s="45">
        <v>0</v>
      </c>
      <c r="T162" s="45"/>
      <c r="U162" s="45">
        <v>0</v>
      </c>
      <c r="V162" s="45"/>
      <c r="W162" s="45">
        <v>70000</v>
      </c>
      <c r="X162" s="45"/>
      <c r="Y162" s="45">
        <v>21571</v>
      </c>
      <c r="Z162" s="44"/>
      <c r="AA162" s="45">
        <v>14417</v>
      </c>
      <c r="AB162" s="44"/>
      <c r="AC162" s="45">
        <f t="shared" si="7"/>
        <v>6394240</v>
      </c>
      <c r="AD162" s="45"/>
      <c r="AE162" s="48">
        <v>0</v>
      </c>
      <c r="AF162" s="48"/>
      <c r="AG162" s="45">
        <v>844692</v>
      </c>
      <c r="AH162" s="45"/>
      <c r="AI162" s="45">
        <v>2023563</v>
      </c>
      <c r="AJ162" s="45"/>
      <c r="AK162" s="45">
        <v>0</v>
      </c>
      <c r="AL162" s="45"/>
      <c r="AM162" s="45">
        <f>+'Gen rev'!U163-'Gen exp'!AC162-AG162+'Gen rev'!W163+AI162+AK162-'Gen Bal'!S162-'Gen exp'!AE162</f>
        <v>0</v>
      </c>
      <c r="AN162" s="45"/>
      <c r="AO162" s="45"/>
      <c r="AP162" s="45"/>
      <c r="AQ162" s="45"/>
      <c r="AR162" s="52"/>
      <c r="AS162" s="50"/>
    </row>
    <row r="163" spans="1:45" s="44" customFormat="1" ht="12.75" customHeight="1" x14ac:dyDescent="0.2">
      <c r="A163" s="35" t="s">
        <v>187</v>
      </c>
      <c r="C163" s="35" t="s">
        <v>27</v>
      </c>
      <c r="E163" s="45">
        <v>3474751</v>
      </c>
      <c r="F163" s="45"/>
      <c r="G163" s="45">
        <v>10209859</v>
      </c>
      <c r="H163" s="45"/>
      <c r="I163" s="45">
        <v>389755</v>
      </c>
      <c r="J163" s="45"/>
      <c r="K163" s="45">
        <v>400689</v>
      </c>
      <c r="L163" s="45"/>
      <c r="M163" s="45">
        <v>2547708</v>
      </c>
      <c r="N163" s="45"/>
      <c r="O163" s="45">
        <v>0</v>
      </c>
      <c r="P163" s="45"/>
      <c r="Q163" s="45">
        <v>212627</v>
      </c>
      <c r="R163" s="45"/>
      <c r="S163" s="45">
        <v>0</v>
      </c>
      <c r="T163" s="45"/>
      <c r="U163" s="45">
        <v>0</v>
      </c>
      <c r="V163" s="45"/>
      <c r="W163" s="45">
        <v>12822</v>
      </c>
      <c r="X163" s="45"/>
      <c r="Y163" s="45">
        <v>6085</v>
      </c>
      <c r="AA163" s="45">
        <v>0</v>
      </c>
      <c r="AC163" s="45">
        <f t="shared" si="7"/>
        <v>17254296</v>
      </c>
      <c r="AD163" s="45"/>
      <c r="AE163" s="48">
        <v>0</v>
      </c>
      <c r="AF163" s="48"/>
      <c r="AG163" s="45">
        <v>291115</v>
      </c>
      <c r="AH163" s="45"/>
      <c r="AI163" s="45">
        <v>4491661</v>
      </c>
      <c r="AJ163" s="45"/>
      <c r="AK163" s="45">
        <v>0</v>
      </c>
      <c r="AL163" s="45"/>
      <c r="AM163" s="45">
        <f>+'Gen rev'!U164-'Gen exp'!AC163-AG163+'Gen rev'!W164+AI163+AK163-'Gen Bal'!S163-'Gen exp'!AE163</f>
        <v>0</v>
      </c>
      <c r="AN163" s="45"/>
      <c r="AO163" s="45"/>
      <c r="AP163" s="45"/>
      <c r="AQ163" s="45"/>
      <c r="AR163" s="55"/>
      <c r="AS163" s="35"/>
    </row>
    <row r="164" spans="1:45" s="49" customFormat="1" ht="12.75" customHeight="1" x14ac:dyDescent="0.2">
      <c r="A164" s="28" t="s">
        <v>189</v>
      </c>
      <c r="C164" s="28" t="s">
        <v>17</v>
      </c>
      <c r="E164" s="45">
        <v>3104353</v>
      </c>
      <c r="F164" s="45"/>
      <c r="G164" s="45">
        <v>4900296</v>
      </c>
      <c r="H164" s="45"/>
      <c r="I164" s="45">
        <v>1389032</v>
      </c>
      <c r="J164" s="45"/>
      <c r="K164" s="45">
        <v>386587</v>
      </c>
      <c r="L164" s="45"/>
      <c r="M164" s="45">
        <v>0</v>
      </c>
      <c r="N164" s="45"/>
      <c r="O164" s="45">
        <v>204294</v>
      </c>
      <c r="P164" s="45"/>
      <c r="Q164" s="45">
        <v>0</v>
      </c>
      <c r="R164" s="45"/>
      <c r="S164" s="45">
        <v>0</v>
      </c>
      <c r="T164" s="45"/>
      <c r="U164" s="45">
        <v>0</v>
      </c>
      <c r="V164" s="45"/>
      <c r="W164" s="45">
        <v>18642</v>
      </c>
      <c r="X164" s="45"/>
      <c r="Y164" s="45">
        <v>6488</v>
      </c>
      <c r="Z164" s="44"/>
      <c r="AA164" s="45">
        <v>0</v>
      </c>
      <c r="AB164" s="44"/>
      <c r="AC164" s="45">
        <f t="shared" si="7"/>
        <v>10009692</v>
      </c>
      <c r="AD164" s="45"/>
      <c r="AE164" s="48">
        <v>0</v>
      </c>
      <c r="AF164" s="48"/>
      <c r="AG164" s="45">
        <v>1050000</v>
      </c>
      <c r="AH164" s="45"/>
      <c r="AI164" s="45">
        <v>3610800</v>
      </c>
      <c r="AJ164" s="45"/>
      <c r="AK164" s="45">
        <v>0</v>
      </c>
      <c r="AL164" s="45"/>
      <c r="AM164" s="45">
        <f>+'Gen rev'!U165-'Gen exp'!AC164-AG164+'Gen rev'!W165+AI164+AK164-'Gen Bal'!S164-'Gen exp'!AE164</f>
        <v>0</v>
      </c>
      <c r="AN164" s="55"/>
      <c r="AO164" s="55"/>
      <c r="AP164" s="55"/>
      <c r="AQ164" s="55"/>
      <c r="AR164" s="52"/>
      <c r="AS164" s="50"/>
    </row>
    <row r="165" spans="1:45" s="49" customFormat="1" ht="12.75" customHeight="1" x14ac:dyDescent="0.2">
      <c r="A165" s="28" t="s">
        <v>188</v>
      </c>
      <c r="C165" s="28" t="s">
        <v>27</v>
      </c>
      <c r="E165" s="45">
        <v>2687924</v>
      </c>
      <c r="F165" s="45"/>
      <c r="G165" s="45">
        <v>4990101</v>
      </c>
      <c r="H165" s="45"/>
      <c r="I165" s="45">
        <v>706202</v>
      </c>
      <c r="J165" s="45"/>
      <c r="K165" s="45">
        <v>192884</v>
      </c>
      <c r="L165" s="45"/>
      <c r="M165" s="45">
        <v>69247</v>
      </c>
      <c r="N165" s="45"/>
      <c r="O165" s="45">
        <v>461230</v>
      </c>
      <c r="P165" s="45"/>
      <c r="Q165" s="45">
        <v>1653304</v>
      </c>
      <c r="R165" s="45"/>
      <c r="S165" s="45">
        <v>8647</v>
      </c>
      <c r="T165" s="45"/>
      <c r="U165" s="45">
        <v>0</v>
      </c>
      <c r="V165" s="45"/>
      <c r="W165" s="45">
        <v>75621</v>
      </c>
      <c r="X165" s="45"/>
      <c r="Y165" s="45">
        <v>5077</v>
      </c>
      <c r="Z165" s="44"/>
      <c r="AA165" s="45">
        <v>0</v>
      </c>
      <c r="AB165" s="44"/>
      <c r="AC165" s="45">
        <f t="shared" si="7"/>
        <v>10850237</v>
      </c>
      <c r="AD165" s="45"/>
      <c r="AE165" s="48">
        <v>0</v>
      </c>
      <c r="AF165" s="48"/>
      <c r="AG165" s="45">
        <v>2349000</v>
      </c>
      <c r="AH165" s="45"/>
      <c r="AI165" s="45">
        <v>1625338</v>
      </c>
      <c r="AJ165" s="45"/>
      <c r="AK165" s="45">
        <v>0</v>
      </c>
      <c r="AL165" s="45"/>
      <c r="AM165" s="45">
        <f>+'Gen rev'!U166-'Gen exp'!AC165-AG165+'Gen rev'!W166+AI165+AK165-'Gen Bal'!S165-'Gen exp'!AE165</f>
        <v>0</v>
      </c>
      <c r="AN165" s="44"/>
      <c r="AO165" s="44"/>
      <c r="AP165" s="44"/>
      <c r="AQ165" s="44"/>
    </row>
    <row r="166" spans="1:45" s="49" customFormat="1" ht="12.75" customHeight="1" x14ac:dyDescent="0.2">
      <c r="A166" s="28" t="s">
        <v>190</v>
      </c>
      <c r="C166" s="28" t="s">
        <v>47</v>
      </c>
      <c r="E166" s="45">
        <v>1260391</v>
      </c>
      <c r="F166" s="45"/>
      <c r="G166" s="45">
        <v>2278251</v>
      </c>
      <c r="H166" s="45"/>
      <c r="I166" s="45">
        <v>95607</v>
      </c>
      <c r="J166" s="45"/>
      <c r="K166" s="45">
        <v>8682</v>
      </c>
      <c r="L166" s="45"/>
      <c r="M166" s="45">
        <v>193091</v>
      </c>
      <c r="N166" s="45"/>
      <c r="O166" s="45">
        <v>55894</v>
      </c>
      <c r="P166" s="45"/>
      <c r="Q166" s="45">
        <v>0</v>
      </c>
      <c r="R166" s="45"/>
      <c r="S166" s="45">
        <v>0</v>
      </c>
      <c r="T166" s="45"/>
      <c r="U166" s="45">
        <v>0</v>
      </c>
      <c r="V166" s="45"/>
      <c r="W166" s="45">
        <v>0</v>
      </c>
      <c r="X166" s="45"/>
      <c r="Y166" s="45">
        <v>0</v>
      </c>
      <c r="Z166" s="44"/>
      <c r="AA166" s="45">
        <v>0</v>
      </c>
      <c r="AB166" s="44"/>
      <c r="AC166" s="45">
        <f t="shared" si="7"/>
        <v>3891916</v>
      </c>
      <c r="AD166" s="45"/>
      <c r="AE166" s="48">
        <v>0</v>
      </c>
      <c r="AF166" s="48"/>
      <c r="AG166" s="45">
        <v>0</v>
      </c>
      <c r="AH166" s="45"/>
      <c r="AI166" s="45">
        <v>746262</v>
      </c>
      <c r="AJ166" s="45"/>
      <c r="AK166" s="45">
        <v>-963</v>
      </c>
      <c r="AL166" s="45"/>
      <c r="AM166" s="45">
        <f>+'Gen rev'!U167-'Gen exp'!AC166-AG166+'Gen rev'!W167+AI166+AK166-'Gen Bal'!S166-'Gen exp'!AE166</f>
        <v>0</v>
      </c>
      <c r="AN166" s="44"/>
      <c r="AO166" s="44"/>
      <c r="AP166" s="44"/>
      <c r="AQ166" s="44"/>
    </row>
    <row r="167" spans="1:45" s="49" customFormat="1" ht="12.75" customHeight="1" x14ac:dyDescent="0.2">
      <c r="A167" s="28" t="s">
        <v>191</v>
      </c>
      <c r="C167" s="28" t="s">
        <v>13</v>
      </c>
      <c r="E167" s="45">
        <v>1932879</v>
      </c>
      <c r="F167" s="45"/>
      <c r="G167" s="45">
        <v>1986426</v>
      </c>
      <c r="H167" s="45"/>
      <c r="I167" s="45">
        <v>136317</v>
      </c>
      <c r="J167" s="45"/>
      <c r="K167" s="45">
        <v>746</v>
      </c>
      <c r="L167" s="45"/>
      <c r="M167" s="45">
        <v>300678</v>
      </c>
      <c r="N167" s="45"/>
      <c r="O167" s="45">
        <v>140871</v>
      </c>
      <c r="P167" s="45"/>
      <c r="Q167" s="45">
        <v>0</v>
      </c>
      <c r="R167" s="45"/>
      <c r="S167" s="45">
        <v>0</v>
      </c>
      <c r="T167" s="45"/>
      <c r="U167" s="45">
        <v>0</v>
      </c>
      <c r="V167" s="45"/>
      <c r="W167" s="45">
        <v>570000</v>
      </c>
      <c r="X167" s="45"/>
      <c r="Y167" s="45">
        <v>10939</v>
      </c>
      <c r="Z167" s="44"/>
      <c r="AA167" s="45">
        <v>0</v>
      </c>
      <c r="AB167" s="44"/>
      <c r="AC167" s="45">
        <f t="shared" si="7"/>
        <v>5078856</v>
      </c>
      <c r="AD167" s="45"/>
      <c r="AE167" s="48">
        <v>0</v>
      </c>
      <c r="AF167" s="48"/>
      <c r="AG167" s="45">
        <v>351339</v>
      </c>
      <c r="AH167" s="45"/>
      <c r="AI167" s="45">
        <v>1483669</v>
      </c>
      <c r="AJ167" s="45"/>
      <c r="AK167" s="45">
        <v>0</v>
      </c>
      <c r="AL167" s="45"/>
      <c r="AM167" s="45">
        <f>+'Gen rev'!U168-'Gen exp'!AC167-AG167+'Gen rev'!W168+AI167+AK167-'Gen Bal'!S167-'Gen exp'!AE167</f>
        <v>0</v>
      </c>
      <c r="AN167" s="44"/>
      <c r="AO167" s="44"/>
      <c r="AP167" s="44"/>
      <c r="AQ167" s="44"/>
    </row>
    <row r="168" spans="1:45" s="49" customFormat="1" ht="12.75" customHeight="1" x14ac:dyDescent="0.2">
      <c r="A168" s="28" t="s">
        <v>192</v>
      </c>
      <c r="C168" s="28" t="s">
        <v>38</v>
      </c>
      <c r="E168" s="45">
        <v>2104497</v>
      </c>
      <c r="F168" s="45"/>
      <c r="G168" s="45">
        <v>3943780</v>
      </c>
      <c r="H168" s="45"/>
      <c r="I168" s="45">
        <v>64943</v>
      </c>
      <c r="J168" s="45"/>
      <c r="K168" s="45">
        <v>102915</v>
      </c>
      <c r="L168" s="45"/>
      <c r="M168" s="45">
        <v>8570</v>
      </c>
      <c r="N168" s="45"/>
      <c r="O168" s="45">
        <v>0</v>
      </c>
      <c r="P168" s="45"/>
      <c r="Q168" s="45">
        <v>0</v>
      </c>
      <c r="R168" s="45"/>
      <c r="S168" s="45">
        <v>0</v>
      </c>
      <c r="T168" s="45"/>
      <c r="U168" s="45">
        <v>0</v>
      </c>
      <c r="V168" s="45"/>
      <c r="W168" s="45">
        <v>15904</v>
      </c>
      <c r="X168" s="45"/>
      <c r="Y168" s="45">
        <v>7756</v>
      </c>
      <c r="Z168" s="44"/>
      <c r="AA168" s="45">
        <v>0</v>
      </c>
      <c r="AB168" s="44"/>
      <c r="AC168" s="45">
        <f t="shared" si="7"/>
        <v>6248365</v>
      </c>
      <c r="AD168" s="45"/>
      <c r="AE168" s="48">
        <v>0</v>
      </c>
      <c r="AF168" s="48"/>
      <c r="AG168" s="45">
        <v>672469</v>
      </c>
      <c r="AH168" s="45"/>
      <c r="AI168" s="45">
        <v>2576075</v>
      </c>
      <c r="AJ168" s="45"/>
      <c r="AK168" s="45">
        <v>0</v>
      </c>
      <c r="AL168" s="45"/>
      <c r="AM168" s="45">
        <f>+'Gen rev'!U169-'Gen exp'!AC168-AG168+'Gen rev'!W169+AI168+AK168-'Gen Bal'!S169-'Gen exp'!AE168</f>
        <v>0</v>
      </c>
      <c r="AN168" s="44"/>
      <c r="AO168" s="44"/>
      <c r="AP168" s="44"/>
      <c r="AQ168" s="44"/>
    </row>
    <row r="169" spans="1:45" s="46" customFormat="1" ht="12.75" customHeight="1" x14ac:dyDescent="0.2">
      <c r="A169" s="28" t="s">
        <v>193</v>
      </c>
      <c r="B169" s="49"/>
      <c r="C169" s="28" t="s">
        <v>45</v>
      </c>
      <c r="D169" s="49"/>
      <c r="E169" s="45">
        <v>4127216</v>
      </c>
      <c r="F169" s="45"/>
      <c r="G169" s="45">
        <f>7102013+7514604</f>
        <v>14616617</v>
      </c>
      <c r="H169" s="45"/>
      <c r="I169" s="45">
        <v>0</v>
      </c>
      <c r="J169" s="45"/>
      <c r="K169" s="45">
        <v>966004</v>
      </c>
      <c r="L169" s="45"/>
      <c r="M169" s="45">
        <v>0</v>
      </c>
      <c r="N169" s="45"/>
      <c r="O169" s="45">
        <v>163766</v>
      </c>
      <c r="P169" s="45"/>
      <c r="Q169" s="45">
        <v>33723</v>
      </c>
      <c r="R169" s="45"/>
      <c r="S169" s="45">
        <v>1000</v>
      </c>
      <c r="T169" s="45"/>
      <c r="U169" s="45">
        <v>0</v>
      </c>
      <c r="V169" s="45"/>
      <c r="W169" s="45">
        <v>184839</v>
      </c>
      <c r="X169" s="45"/>
      <c r="Y169" s="45">
        <v>19349</v>
      </c>
      <c r="Z169" s="44"/>
      <c r="AA169" s="45">
        <v>0</v>
      </c>
      <c r="AB169" s="44"/>
      <c r="AC169" s="45">
        <f t="shared" si="7"/>
        <v>20112514</v>
      </c>
      <c r="AD169" s="45"/>
      <c r="AE169" s="48">
        <v>0</v>
      </c>
      <c r="AF169" s="48"/>
      <c r="AG169" s="45">
        <v>744504</v>
      </c>
      <c r="AH169" s="45"/>
      <c r="AI169" s="45">
        <v>1823813</v>
      </c>
      <c r="AJ169" s="45"/>
      <c r="AK169" s="45">
        <v>0</v>
      </c>
      <c r="AL169" s="45"/>
      <c r="AM169" s="45">
        <f>+'Gen rev'!U170-'Gen exp'!AC169-AG169+'Gen rev'!W170+AI169+AK169-'Gen Bal'!S170-'Gen exp'!AE169</f>
        <v>0</v>
      </c>
      <c r="AN169" s="65"/>
    </row>
    <row r="170" spans="1:45" s="49" customFormat="1" ht="12.75" customHeight="1" x14ac:dyDescent="0.2">
      <c r="A170" s="28" t="s">
        <v>194</v>
      </c>
      <c r="C170" s="28" t="s">
        <v>66</v>
      </c>
      <c r="E170" s="45">
        <v>2140022</v>
      </c>
      <c r="F170" s="45"/>
      <c r="G170" s="45">
        <v>5178923</v>
      </c>
      <c r="H170" s="45"/>
      <c r="I170" s="45">
        <v>1931259</v>
      </c>
      <c r="J170" s="45"/>
      <c r="K170" s="45">
        <v>0</v>
      </c>
      <c r="L170" s="45"/>
      <c r="M170" s="45">
        <v>0</v>
      </c>
      <c r="N170" s="45"/>
      <c r="O170" s="45">
        <v>893391</v>
      </c>
      <c r="P170" s="45"/>
      <c r="Q170" s="45">
        <v>0</v>
      </c>
      <c r="R170" s="45"/>
      <c r="S170" s="45">
        <v>200000</v>
      </c>
      <c r="T170" s="45"/>
      <c r="U170" s="45">
        <v>0</v>
      </c>
      <c r="V170" s="45"/>
      <c r="W170" s="45">
        <v>0</v>
      </c>
      <c r="X170" s="45"/>
      <c r="Y170" s="45">
        <v>28316</v>
      </c>
      <c r="Z170" s="44"/>
      <c r="AA170" s="45">
        <v>0</v>
      </c>
      <c r="AB170" s="44"/>
      <c r="AC170" s="45">
        <f t="shared" si="7"/>
        <v>10371911</v>
      </c>
      <c r="AD170" s="45"/>
      <c r="AE170" s="48">
        <v>0</v>
      </c>
      <c r="AF170" s="48"/>
      <c r="AG170" s="45">
        <v>699156</v>
      </c>
      <c r="AH170" s="45"/>
      <c r="AI170" s="45">
        <v>6362193</v>
      </c>
      <c r="AJ170" s="45"/>
      <c r="AK170" s="45">
        <v>0</v>
      </c>
      <c r="AL170" s="45"/>
      <c r="AM170" s="45">
        <f>+'Gen rev'!U171-'Gen exp'!AC170-AG170+'Gen rev'!W171+AI170+AK170-'Gen Bal'!S171-'Gen exp'!AE170</f>
        <v>0</v>
      </c>
      <c r="AN170" s="44"/>
      <c r="AO170" s="44"/>
      <c r="AP170" s="44"/>
      <c r="AQ170" s="44"/>
    </row>
    <row r="171" spans="1:45" s="49" customFormat="1" ht="12.75" customHeight="1" x14ac:dyDescent="0.2">
      <c r="A171" s="28" t="s">
        <v>195</v>
      </c>
      <c r="C171" s="28" t="s">
        <v>17</v>
      </c>
      <c r="E171" s="45">
        <v>3171161</v>
      </c>
      <c r="F171" s="45"/>
      <c r="G171" s="45">
        <v>3116751</v>
      </c>
      <c r="H171" s="45"/>
      <c r="I171" s="45">
        <v>366105</v>
      </c>
      <c r="J171" s="45"/>
      <c r="K171" s="45">
        <v>123175</v>
      </c>
      <c r="L171" s="45"/>
      <c r="M171" s="45">
        <v>179613</v>
      </c>
      <c r="N171" s="45"/>
      <c r="O171" s="45">
        <v>652160</v>
      </c>
      <c r="P171" s="45"/>
      <c r="Q171" s="45">
        <v>0</v>
      </c>
      <c r="R171" s="45"/>
      <c r="S171" s="45">
        <v>0</v>
      </c>
      <c r="T171" s="45"/>
      <c r="U171" s="45">
        <v>0</v>
      </c>
      <c r="V171" s="45"/>
      <c r="W171" s="45">
        <v>0</v>
      </c>
      <c r="X171" s="45"/>
      <c r="Y171" s="45">
        <v>0</v>
      </c>
      <c r="Z171" s="44"/>
      <c r="AA171" s="45">
        <v>0</v>
      </c>
      <c r="AB171" s="44"/>
      <c r="AC171" s="45">
        <f t="shared" si="7"/>
        <v>7608965</v>
      </c>
      <c r="AD171" s="45"/>
      <c r="AE171" s="48">
        <v>0</v>
      </c>
      <c r="AF171" s="48"/>
      <c r="AG171" s="45">
        <v>299000</v>
      </c>
      <c r="AH171" s="45"/>
      <c r="AI171" s="45">
        <v>9931935</v>
      </c>
      <c r="AJ171" s="45"/>
      <c r="AK171" s="45">
        <v>2946</v>
      </c>
      <c r="AL171" s="45"/>
      <c r="AM171" s="45">
        <f>+'Gen rev'!U172-'Gen exp'!AC171-AG171+'Gen rev'!W172+AI171+AK171-'Gen Bal'!S172-'Gen exp'!AE171</f>
        <v>0</v>
      </c>
      <c r="AN171" s="44"/>
      <c r="AO171" s="44"/>
      <c r="AP171" s="44"/>
      <c r="AQ171" s="44"/>
    </row>
    <row r="172" spans="1:45" s="49" customFormat="1" ht="12.75" customHeight="1" x14ac:dyDescent="0.2">
      <c r="A172" s="28" t="s">
        <v>196</v>
      </c>
      <c r="C172" s="28" t="s">
        <v>27</v>
      </c>
      <c r="E172" s="45">
        <v>1210802</v>
      </c>
      <c r="F172" s="45"/>
      <c r="G172" s="45">
        <v>2010151</v>
      </c>
      <c r="H172" s="45"/>
      <c r="I172" s="45">
        <f>4221+331739</f>
        <v>335960</v>
      </c>
      <c r="J172" s="45"/>
      <c r="K172" s="45">
        <v>42721</v>
      </c>
      <c r="L172" s="45"/>
      <c r="M172" s="45">
        <v>418087</v>
      </c>
      <c r="N172" s="45"/>
      <c r="O172" s="45">
        <v>23933</v>
      </c>
      <c r="P172" s="45"/>
      <c r="Q172" s="45">
        <v>0</v>
      </c>
      <c r="R172" s="45"/>
      <c r="S172" s="45">
        <v>0</v>
      </c>
      <c r="T172" s="45"/>
      <c r="U172" s="45">
        <v>0</v>
      </c>
      <c r="V172" s="45"/>
      <c r="W172" s="45">
        <v>0</v>
      </c>
      <c r="X172" s="45"/>
      <c r="Y172" s="45">
        <v>0</v>
      </c>
      <c r="Z172" s="44"/>
      <c r="AA172" s="45">
        <v>0</v>
      </c>
      <c r="AB172" s="44"/>
      <c r="AC172" s="45">
        <f t="shared" si="7"/>
        <v>4041654</v>
      </c>
      <c r="AD172" s="45"/>
      <c r="AE172" s="48">
        <v>0</v>
      </c>
      <c r="AF172" s="48"/>
      <c r="AG172" s="45">
        <v>0</v>
      </c>
      <c r="AH172" s="45"/>
      <c r="AI172" s="45">
        <v>1308785</v>
      </c>
      <c r="AJ172" s="45"/>
      <c r="AK172" s="45">
        <v>0</v>
      </c>
      <c r="AL172" s="45"/>
      <c r="AM172" s="45">
        <f>+'Gen rev'!U173-'Gen exp'!AC172-AG172+'Gen rev'!W173+AI172+AK172-'Gen Bal'!S173-'Gen exp'!AE172</f>
        <v>0</v>
      </c>
      <c r="AN172" s="55"/>
      <c r="AO172" s="55"/>
      <c r="AP172" s="55"/>
      <c r="AQ172" s="55"/>
      <c r="AR172" s="52"/>
      <c r="AS172" s="50"/>
    </row>
    <row r="173" spans="1:45" s="49" customFormat="1" ht="12.75" customHeight="1" x14ac:dyDescent="0.2">
      <c r="A173" s="28" t="s">
        <v>402</v>
      </c>
      <c r="C173" s="28" t="s">
        <v>153</v>
      </c>
      <c r="E173" s="45">
        <v>1303513</v>
      </c>
      <c r="F173" s="45"/>
      <c r="G173" s="45">
        <v>1948962</v>
      </c>
      <c r="H173" s="45"/>
      <c r="I173" s="45">
        <v>28047</v>
      </c>
      <c r="J173" s="45"/>
      <c r="K173" s="45">
        <v>0</v>
      </c>
      <c r="L173" s="45"/>
      <c r="M173" s="45">
        <v>0</v>
      </c>
      <c r="N173" s="45"/>
      <c r="O173" s="45">
        <v>57643</v>
      </c>
      <c r="P173" s="45"/>
      <c r="Q173" s="45">
        <v>0</v>
      </c>
      <c r="R173" s="45"/>
      <c r="S173" s="45">
        <v>0</v>
      </c>
      <c r="T173" s="45"/>
      <c r="U173" s="45">
        <v>0</v>
      </c>
      <c r="V173" s="45"/>
      <c r="W173" s="45">
        <v>17478</v>
      </c>
      <c r="X173" s="45"/>
      <c r="Y173" s="45">
        <v>5233</v>
      </c>
      <c r="Z173" s="44"/>
      <c r="AA173" s="45">
        <v>0</v>
      </c>
      <c r="AB173" s="44"/>
      <c r="AC173" s="45">
        <f t="shared" si="7"/>
        <v>3360876</v>
      </c>
      <c r="AD173" s="45"/>
      <c r="AE173" s="48">
        <v>0</v>
      </c>
      <c r="AF173" s="48"/>
      <c r="AG173" s="45">
        <v>204041</v>
      </c>
      <c r="AH173" s="45"/>
      <c r="AI173" s="45">
        <v>2670110</v>
      </c>
      <c r="AJ173" s="45"/>
      <c r="AK173" s="45">
        <v>0</v>
      </c>
      <c r="AL173" s="45"/>
      <c r="AM173" s="45">
        <f>+'Gen rev'!U174-'Gen exp'!AC173-AG173+'Gen rev'!W174+AI173+AK173-'Gen Bal'!S174-'Gen exp'!AE173</f>
        <v>0</v>
      </c>
      <c r="AN173" s="45"/>
      <c r="AO173" s="45"/>
      <c r="AP173" s="45"/>
      <c r="AQ173" s="45"/>
      <c r="AR173" s="52"/>
      <c r="AS173" s="50"/>
    </row>
    <row r="174" spans="1:45" s="49" customFormat="1" ht="12.75" customHeight="1" x14ac:dyDescent="0.2">
      <c r="A174" s="64" t="s">
        <v>197</v>
      </c>
      <c r="B174" s="46"/>
      <c r="C174" s="64" t="s">
        <v>163</v>
      </c>
      <c r="D174" s="46"/>
      <c r="E174" s="45">
        <v>3553283</v>
      </c>
      <c r="F174" s="45"/>
      <c r="G174" s="45">
        <v>8257168</v>
      </c>
      <c r="H174" s="45"/>
      <c r="I174" s="45">
        <v>625347</v>
      </c>
      <c r="J174" s="45"/>
      <c r="K174" s="45">
        <v>371279</v>
      </c>
      <c r="L174" s="45"/>
      <c r="M174" s="45">
        <v>2402774</v>
      </c>
      <c r="N174" s="45"/>
      <c r="O174" s="45">
        <v>6965</v>
      </c>
      <c r="P174" s="45"/>
      <c r="Q174" s="45">
        <v>0</v>
      </c>
      <c r="R174" s="45"/>
      <c r="S174" s="45">
        <v>0</v>
      </c>
      <c r="T174" s="45"/>
      <c r="U174" s="45">
        <v>0</v>
      </c>
      <c r="V174" s="45"/>
      <c r="W174" s="45">
        <v>0</v>
      </c>
      <c r="X174" s="45"/>
      <c r="Y174" s="45">
        <v>0</v>
      </c>
      <c r="Z174" s="44"/>
      <c r="AA174" s="45">
        <v>0</v>
      </c>
      <c r="AB174" s="44"/>
      <c r="AC174" s="45">
        <f t="shared" si="7"/>
        <v>15216816</v>
      </c>
      <c r="AD174" s="45"/>
      <c r="AE174" s="48">
        <v>0</v>
      </c>
      <c r="AF174" s="48"/>
      <c r="AG174" s="45">
        <v>3109990</v>
      </c>
      <c r="AH174" s="45"/>
      <c r="AI174" s="45">
        <v>15877459</v>
      </c>
      <c r="AJ174" s="45"/>
      <c r="AK174" s="45">
        <v>-115</v>
      </c>
      <c r="AL174" s="45"/>
      <c r="AM174" s="45">
        <f>+'Gen rev'!U175-'Gen exp'!AC174-AG174+'Gen rev'!W175+AI174+AK174-'Gen Bal'!S175-'Gen exp'!AE174</f>
        <v>0</v>
      </c>
      <c r="AN174" s="44"/>
      <c r="AO174" s="44"/>
      <c r="AP174" s="44"/>
      <c r="AQ174" s="44"/>
    </row>
    <row r="175" spans="1:45" s="49" customFormat="1" ht="12.75" customHeight="1" x14ac:dyDescent="0.2">
      <c r="A175" s="28" t="s">
        <v>198</v>
      </c>
      <c r="C175" s="28" t="s">
        <v>199</v>
      </c>
      <c r="E175" s="45">
        <v>1062987</v>
      </c>
      <c r="F175" s="45"/>
      <c r="G175" s="45">
        <f>1721065+544662</f>
        <v>2265727</v>
      </c>
      <c r="H175" s="45"/>
      <c r="I175" s="45">
        <v>0</v>
      </c>
      <c r="J175" s="45"/>
      <c r="K175" s="45">
        <v>179071</v>
      </c>
      <c r="L175" s="45"/>
      <c r="M175" s="45">
        <v>472864</v>
      </c>
      <c r="N175" s="45"/>
      <c r="O175" s="45">
        <v>328465</v>
      </c>
      <c r="P175" s="45"/>
      <c r="Q175" s="45">
        <v>0</v>
      </c>
      <c r="R175" s="45"/>
      <c r="S175" s="45">
        <v>0</v>
      </c>
      <c r="T175" s="45"/>
      <c r="U175" s="45">
        <v>0</v>
      </c>
      <c r="V175" s="45"/>
      <c r="W175" s="45">
        <v>0</v>
      </c>
      <c r="X175" s="45"/>
      <c r="Y175" s="45">
        <v>0</v>
      </c>
      <c r="Z175" s="44"/>
      <c r="AA175" s="45">
        <v>0</v>
      </c>
      <c r="AB175" s="44"/>
      <c r="AC175" s="45">
        <f t="shared" si="7"/>
        <v>4309114</v>
      </c>
      <c r="AD175" s="45"/>
      <c r="AE175" s="48">
        <v>0</v>
      </c>
      <c r="AF175" s="48"/>
      <c r="AG175" s="45">
        <v>1222299</v>
      </c>
      <c r="AH175" s="45"/>
      <c r="AI175" s="45">
        <v>3677201</v>
      </c>
      <c r="AJ175" s="45"/>
      <c r="AK175" s="45">
        <v>0</v>
      </c>
      <c r="AL175" s="45"/>
      <c r="AM175" s="45">
        <f>+'Gen rev'!U176-'Gen exp'!AC175-AG175+'Gen rev'!W176+AI175+AK175-'Gen Bal'!S176-'Gen exp'!AE175</f>
        <v>0</v>
      </c>
      <c r="AN175" s="44"/>
      <c r="AO175" s="44"/>
      <c r="AP175" s="44"/>
      <c r="AQ175" s="44"/>
    </row>
    <row r="176" spans="1:45" s="49" customFormat="1" ht="12.75" customHeight="1" x14ac:dyDescent="0.2">
      <c r="A176" s="28" t="s">
        <v>200</v>
      </c>
      <c r="C176" s="28" t="s">
        <v>103</v>
      </c>
      <c r="E176" s="45">
        <v>1619314</v>
      </c>
      <c r="F176" s="45"/>
      <c r="G176" s="45">
        <v>4063092</v>
      </c>
      <c r="H176" s="45"/>
      <c r="I176" s="45">
        <v>796761</v>
      </c>
      <c r="J176" s="45"/>
      <c r="K176" s="45">
        <v>124204</v>
      </c>
      <c r="L176" s="45"/>
      <c r="M176" s="45">
        <v>0</v>
      </c>
      <c r="N176" s="45"/>
      <c r="O176" s="45">
        <v>1256158</v>
      </c>
      <c r="P176" s="45"/>
      <c r="Q176" s="45">
        <v>0</v>
      </c>
      <c r="R176" s="45"/>
      <c r="S176" s="45">
        <v>0</v>
      </c>
      <c r="T176" s="45"/>
      <c r="U176" s="45">
        <v>0</v>
      </c>
      <c r="V176" s="45">
        <v>0</v>
      </c>
      <c r="W176" s="45">
        <v>0</v>
      </c>
      <c r="X176" s="45"/>
      <c r="Y176" s="45">
        <v>0</v>
      </c>
      <c r="Z176" s="44"/>
      <c r="AA176" s="45">
        <v>0</v>
      </c>
      <c r="AB176" s="44"/>
      <c r="AC176" s="45">
        <f t="shared" si="7"/>
        <v>7859529</v>
      </c>
      <c r="AD176" s="45"/>
      <c r="AE176" s="48">
        <v>0</v>
      </c>
      <c r="AF176" s="48"/>
      <c r="AG176" s="45">
        <v>1461919</v>
      </c>
      <c r="AH176" s="45"/>
      <c r="AI176" s="45">
        <v>6983784</v>
      </c>
      <c r="AJ176" s="45"/>
      <c r="AK176" s="45">
        <v>0</v>
      </c>
      <c r="AL176" s="45"/>
      <c r="AM176" s="45">
        <f>+'Gen rev'!U177-'Gen exp'!AC176-AG176+'Gen rev'!W177+AI176+AK176-'Gen Bal'!S177-'Gen exp'!AE176</f>
        <v>0</v>
      </c>
      <c r="AN176" s="45"/>
      <c r="AO176" s="45"/>
      <c r="AP176" s="45"/>
      <c r="AQ176" s="45"/>
      <c r="AR176" s="52"/>
      <c r="AS176" s="50"/>
    </row>
    <row r="177" spans="1:45" s="49" customFormat="1" ht="12.75" customHeight="1" x14ac:dyDescent="0.2">
      <c r="A177" s="28" t="s">
        <v>201</v>
      </c>
      <c r="C177" s="28" t="s">
        <v>92</v>
      </c>
      <c r="E177" s="45">
        <v>3783661</v>
      </c>
      <c r="F177" s="45"/>
      <c r="G177" s="45">
        <v>6218725</v>
      </c>
      <c r="H177" s="45"/>
      <c r="I177" s="45">
        <v>363544</v>
      </c>
      <c r="J177" s="45"/>
      <c r="K177" s="45">
        <v>125190</v>
      </c>
      <c r="L177" s="45"/>
      <c r="M177" s="45">
        <v>794841</v>
      </c>
      <c r="N177" s="45"/>
      <c r="O177" s="45">
        <v>725325</v>
      </c>
      <c r="P177" s="45"/>
      <c r="Q177" s="45">
        <v>0</v>
      </c>
      <c r="R177" s="45"/>
      <c r="S177" s="45">
        <v>0</v>
      </c>
      <c r="T177" s="45"/>
      <c r="U177" s="45">
        <v>0</v>
      </c>
      <c r="V177" s="45"/>
      <c r="W177" s="45">
        <v>58315</v>
      </c>
      <c r="X177" s="45"/>
      <c r="Y177" s="45">
        <v>16126</v>
      </c>
      <c r="Z177" s="44"/>
      <c r="AA177" s="45">
        <v>0</v>
      </c>
      <c r="AB177" s="44"/>
      <c r="AC177" s="45">
        <f t="shared" si="7"/>
        <v>12085727</v>
      </c>
      <c r="AD177" s="45"/>
      <c r="AE177" s="48">
        <v>0</v>
      </c>
      <c r="AF177" s="48"/>
      <c r="AG177" s="45">
        <v>540000</v>
      </c>
      <c r="AH177" s="45"/>
      <c r="AI177" s="45">
        <v>6595996</v>
      </c>
      <c r="AJ177" s="45"/>
      <c r="AK177" s="45">
        <v>-13392</v>
      </c>
      <c r="AL177" s="45"/>
      <c r="AM177" s="45">
        <f>+'Gen rev'!U178-'Gen exp'!AC177-AG177+'Gen rev'!W178+AI177+AK177-'Gen Bal'!S178-'Gen exp'!AE177</f>
        <v>0</v>
      </c>
      <c r="AN177" s="44"/>
      <c r="AO177" s="44"/>
      <c r="AP177" s="44"/>
      <c r="AQ177" s="44"/>
    </row>
    <row r="178" spans="1:45" s="49" customFormat="1" ht="12.75" customHeight="1" x14ac:dyDescent="0.2">
      <c r="A178" s="28" t="s">
        <v>202</v>
      </c>
      <c r="C178" s="28" t="s">
        <v>27</v>
      </c>
      <c r="E178" s="45">
        <v>16410142</v>
      </c>
      <c r="F178" s="45"/>
      <c r="G178" s="45">
        <v>21035751</v>
      </c>
      <c r="H178" s="45"/>
      <c r="I178" s="45">
        <v>694893</v>
      </c>
      <c r="J178" s="45"/>
      <c r="K178" s="45">
        <v>316924</v>
      </c>
      <c r="L178" s="45"/>
      <c r="M178" s="45">
        <v>0</v>
      </c>
      <c r="N178" s="45"/>
      <c r="O178" s="45">
        <v>2378270</v>
      </c>
      <c r="P178" s="45"/>
      <c r="Q178" s="45">
        <v>0</v>
      </c>
      <c r="R178" s="45"/>
      <c r="S178" s="45">
        <v>62732</v>
      </c>
      <c r="T178" s="45"/>
      <c r="U178" s="45">
        <v>0</v>
      </c>
      <c r="V178" s="45"/>
      <c r="W178" s="45">
        <v>0</v>
      </c>
      <c r="X178" s="45"/>
      <c r="Y178" s="45">
        <v>0</v>
      </c>
      <c r="Z178" s="44"/>
      <c r="AA178" s="45">
        <v>0</v>
      </c>
      <c r="AB178" s="44"/>
      <c r="AC178" s="45">
        <f t="shared" si="7"/>
        <v>40898712</v>
      </c>
      <c r="AD178" s="45"/>
      <c r="AE178" s="48">
        <v>0</v>
      </c>
      <c r="AF178" s="48"/>
      <c r="AG178" s="45">
        <v>3392722</v>
      </c>
      <c r="AH178" s="45"/>
      <c r="AI178" s="45">
        <v>4760131</v>
      </c>
      <c r="AJ178" s="45"/>
      <c r="AK178" s="45">
        <v>0</v>
      </c>
      <c r="AL178" s="45"/>
      <c r="AM178" s="45">
        <f>+'Gen rev'!U179-'Gen exp'!AC178-AG178+'Gen rev'!W179+AI178+AK178-'Gen Bal'!S179-'Gen exp'!AE178</f>
        <v>0</v>
      </c>
      <c r="AN178" s="44"/>
      <c r="AO178" s="44"/>
      <c r="AP178" s="44"/>
      <c r="AQ178" s="44"/>
    </row>
    <row r="179" spans="1:45" s="49" customFormat="1" ht="12.75" customHeight="1" x14ac:dyDescent="0.2">
      <c r="A179" s="64" t="s">
        <v>203</v>
      </c>
      <c r="B179" s="46"/>
      <c r="C179" s="64" t="s">
        <v>27</v>
      </c>
      <c r="D179" s="46"/>
      <c r="E179" s="45">
        <v>1847759</v>
      </c>
      <c r="F179" s="45"/>
      <c r="G179" s="45">
        <v>8941019</v>
      </c>
      <c r="H179" s="45"/>
      <c r="I179" s="45">
        <v>1960771</v>
      </c>
      <c r="J179" s="45"/>
      <c r="K179" s="45">
        <v>383470</v>
      </c>
      <c r="L179" s="45"/>
      <c r="M179" s="45">
        <v>83486</v>
      </c>
      <c r="N179" s="45"/>
      <c r="O179" s="45">
        <v>120650</v>
      </c>
      <c r="P179" s="45"/>
      <c r="Q179" s="45">
        <v>165433</v>
      </c>
      <c r="R179" s="45"/>
      <c r="S179" s="45">
        <v>0</v>
      </c>
      <c r="T179" s="45"/>
      <c r="U179" s="45">
        <v>0</v>
      </c>
      <c r="V179" s="45"/>
      <c r="W179" s="45">
        <v>160142</v>
      </c>
      <c r="X179" s="45"/>
      <c r="Y179" s="45">
        <v>24017</v>
      </c>
      <c r="Z179" s="44"/>
      <c r="AA179" s="45">
        <v>0</v>
      </c>
      <c r="AB179" s="44"/>
      <c r="AC179" s="45">
        <f t="shared" si="7"/>
        <v>13686747</v>
      </c>
      <c r="AD179" s="45"/>
      <c r="AE179" s="48">
        <v>0</v>
      </c>
      <c r="AF179" s="48"/>
      <c r="AG179" s="45">
        <v>0</v>
      </c>
      <c r="AH179" s="45"/>
      <c r="AI179" s="45">
        <v>1102230</v>
      </c>
      <c r="AJ179" s="45"/>
      <c r="AK179" s="45">
        <v>0</v>
      </c>
      <c r="AL179" s="45"/>
      <c r="AM179" s="45">
        <f>+'Gen rev'!U180-'Gen exp'!AC179-AG179+'Gen rev'!W180+AI179+AK179-'Gen Bal'!S180-'Gen exp'!AE179</f>
        <v>0</v>
      </c>
      <c r="AN179" s="45"/>
      <c r="AO179" s="45"/>
      <c r="AP179" s="45"/>
      <c r="AQ179" s="45"/>
      <c r="AR179" s="52"/>
      <c r="AS179" s="50"/>
    </row>
    <row r="180" spans="1:45" s="49" customFormat="1" ht="12.75" customHeight="1" x14ac:dyDescent="0.2">
      <c r="A180" s="28" t="s">
        <v>204</v>
      </c>
      <c r="C180" s="28" t="s">
        <v>125</v>
      </c>
      <c r="E180" s="45">
        <v>1010603</v>
      </c>
      <c r="F180" s="45"/>
      <c r="G180" s="45">
        <v>145760</v>
      </c>
      <c r="H180" s="45"/>
      <c r="I180" s="45">
        <v>253565</v>
      </c>
      <c r="J180" s="45"/>
      <c r="K180" s="45">
        <v>60486</v>
      </c>
      <c r="L180" s="45"/>
      <c r="M180" s="45">
        <v>0</v>
      </c>
      <c r="N180" s="45"/>
      <c r="O180" s="45">
        <v>24044</v>
      </c>
      <c r="P180" s="45"/>
      <c r="Q180" s="45">
        <v>0</v>
      </c>
      <c r="R180" s="45"/>
      <c r="S180" s="45">
        <v>0</v>
      </c>
      <c r="T180" s="45"/>
      <c r="U180" s="45">
        <v>0</v>
      </c>
      <c r="V180" s="45"/>
      <c r="W180" s="45">
        <v>0</v>
      </c>
      <c r="X180" s="45"/>
      <c r="Y180" s="45">
        <v>0</v>
      </c>
      <c r="Z180" s="44"/>
      <c r="AA180" s="45">
        <v>0</v>
      </c>
      <c r="AB180" s="44"/>
      <c r="AC180" s="45">
        <f t="shared" si="7"/>
        <v>1494458</v>
      </c>
      <c r="AD180" s="45"/>
      <c r="AE180" s="48">
        <v>0</v>
      </c>
      <c r="AF180" s="48"/>
      <c r="AG180" s="45">
        <v>179477</v>
      </c>
      <c r="AH180" s="45"/>
      <c r="AI180" s="45">
        <v>1693805</v>
      </c>
      <c r="AJ180" s="45"/>
      <c r="AK180" s="45">
        <v>0</v>
      </c>
      <c r="AL180" s="45"/>
      <c r="AM180" s="45">
        <f>+'Gen rev'!U181-'Gen exp'!AC180-AG180+'Gen rev'!W181+AI180+AK180-'Gen Bal'!S181-'Gen exp'!AE180</f>
        <v>0</v>
      </c>
      <c r="AN180" s="44"/>
      <c r="AO180" s="44"/>
      <c r="AP180" s="44"/>
      <c r="AQ180" s="44"/>
    </row>
    <row r="181" spans="1:45" s="49" customFormat="1" ht="12.75" customHeight="1" x14ac:dyDescent="0.2">
      <c r="A181" s="64" t="s">
        <v>205</v>
      </c>
      <c r="B181" s="46"/>
      <c r="C181" s="64" t="s">
        <v>27</v>
      </c>
      <c r="D181" s="46"/>
      <c r="E181" s="45">
        <v>1405452</v>
      </c>
      <c r="F181" s="45"/>
      <c r="G181" s="45">
        <v>2452299</v>
      </c>
      <c r="H181" s="45"/>
      <c r="I181" s="45">
        <v>295755</v>
      </c>
      <c r="J181" s="45"/>
      <c r="K181" s="45">
        <v>29471</v>
      </c>
      <c r="L181" s="45"/>
      <c r="M181" s="45">
        <v>947425</v>
      </c>
      <c r="N181" s="45"/>
      <c r="O181" s="45">
        <v>2000</v>
      </c>
      <c r="P181" s="45"/>
      <c r="Q181" s="45">
        <v>1259663</v>
      </c>
      <c r="R181" s="45"/>
      <c r="S181" s="45">
        <v>0</v>
      </c>
      <c r="T181" s="45"/>
      <c r="U181" s="45">
        <v>0</v>
      </c>
      <c r="V181" s="45"/>
      <c r="W181" s="45">
        <v>0</v>
      </c>
      <c r="X181" s="45"/>
      <c r="Y181" s="45">
        <v>0</v>
      </c>
      <c r="Z181" s="44"/>
      <c r="AA181" s="45">
        <v>0</v>
      </c>
      <c r="AB181" s="44"/>
      <c r="AC181" s="45">
        <f t="shared" si="7"/>
        <v>6392065</v>
      </c>
      <c r="AD181" s="45"/>
      <c r="AE181" s="48">
        <v>0</v>
      </c>
      <c r="AF181" s="48"/>
      <c r="AG181" s="45">
        <v>1008000</v>
      </c>
      <c r="AH181" s="45"/>
      <c r="AI181" s="45">
        <v>2745959</v>
      </c>
      <c r="AJ181" s="45"/>
      <c r="AK181" s="45">
        <v>0</v>
      </c>
      <c r="AL181" s="45"/>
      <c r="AM181" s="45">
        <f>+'Gen rev'!U182-'Gen exp'!AC181-AG181+'Gen rev'!W182+AI181+AK181-'Gen Bal'!S182-'Gen exp'!AE181</f>
        <v>0</v>
      </c>
      <c r="AN181" s="44"/>
      <c r="AO181" s="44"/>
      <c r="AP181" s="44"/>
      <c r="AQ181" s="44"/>
    </row>
    <row r="182" spans="1:45" s="46" customFormat="1" ht="12.75" customHeight="1" x14ac:dyDescent="0.2">
      <c r="A182" s="28" t="s">
        <v>206</v>
      </c>
      <c r="B182" s="49"/>
      <c r="C182" s="28" t="s">
        <v>47</v>
      </c>
      <c r="D182" s="49"/>
      <c r="E182" s="45">
        <v>4115162</v>
      </c>
      <c r="F182" s="45"/>
      <c r="G182" s="45">
        <v>7233177</v>
      </c>
      <c r="H182" s="45"/>
      <c r="I182" s="45">
        <v>412789</v>
      </c>
      <c r="J182" s="45"/>
      <c r="K182" s="45">
        <v>36327</v>
      </c>
      <c r="L182" s="45"/>
      <c r="M182" s="45">
        <v>1394576</v>
      </c>
      <c r="N182" s="45"/>
      <c r="O182" s="45">
        <v>1316737</v>
      </c>
      <c r="P182" s="45"/>
      <c r="Q182" s="45">
        <v>0</v>
      </c>
      <c r="R182" s="45"/>
      <c r="S182" s="45">
        <v>0</v>
      </c>
      <c r="T182" s="45"/>
      <c r="U182" s="45">
        <v>0</v>
      </c>
      <c r="V182" s="45"/>
      <c r="W182" s="45">
        <v>0</v>
      </c>
      <c r="X182" s="45"/>
      <c r="Y182" s="45">
        <v>0</v>
      </c>
      <c r="Z182" s="44"/>
      <c r="AA182" s="45">
        <v>0</v>
      </c>
      <c r="AB182" s="44"/>
      <c r="AC182" s="45">
        <f t="shared" si="7"/>
        <v>14508768</v>
      </c>
      <c r="AD182" s="45"/>
      <c r="AE182" s="48">
        <v>0</v>
      </c>
      <c r="AF182" s="48"/>
      <c r="AG182" s="45">
        <v>4697000</v>
      </c>
      <c r="AH182" s="45"/>
      <c r="AI182" s="45">
        <v>6027271</v>
      </c>
      <c r="AJ182" s="45"/>
      <c r="AK182" s="45">
        <v>0</v>
      </c>
      <c r="AL182" s="45"/>
      <c r="AM182" s="45">
        <f>+'Gen rev'!U183-'Gen exp'!AC182-AG182+'Gen rev'!W183+AI182+AK182-'Gen Bal'!S183-'Gen exp'!AE182</f>
        <v>0</v>
      </c>
    </row>
    <row r="183" spans="1:45" s="46" customFormat="1" ht="12.75" customHeight="1" x14ac:dyDescent="0.2">
      <c r="A183" s="28" t="s">
        <v>207</v>
      </c>
      <c r="B183" s="49"/>
      <c r="C183" s="28" t="s">
        <v>102</v>
      </c>
      <c r="D183" s="49"/>
      <c r="E183" s="45">
        <v>2466021</v>
      </c>
      <c r="F183" s="45"/>
      <c r="G183" s="45">
        <v>95147</v>
      </c>
      <c r="H183" s="45"/>
      <c r="I183" s="45">
        <v>505464</v>
      </c>
      <c r="J183" s="45"/>
      <c r="K183" s="45">
        <v>99073</v>
      </c>
      <c r="L183" s="45"/>
      <c r="M183" s="45">
        <v>0</v>
      </c>
      <c r="N183" s="45"/>
      <c r="O183" s="45">
        <v>29966</v>
      </c>
      <c r="P183" s="45"/>
      <c r="Q183" s="45">
        <v>0</v>
      </c>
      <c r="R183" s="45"/>
      <c r="S183" s="45">
        <v>32724</v>
      </c>
      <c r="T183" s="45"/>
      <c r="U183" s="45">
        <v>0</v>
      </c>
      <c r="V183" s="45"/>
      <c r="W183" s="45">
        <v>7512</v>
      </c>
      <c r="X183" s="45"/>
      <c r="Y183" s="45">
        <v>3522</v>
      </c>
      <c r="Z183" s="44"/>
      <c r="AA183" s="45">
        <v>0</v>
      </c>
      <c r="AB183" s="44"/>
      <c r="AC183" s="45">
        <f t="shared" si="7"/>
        <v>3239429</v>
      </c>
      <c r="AD183" s="45"/>
      <c r="AE183" s="48">
        <v>0</v>
      </c>
      <c r="AF183" s="48"/>
      <c r="AG183" s="45">
        <v>3797110</v>
      </c>
      <c r="AH183" s="45"/>
      <c r="AI183" s="45">
        <v>3625992</v>
      </c>
      <c r="AJ183" s="45"/>
      <c r="AK183" s="45">
        <v>0</v>
      </c>
      <c r="AL183" s="45"/>
      <c r="AM183" s="45">
        <f>+'Gen rev'!U184-'Gen exp'!AC183-AG183+'Gen rev'!W184+AI183+AK183-'Gen Bal'!S184-'Gen exp'!AE183</f>
        <v>0</v>
      </c>
    </row>
    <row r="184" spans="1:45" s="49" customFormat="1" ht="12.75" customHeight="1" x14ac:dyDescent="0.2">
      <c r="A184" s="28" t="s">
        <v>208</v>
      </c>
      <c r="C184" s="28" t="s">
        <v>209</v>
      </c>
      <c r="E184" s="45">
        <v>1210761</v>
      </c>
      <c r="F184" s="45"/>
      <c r="G184" s="45">
        <v>7182206</v>
      </c>
      <c r="H184" s="45"/>
      <c r="I184" s="45">
        <v>56536</v>
      </c>
      <c r="J184" s="45"/>
      <c r="K184" s="45">
        <v>324325</v>
      </c>
      <c r="L184" s="45"/>
      <c r="M184" s="45">
        <v>5220</v>
      </c>
      <c r="N184" s="45"/>
      <c r="O184" s="45">
        <v>361895</v>
      </c>
      <c r="P184" s="45"/>
      <c r="Q184" s="45">
        <v>0</v>
      </c>
      <c r="R184" s="45"/>
      <c r="S184" s="45">
        <v>135955</v>
      </c>
      <c r="T184" s="45"/>
      <c r="U184" s="45">
        <v>0</v>
      </c>
      <c r="V184" s="45"/>
      <c r="W184" s="45">
        <v>0</v>
      </c>
      <c r="X184" s="45"/>
      <c r="Y184" s="45">
        <v>0</v>
      </c>
      <c r="Z184" s="44"/>
      <c r="AA184" s="45">
        <v>0</v>
      </c>
      <c r="AB184" s="44"/>
      <c r="AC184" s="45">
        <f t="shared" si="7"/>
        <v>9276898</v>
      </c>
      <c r="AD184" s="45"/>
      <c r="AE184" s="48">
        <v>0</v>
      </c>
      <c r="AF184" s="48"/>
      <c r="AG184" s="45">
        <v>2485986</v>
      </c>
      <c r="AH184" s="45"/>
      <c r="AI184" s="45">
        <v>20519859</v>
      </c>
      <c r="AJ184" s="45"/>
      <c r="AK184" s="45">
        <v>0</v>
      </c>
      <c r="AL184" s="45"/>
      <c r="AM184" s="45">
        <f>+'Gen rev'!U185-'Gen exp'!AC184-AG184+'Gen rev'!W185+AI184+AK184-'Gen Bal'!S185-'Gen exp'!AE184</f>
        <v>0</v>
      </c>
      <c r="AN184" s="45"/>
      <c r="AO184" s="45"/>
      <c r="AP184" s="45"/>
      <c r="AQ184" s="45"/>
      <c r="AR184" s="52"/>
      <c r="AS184" s="50"/>
    </row>
    <row r="185" spans="1:45" s="49" customFormat="1" ht="12.75" customHeight="1" x14ac:dyDescent="0.2">
      <c r="A185" s="47" t="s">
        <v>210</v>
      </c>
      <c r="C185" s="47" t="s">
        <v>211</v>
      </c>
      <c r="E185" s="45">
        <v>1363370</v>
      </c>
      <c r="F185" s="45"/>
      <c r="G185" s="45">
        <v>1751926</v>
      </c>
      <c r="H185" s="45"/>
      <c r="I185" s="45">
        <v>10648</v>
      </c>
      <c r="J185" s="45"/>
      <c r="K185" s="45">
        <v>192033</v>
      </c>
      <c r="L185" s="45"/>
      <c r="M185" s="45">
        <v>0</v>
      </c>
      <c r="N185" s="45"/>
      <c r="O185" s="45">
        <v>54763</v>
      </c>
      <c r="P185" s="45"/>
      <c r="Q185" s="45">
        <v>0</v>
      </c>
      <c r="R185" s="45"/>
      <c r="S185" s="45">
        <v>0</v>
      </c>
      <c r="T185" s="45"/>
      <c r="U185" s="45">
        <v>0</v>
      </c>
      <c r="V185" s="45"/>
      <c r="W185" s="45">
        <v>4423</v>
      </c>
      <c r="X185" s="45"/>
      <c r="Y185" s="45">
        <v>1101</v>
      </c>
      <c r="Z185" s="44"/>
      <c r="AA185" s="45">
        <v>0</v>
      </c>
      <c r="AB185" s="44"/>
      <c r="AC185" s="45">
        <f t="shared" si="7"/>
        <v>3378264</v>
      </c>
      <c r="AD185" s="45"/>
      <c r="AE185" s="48">
        <v>0</v>
      </c>
      <c r="AF185" s="48"/>
      <c r="AG185" s="45">
        <v>400242</v>
      </c>
      <c r="AH185" s="45"/>
      <c r="AI185" s="45">
        <v>925438</v>
      </c>
      <c r="AJ185" s="45"/>
      <c r="AK185" s="45">
        <v>0</v>
      </c>
      <c r="AL185" s="45"/>
      <c r="AM185" s="45">
        <f>+'Gen rev'!U186-'Gen exp'!AC185-AG185+'Gen rev'!W186+AI185+AK185-'Gen Bal'!S186-'Gen exp'!AE185</f>
        <v>0</v>
      </c>
      <c r="AN185" s="44"/>
      <c r="AO185" s="44"/>
      <c r="AP185" s="44"/>
      <c r="AQ185" s="44"/>
      <c r="AR185" s="52"/>
      <c r="AS185" s="50"/>
    </row>
    <row r="186" spans="1:45" s="46" customFormat="1" ht="12.75" customHeight="1" x14ac:dyDescent="0.2">
      <c r="A186" s="47" t="s">
        <v>212</v>
      </c>
      <c r="B186" s="49"/>
      <c r="C186" s="47" t="s">
        <v>213</v>
      </c>
      <c r="D186" s="49"/>
      <c r="E186" s="45">
        <v>2848726</v>
      </c>
      <c r="F186" s="45"/>
      <c r="G186" s="45">
        <v>7375273</v>
      </c>
      <c r="H186" s="45"/>
      <c r="I186" s="45">
        <v>216589</v>
      </c>
      <c r="J186" s="45"/>
      <c r="K186" s="45">
        <v>633149</v>
      </c>
      <c r="L186" s="45"/>
      <c r="M186" s="45">
        <v>366081</v>
      </c>
      <c r="N186" s="45"/>
      <c r="O186" s="45">
        <v>0</v>
      </c>
      <c r="P186" s="45"/>
      <c r="Q186" s="45">
        <v>0</v>
      </c>
      <c r="R186" s="45"/>
      <c r="S186" s="45">
        <v>0</v>
      </c>
      <c r="T186" s="45"/>
      <c r="U186" s="45">
        <v>0</v>
      </c>
      <c r="V186" s="45"/>
      <c r="W186" s="45">
        <v>0</v>
      </c>
      <c r="X186" s="45"/>
      <c r="Y186" s="45">
        <v>0</v>
      </c>
      <c r="Z186" s="44"/>
      <c r="AA186" s="45">
        <v>0</v>
      </c>
      <c r="AB186" s="44"/>
      <c r="AC186" s="45">
        <f t="shared" si="7"/>
        <v>11439818</v>
      </c>
      <c r="AD186" s="45"/>
      <c r="AE186" s="48">
        <v>0</v>
      </c>
      <c r="AF186" s="48"/>
      <c r="AG186" s="45">
        <v>18000</v>
      </c>
      <c r="AH186" s="45"/>
      <c r="AI186" s="45">
        <v>-530043</v>
      </c>
      <c r="AJ186" s="45"/>
      <c r="AK186" s="45">
        <v>24704</v>
      </c>
      <c r="AL186" s="45"/>
      <c r="AM186" s="45">
        <f>+'Gen rev'!U187-'Gen exp'!AC186-AG186+'Gen rev'!W187+AI186+AK186-'Gen Bal'!S187-'Gen exp'!AE186</f>
        <v>0</v>
      </c>
      <c r="AN186" s="94"/>
      <c r="AO186" s="94"/>
      <c r="AP186" s="94"/>
      <c r="AQ186" s="94"/>
      <c r="AR186" s="90"/>
      <c r="AS186" s="64"/>
    </row>
    <row r="187" spans="1:45" s="44" customFormat="1" ht="12.75" hidden="1" customHeight="1" x14ac:dyDescent="0.2">
      <c r="A187" s="44" t="s">
        <v>214</v>
      </c>
      <c r="C187" s="44" t="s">
        <v>86</v>
      </c>
      <c r="E187" s="45">
        <v>1548566</v>
      </c>
      <c r="F187" s="45"/>
      <c r="G187" s="45">
        <v>2166964</v>
      </c>
      <c r="H187" s="45"/>
      <c r="I187" s="45">
        <v>843701</v>
      </c>
      <c r="J187" s="45"/>
      <c r="K187" s="45">
        <v>0</v>
      </c>
      <c r="L187" s="45"/>
      <c r="M187" s="45">
        <v>0</v>
      </c>
      <c r="N187" s="45"/>
      <c r="O187" s="45">
        <v>415098</v>
      </c>
      <c r="P187" s="45"/>
      <c r="Q187" s="45">
        <v>621241</v>
      </c>
      <c r="R187" s="45"/>
      <c r="S187" s="45">
        <v>0</v>
      </c>
      <c r="T187" s="45"/>
      <c r="U187" s="45">
        <v>0</v>
      </c>
      <c r="V187" s="45"/>
      <c r="W187" s="45">
        <v>0</v>
      </c>
      <c r="X187" s="45"/>
      <c r="Y187" s="45">
        <v>0</v>
      </c>
      <c r="AA187" s="45">
        <v>0</v>
      </c>
      <c r="AC187" s="45">
        <f t="shared" si="7"/>
        <v>5595570</v>
      </c>
      <c r="AD187" s="45"/>
      <c r="AE187" s="48">
        <v>0</v>
      </c>
      <c r="AF187" s="48"/>
      <c r="AG187" s="45">
        <v>322500</v>
      </c>
      <c r="AH187" s="45"/>
      <c r="AI187" s="45">
        <v>6441017</v>
      </c>
      <c r="AJ187" s="45"/>
      <c r="AK187" s="45">
        <v>0</v>
      </c>
      <c r="AL187" s="45"/>
      <c r="AM187" s="45">
        <f>+'Gen rev'!U188-'Gen exp'!AC187-AG187+'Gen rev'!W188+AI187+AK187-'Gen Bal'!S188-'Gen exp'!AE187</f>
        <v>0</v>
      </c>
      <c r="AN187" s="45"/>
      <c r="AO187" s="45"/>
      <c r="AP187" s="45"/>
      <c r="AQ187" s="45"/>
      <c r="AR187" s="55"/>
      <c r="AS187" s="35"/>
    </row>
    <row r="188" spans="1:45" s="46" customFormat="1" ht="12.75" customHeight="1" x14ac:dyDescent="0.2">
      <c r="A188" s="28" t="s">
        <v>215</v>
      </c>
      <c r="B188" s="49"/>
      <c r="C188" s="28" t="s">
        <v>22</v>
      </c>
      <c r="D188" s="49"/>
      <c r="E188" s="45">
        <v>1569112</v>
      </c>
      <c r="F188" s="45"/>
      <c r="G188" s="45">
        <f>3012730+1193011</f>
        <v>4205741</v>
      </c>
      <c r="H188" s="45"/>
      <c r="I188" s="45">
        <v>68232</v>
      </c>
      <c r="J188" s="45"/>
      <c r="K188" s="45">
        <v>242073</v>
      </c>
      <c r="L188" s="45"/>
      <c r="M188" s="45">
        <v>0</v>
      </c>
      <c r="N188" s="45"/>
      <c r="O188" s="45">
        <v>0</v>
      </c>
      <c r="P188" s="45"/>
      <c r="Q188" s="45">
        <v>0</v>
      </c>
      <c r="R188" s="45"/>
      <c r="S188" s="45">
        <v>0</v>
      </c>
      <c r="T188" s="45"/>
      <c r="U188" s="45">
        <v>0</v>
      </c>
      <c r="V188" s="45"/>
      <c r="W188" s="45">
        <v>37329</v>
      </c>
      <c r="X188" s="45"/>
      <c r="Y188" s="45">
        <v>2420</v>
      </c>
      <c r="Z188" s="44"/>
      <c r="AA188" s="45">
        <v>0</v>
      </c>
      <c r="AB188" s="44"/>
      <c r="AC188" s="45">
        <f t="shared" si="7"/>
        <v>6124907</v>
      </c>
      <c r="AD188" s="45"/>
      <c r="AE188" s="48">
        <v>0</v>
      </c>
      <c r="AF188" s="48"/>
      <c r="AG188" s="45">
        <v>616642</v>
      </c>
      <c r="AH188" s="45"/>
      <c r="AI188" s="45">
        <v>2709158</v>
      </c>
      <c r="AJ188" s="45"/>
      <c r="AK188" s="45">
        <v>0</v>
      </c>
      <c r="AL188" s="45"/>
      <c r="AM188" s="45">
        <f>+'Gen rev'!U189-'Gen exp'!AC188-AG188+'Gen rev'!W189+AI188+AK188-'Gen Bal'!S189-'Gen exp'!AE188</f>
        <v>0</v>
      </c>
      <c r="AN188" s="94"/>
      <c r="AO188" s="94"/>
      <c r="AP188" s="94"/>
      <c r="AQ188" s="94"/>
      <c r="AR188" s="90"/>
      <c r="AS188" s="64"/>
    </row>
    <row r="189" spans="1:45" s="49" customFormat="1" ht="12.75" customHeight="1" x14ac:dyDescent="0.2">
      <c r="A189" s="64" t="s">
        <v>216</v>
      </c>
      <c r="B189" s="46"/>
      <c r="C189" s="64" t="s">
        <v>45</v>
      </c>
      <c r="D189" s="46"/>
      <c r="E189" s="45">
        <v>1867817</v>
      </c>
      <c r="F189" s="45"/>
      <c r="G189" s="45">
        <v>5087778</v>
      </c>
      <c r="H189" s="45"/>
      <c r="I189" s="45">
        <v>171312</v>
      </c>
      <c r="J189" s="45"/>
      <c r="K189" s="45">
        <v>5190</v>
      </c>
      <c r="L189" s="45"/>
      <c r="M189" s="45">
        <v>1887</v>
      </c>
      <c r="N189" s="45"/>
      <c r="O189" s="45">
        <v>435217</v>
      </c>
      <c r="P189" s="45"/>
      <c r="Q189" s="45">
        <v>473346</v>
      </c>
      <c r="R189" s="45"/>
      <c r="S189" s="45">
        <v>0</v>
      </c>
      <c r="T189" s="45"/>
      <c r="U189" s="45">
        <v>0</v>
      </c>
      <c r="V189" s="45"/>
      <c r="W189" s="45">
        <v>50000</v>
      </c>
      <c r="X189" s="45"/>
      <c r="Y189" s="45">
        <v>20400</v>
      </c>
      <c r="Z189" s="44"/>
      <c r="AA189" s="45">
        <v>0</v>
      </c>
      <c r="AB189" s="44"/>
      <c r="AC189" s="45">
        <f t="shared" si="7"/>
        <v>8112947</v>
      </c>
      <c r="AD189" s="45"/>
      <c r="AE189" s="48">
        <v>0</v>
      </c>
      <c r="AF189" s="48"/>
      <c r="AG189" s="45">
        <v>77630</v>
      </c>
      <c r="AH189" s="45"/>
      <c r="AI189" s="45">
        <v>78303</v>
      </c>
      <c r="AJ189" s="45"/>
      <c r="AK189" s="45">
        <v>0</v>
      </c>
      <c r="AL189" s="45"/>
      <c r="AM189" s="45">
        <f>+'Gen rev'!U190-'Gen exp'!AC189-AG189+'Gen rev'!W190+AI189+AK189-'Gen Bal'!S190-'Gen exp'!AE189</f>
        <v>0</v>
      </c>
      <c r="AN189" s="45"/>
      <c r="AO189" s="45"/>
      <c r="AP189" s="45"/>
      <c r="AQ189" s="45"/>
      <c r="AR189" s="52"/>
      <c r="AS189" s="50"/>
    </row>
    <row r="190" spans="1:45" s="49" customFormat="1" ht="12.75" customHeight="1" x14ac:dyDescent="0.2">
      <c r="A190" s="28"/>
      <c r="C190" s="28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4"/>
      <c r="AA190" s="45"/>
      <c r="AB190" s="44"/>
      <c r="AC190" s="45"/>
      <c r="AD190" s="45"/>
      <c r="AE190" s="48"/>
      <c r="AF190" s="48"/>
      <c r="AG190" s="48" t="s">
        <v>484</v>
      </c>
      <c r="AH190" s="45"/>
      <c r="AI190" s="45"/>
      <c r="AJ190" s="45"/>
      <c r="AK190" s="45"/>
      <c r="AL190" s="45"/>
      <c r="AM190" s="45"/>
      <c r="AN190" s="44"/>
      <c r="AO190" s="44"/>
      <c r="AP190" s="44"/>
      <c r="AQ190" s="44"/>
    </row>
    <row r="191" spans="1:45" s="46" customFormat="1" ht="12.75" customHeight="1" x14ac:dyDescent="0.2">
      <c r="A191" s="64" t="s">
        <v>217</v>
      </c>
      <c r="C191" s="64" t="s">
        <v>43</v>
      </c>
      <c r="E191" s="94">
        <v>2998187</v>
      </c>
      <c r="F191" s="94"/>
      <c r="G191" s="94">
        <v>7722043</v>
      </c>
      <c r="H191" s="94"/>
      <c r="I191" s="94">
        <v>1097044</v>
      </c>
      <c r="J191" s="94"/>
      <c r="K191" s="94">
        <v>205060</v>
      </c>
      <c r="L191" s="94"/>
      <c r="M191" s="94">
        <v>0</v>
      </c>
      <c r="N191" s="94"/>
      <c r="O191" s="94">
        <v>970662</v>
      </c>
      <c r="P191" s="94"/>
      <c r="Q191" s="94">
        <v>0</v>
      </c>
      <c r="R191" s="94"/>
      <c r="S191" s="94">
        <v>0</v>
      </c>
      <c r="T191" s="94"/>
      <c r="U191" s="94">
        <v>0</v>
      </c>
      <c r="V191" s="94"/>
      <c r="W191" s="94">
        <v>0</v>
      </c>
      <c r="X191" s="94"/>
      <c r="Y191" s="94">
        <v>0</v>
      </c>
      <c r="AA191" s="94">
        <v>0</v>
      </c>
      <c r="AC191" s="94">
        <f t="shared" si="7"/>
        <v>12992996</v>
      </c>
      <c r="AD191" s="94"/>
      <c r="AE191" s="68">
        <v>0</v>
      </c>
      <c r="AF191" s="68"/>
      <c r="AG191" s="94">
        <v>0</v>
      </c>
      <c r="AH191" s="94"/>
      <c r="AI191" s="94">
        <v>3471756</v>
      </c>
      <c r="AJ191" s="94"/>
      <c r="AK191" s="94">
        <v>2670</v>
      </c>
      <c r="AL191" s="94"/>
      <c r="AM191" s="94">
        <f>+'Gen rev'!U191-'Gen exp'!AC191-AG191+'Gen rev'!W191+AI191+AK191-'Gen Bal'!S191-'Gen exp'!AE191</f>
        <v>0</v>
      </c>
    </row>
    <row r="192" spans="1:45" s="49" customFormat="1" ht="12.75" customHeight="1" x14ac:dyDescent="0.2">
      <c r="A192" s="64" t="s">
        <v>218</v>
      </c>
      <c r="B192" s="46"/>
      <c r="C192" s="64" t="s">
        <v>27</v>
      </c>
      <c r="D192" s="46"/>
      <c r="E192" s="45">
        <v>1506503</v>
      </c>
      <c r="F192" s="45"/>
      <c r="G192" s="45">
        <v>2615499</v>
      </c>
      <c r="H192" s="45"/>
      <c r="I192" s="45">
        <v>415445</v>
      </c>
      <c r="J192" s="45"/>
      <c r="K192" s="45">
        <v>0</v>
      </c>
      <c r="L192" s="45"/>
      <c r="M192" s="45">
        <v>1130310</v>
      </c>
      <c r="N192" s="45"/>
      <c r="O192" s="45">
        <v>214970</v>
      </c>
      <c r="P192" s="45"/>
      <c r="Q192" s="45">
        <v>0</v>
      </c>
      <c r="R192" s="45"/>
      <c r="S192" s="45">
        <v>0</v>
      </c>
      <c r="T192" s="45"/>
      <c r="U192" s="45">
        <v>0</v>
      </c>
      <c r="V192" s="45"/>
      <c r="W192" s="45">
        <v>0</v>
      </c>
      <c r="X192" s="45"/>
      <c r="Y192" s="45">
        <v>0</v>
      </c>
      <c r="Z192" s="44"/>
      <c r="AA192" s="45">
        <v>0</v>
      </c>
      <c r="AB192" s="44"/>
      <c r="AC192" s="45">
        <f t="shared" si="7"/>
        <v>5882727</v>
      </c>
      <c r="AD192" s="45"/>
      <c r="AE192" s="48">
        <v>0</v>
      </c>
      <c r="AF192" s="48"/>
      <c r="AG192" s="45">
        <v>2747775</v>
      </c>
      <c r="AH192" s="45"/>
      <c r="AI192" s="45">
        <v>1467772</v>
      </c>
      <c r="AJ192" s="45"/>
      <c r="AK192" s="45">
        <v>0</v>
      </c>
      <c r="AL192" s="45"/>
      <c r="AM192" s="45">
        <f>+'Gen rev'!U192-'Gen exp'!AC192-AG192+'Gen rev'!W192+AI192+AK192-'Gen Bal'!S192-'Gen exp'!AE192</f>
        <v>0</v>
      </c>
      <c r="AN192" s="44"/>
      <c r="AO192" s="44"/>
      <c r="AP192" s="44"/>
      <c r="AQ192" s="44"/>
    </row>
    <row r="193" spans="1:45" s="49" customFormat="1" ht="12.75" customHeight="1" x14ac:dyDescent="0.2">
      <c r="A193" s="28" t="s">
        <v>219</v>
      </c>
      <c r="C193" s="28" t="s">
        <v>199</v>
      </c>
      <c r="E193" s="45">
        <v>609815</v>
      </c>
      <c r="F193" s="45"/>
      <c r="G193" s="45">
        <v>988232</v>
      </c>
      <c r="H193" s="45"/>
      <c r="I193" s="45">
        <v>0</v>
      </c>
      <c r="J193" s="45"/>
      <c r="K193" s="45">
        <v>94568</v>
      </c>
      <c r="L193" s="45"/>
      <c r="M193" s="45">
        <v>149213</v>
      </c>
      <c r="N193" s="45"/>
      <c r="O193" s="45">
        <v>393454</v>
      </c>
      <c r="P193" s="45"/>
      <c r="Q193" s="45">
        <v>412392</v>
      </c>
      <c r="R193" s="45"/>
      <c r="S193" s="45">
        <v>0</v>
      </c>
      <c r="T193" s="45"/>
      <c r="U193" s="45">
        <v>0</v>
      </c>
      <c r="V193" s="45"/>
      <c r="W193" s="45">
        <v>0</v>
      </c>
      <c r="X193" s="45"/>
      <c r="Y193" s="45">
        <v>0</v>
      </c>
      <c r="Z193" s="44"/>
      <c r="AA193" s="45">
        <v>0</v>
      </c>
      <c r="AB193" s="44"/>
      <c r="AC193" s="45">
        <f t="shared" si="7"/>
        <v>2647674</v>
      </c>
      <c r="AD193" s="45"/>
      <c r="AE193" s="48">
        <v>0</v>
      </c>
      <c r="AF193" s="48"/>
      <c r="AG193" s="45">
        <v>77000</v>
      </c>
      <c r="AH193" s="45"/>
      <c r="AI193" s="45">
        <v>828444</v>
      </c>
      <c r="AJ193" s="45"/>
      <c r="AK193" s="45">
        <v>0</v>
      </c>
      <c r="AL193" s="45"/>
      <c r="AM193" s="45">
        <f>+'Gen rev'!U193-'Gen exp'!AC193-AG193+'Gen rev'!W193+AI193+AK193-'Gen Bal'!S193-'Gen exp'!AE193</f>
        <v>0</v>
      </c>
      <c r="AN193" s="44"/>
      <c r="AO193" s="44"/>
      <c r="AP193" s="44"/>
      <c r="AQ193" s="44"/>
    </row>
    <row r="194" spans="1:45" s="49" customFormat="1" ht="12.75" customHeight="1" x14ac:dyDescent="0.2">
      <c r="A194" s="28" t="s">
        <v>220</v>
      </c>
      <c r="C194" s="28" t="s">
        <v>66</v>
      </c>
      <c r="E194" s="45">
        <v>1042235</v>
      </c>
      <c r="F194" s="45"/>
      <c r="G194" s="45">
        <v>0</v>
      </c>
      <c r="H194" s="45"/>
      <c r="I194" s="45">
        <v>246020</v>
      </c>
      <c r="J194" s="45"/>
      <c r="K194" s="45">
        <v>0</v>
      </c>
      <c r="L194" s="45"/>
      <c r="M194" s="45">
        <v>0</v>
      </c>
      <c r="N194" s="45"/>
      <c r="O194" s="45">
        <v>46000</v>
      </c>
      <c r="P194" s="45"/>
      <c r="Q194" s="45">
        <v>0</v>
      </c>
      <c r="R194" s="45"/>
      <c r="S194" s="45">
        <v>1011</v>
      </c>
      <c r="T194" s="45"/>
      <c r="U194" s="45">
        <v>0</v>
      </c>
      <c r="V194" s="45"/>
      <c r="W194" s="45">
        <v>0</v>
      </c>
      <c r="X194" s="45"/>
      <c r="Y194" s="45">
        <v>0</v>
      </c>
      <c r="Z194" s="44"/>
      <c r="AA194" s="45">
        <v>0</v>
      </c>
      <c r="AB194" s="44"/>
      <c r="AC194" s="45">
        <f t="shared" si="7"/>
        <v>1335266</v>
      </c>
      <c r="AD194" s="45"/>
      <c r="AE194" s="48">
        <v>0</v>
      </c>
      <c r="AF194" s="48"/>
      <c r="AG194" s="45">
        <v>1772468</v>
      </c>
      <c r="AH194" s="45"/>
      <c r="AI194" s="45">
        <v>7170965</v>
      </c>
      <c r="AJ194" s="45"/>
      <c r="AK194" s="45">
        <v>0</v>
      </c>
      <c r="AL194" s="45"/>
      <c r="AM194" s="45">
        <f>+'Gen rev'!U194-'Gen exp'!AC194-AG194+'Gen rev'!W194+AI194+AK194-'Gen Bal'!S194-'Gen exp'!AE194</f>
        <v>0</v>
      </c>
      <c r="AN194" s="44"/>
      <c r="AO194" s="44"/>
      <c r="AP194" s="44"/>
      <c r="AQ194" s="44"/>
    </row>
    <row r="195" spans="1:45" s="49" customFormat="1" ht="12.75" customHeight="1" x14ac:dyDescent="0.2">
      <c r="A195" s="28" t="s">
        <v>221</v>
      </c>
      <c r="C195" s="28" t="s">
        <v>27</v>
      </c>
      <c r="E195" s="45">
        <v>4867661</v>
      </c>
      <c r="F195" s="45"/>
      <c r="G195" s="45">
        <v>7659442</v>
      </c>
      <c r="H195" s="45"/>
      <c r="I195" s="45">
        <v>807866</v>
      </c>
      <c r="J195" s="45"/>
      <c r="K195" s="45">
        <v>0</v>
      </c>
      <c r="L195" s="45"/>
      <c r="M195" s="45">
        <v>661109</v>
      </c>
      <c r="N195" s="45"/>
      <c r="O195" s="45">
        <v>394555</v>
      </c>
      <c r="P195" s="45"/>
      <c r="Q195" s="45">
        <v>0</v>
      </c>
      <c r="R195" s="45"/>
      <c r="S195" s="45">
        <v>12024</v>
      </c>
      <c r="T195" s="45"/>
      <c r="U195" s="45">
        <v>0</v>
      </c>
      <c r="V195" s="45"/>
      <c r="W195" s="45">
        <v>0</v>
      </c>
      <c r="X195" s="45"/>
      <c r="Y195" s="45">
        <v>0</v>
      </c>
      <c r="Z195" s="44"/>
      <c r="AA195" s="45">
        <v>0</v>
      </c>
      <c r="AB195" s="44"/>
      <c r="AC195" s="45">
        <f t="shared" si="7"/>
        <v>14402657</v>
      </c>
      <c r="AD195" s="45"/>
      <c r="AE195" s="48">
        <v>0</v>
      </c>
      <c r="AF195" s="48"/>
      <c r="AG195" s="45">
        <v>3680000</v>
      </c>
      <c r="AH195" s="45"/>
      <c r="AI195" s="45">
        <v>3554647</v>
      </c>
      <c r="AJ195" s="45"/>
      <c r="AK195" s="45">
        <v>0</v>
      </c>
      <c r="AL195" s="45"/>
      <c r="AM195" s="45">
        <f>+'Gen rev'!U195-'Gen exp'!AC195-AG195+'Gen rev'!W195+AI195+AK195-'Gen Bal'!S195-'Gen exp'!AE195</f>
        <v>0</v>
      </c>
      <c r="AN195" s="44"/>
      <c r="AO195" s="44"/>
      <c r="AP195" s="44"/>
      <c r="AQ195" s="44"/>
    </row>
    <row r="196" spans="1:45" s="49" customFormat="1" ht="12.75" customHeight="1" x14ac:dyDescent="0.2">
      <c r="A196" s="28" t="s">
        <v>222</v>
      </c>
      <c r="C196" s="28" t="s">
        <v>47</v>
      </c>
      <c r="E196" s="45">
        <v>1317505</v>
      </c>
      <c r="F196" s="45"/>
      <c r="G196" s="45">
        <v>1834185</v>
      </c>
      <c r="H196" s="45"/>
      <c r="I196" s="45">
        <v>0</v>
      </c>
      <c r="J196" s="45"/>
      <c r="K196" s="45">
        <v>0</v>
      </c>
      <c r="L196" s="45"/>
      <c r="M196" s="45">
        <v>671880</v>
      </c>
      <c r="N196" s="45"/>
      <c r="O196" s="45">
        <v>8202</v>
      </c>
      <c r="P196" s="45"/>
      <c r="Q196" s="45">
        <v>240951</v>
      </c>
      <c r="R196" s="45"/>
      <c r="S196" s="45">
        <v>1095</v>
      </c>
      <c r="T196" s="45"/>
      <c r="U196" s="45">
        <v>0</v>
      </c>
      <c r="V196" s="45"/>
      <c r="W196" s="45">
        <v>0</v>
      </c>
      <c r="X196" s="45"/>
      <c r="Y196" s="45">
        <v>0</v>
      </c>
      <c r="Z196" s="44"/>
      <c r="AA196" s="45">
        <v>0</v>
      </c>
      <c r="AB196" s="44"/>
      <c r="AC196" s="45">
        <f t="shared" si="7"/>
        <v>4073818</v>
      </c>
      <c r="AD196" s="45"/>
      <c r="AE196" s="48">
        <v>0</v>
      </c>
      <c r="AF196" s="48"/>
      <c r="AG196" s="45">
        <v>660000</v>
      </c>
      <c r="AH196" s="45"/>
      <c r="AI196" s="45">
        <v>4412037</v>
      </c>
      <c r="AJ196" s="45"/>
      <c r="AK196" s="45">
        <v>0</v>
      </c>
      <c r="AL196" s="45"/>
      <c r="AM196" s="45">
        <f>+'Gen rev'!U196-'Gen exp'!AC196-AG196+'Gen rev'!W196+AI196+AK196-'Gen Bal'!S196-'Gen exp'!AE196</f>
        <v>0</v>
      </c>
      <c r="AN196" s="44"/>
      <c r="AO196" s="44"/>
      <c r="AP196" s="44"/>
      <c r="AQ196" s="44"/>
    </row>
    <row r="197" spans="1:45" s="49" customFormat="1" ht="12.75" customHeight="1" x14ac:dyDescent="0.2">
      <c r="A197" s="28" t="s">
        <v>223</v>
      </c>
      <c r="C197" s="28" t="s">
        <v>94</v>
      </c>
      <c r="E197" s="45">
        <v>1305359</v>
      </c>
      <c r="F197" s="45"/>
      <c r="G197" s="45">
        <v>2764471</v>
      </c>
      <c r="H197" s="45"/>
      <c r="I197" s="45">
        <v>103005</v>
      </c>
      <c r="J197" s="45"/>
      <c r="K197" s="45">
        <v>0</v>
      </c>
      <c r="L197" s="45"/>
      <c r="M197" s="45">
        <v>12181</v>
      </c>
      <c r="N197" s="45"/>
      <c r="O197" s="45">
        <v>0</v>
      </c>
      <c r="P197" s="45"/>
      <c r="Q197" s="45">
        <v>0</v>
      </c>
      <c r="R197" s="45"/>
      <c r="S197" s="45">
        <v>0</v>
      </c>
      <c r="T197" s="45"/>
      <c r="U197" s="45">
        <v>0</v>
      </c>
      <c r="V197" s="45"/>
      <c r="W197" s="45">
        <v>0</v>
      </c>
      <c r="X197" s="45"/>
      <c r="Y197" s="45">
        <v>0</v>
      </c>
      <c r="Z197" s="44"/>
      <c r="AA197" s="45">
        <v>0</v>
      </c>
      <c r="AB197" s="44"/>
      <c r="AC197" s="45">
        <f t="shared" si="7"/>
        <v>4185016</v>
      </c>
      <c r="AD197" s="45"/>
      <c r="AE197" s="48">
        <v>0</v>
      </c>
      <c r="AF197" s="48"/>
      <c r="AG197" s="45">
        <v>297483</v>
      </c>
      <c r="AH197" s="45"/>
      <c r="AI197" s="45">
        <v>1147916</v>
      </c>
      <c r="AJ197" s="45"/>
      <c r="AK197" s="45">
        <v>0</v>
      </c>
      <c r="AL197" s="45"/>
      <c r="AM197" s="45">
        <f>+'Gen rev'!U197-'Gen exp'!AC197-AG197+'Gen rev'!W197+AI197+AK197-'Gen Bal'!S197-'Gen exp'!AE197</f>
        <v>0</v>
      </c>
      <c r="AN197" s="44"/>
      <c r="AO197" s="44"/>
      <c r="AP197" s="44"/>
      <c r="AQ197" s="44"/>
    </row>
    <row r="198" spans="1:45" s="49" customFormat="1" ht="12.75" customHeight="1" x14ac:dyDescent="0.2">
      <c r="A198" s="28" t="s">
        <v>76</v>
      </c>
      <c r="C198" s="28" t="s">
        <v>132</v>
      </c>
      <c r="E198" s="45">
        <f>956651+2849058</f>
        <v>3805709</v>
      </c>
      <c r="F198" s="45"/>
      <c r="G198" s="45">
        <f>4547242+4178545+252562</f>
        <v>8978349</v>
      </c>
      <c r="H198" s="45"/>
      <c r="I198" s="45">
        <v>1346886</v>
      </c>
      <c r="J198" s="45"/>
      <c r="K198" s="45">
        <v>208742</v>
      </c>
      <c r="L198" s="45"/>
      <c r="M198" s="45">
        <v>1629</v>
      </c>
      <c r="N198" s="45"/>
      <c r="O198" s="45">
        <v>371737</v>
      </c>
      <c r="P198" s="45"/>
      <c r="Q198" s="45">
        <v>0</v>
      </c>
      <c r="R198" s="45"/>
      <c r="S198" s="45">
        <v>0</v>
      </c>
      <c r="T198" s="45"/>
      <c r="U198" s="45">
        <v>0</v>
      </c>
      <c r="V198" s="45"/>
      <c r="W198" s="45">
        <v>67281</v>
      </c>
      <c r="X198" s="45"/>
      <c r="Y198" s="45">
        <v>22075</v>
      </c>
      <c r="Z198" s="44"/>
      <c r="AA198" s="45">
        <v>0</v>
      </c>
      <c r="AB198" s="44"/>
      <c r="AC198" s="45">
        <f t="shared" si="7"/>
        <v>14802408</v>
      </c>
      <c r="AD198" s="45"/>
      <c r="AE198" s="48">
        <v>0</v>
      </c>
      <c r="AF198" s="48"/>
      <c r="AG198" s="45">
        <v>1516087</v>
      </c>
      <c r="AH198" s="45"/>
      <c r="AI198" s="45">
        <v>3645117</v>
      </c>
      <c r="AJ198" s="45"/>
      <c r="AK198" s="45">
        <v>0</v>
      </c>
      <c r="AL198" s="45"/>
      <c r="AM198" s="45">
        <f>+'Gen rev'!U198-'Gen exp'!AC198-AG198+'Gen rev'!W198+AI198+AK198-'Gen Bal'!S198-'Gen exp'!AE198</f>
        <v>0</v>
      </c>
      <c r="AN198" s="44"/>
      <c r="AO198" s="44"/>
      <c r="AP198" s="44"/>
      <c r="AQ198" s="44"/>
    </row>
    <row r="199" spans="1:45" s="49" customFormat="1" ht="12.75" customHeight="1" x14ac:dyDescent="0.2">
      <c r="A199" s="28" t="s">
        <v>224</v>
      </c>
      <c r="C199" s="28" t="s">
        <v>27</v>
      </c>
      <c r="E199" s="45">
        <v>1675428</v>
      </c>
      <c r="F199" s="45"/>
      <c r="G199" s="45">
        <v>2969977</v>
      </c>
      <c r="H199" s="45"/>
      <c r="I199" s="45">
        <v>582968</v>
      </c>
      <c r="J199" s="45"/>
      <c r="K199" s="45">
        <v>44696</v>
      </c>
      <c r="L199" s="45"/>
      <c r="M199" s="45">
        <v>1248284</v>
      </c>
      <c r="N199" s="45"/>
      <c r="O199" s="45">
        <v>1345963</v>
      </c>
      <c r="P199" s="45"/>
      <c r="Q199" s="45">
        <v>0</v>
      </c>
      <c r="R199" s="45"/>
      <c r="S199" s="45">
        <v>0</v>
      </c>
      <c r="T199" s="45"/>
      <c r="U199" s="45">
        <v>0</v>
      </c>
      <c r="V199" s="45"/>
      <c r="W199" s="45">
        <v>0</v>
      </c>
      <c r="X199" s="45"/>
      <c r="Y199" s="45">
        <v>0</v>
      </c>
      <c r="Z199" s="44"/>
      <c r="AA199" s="45">
        <v>0</v>
      </c>
      <c r="AB199" s="44"/>
      <c r="AC199" s="45">
        <f t="shared" si="7"/>
        <v>7867316</v>
      </c>
      <c r="AD199" s="45"/>
      <c r="AE199" s="48">
        <v>0</v>
      </c>
      <c r="AF199" s="48"/>
      <c r="AG199" s="45">
        <v>1439594</v>
      </c>
      <c r="AH199" s="45"/>
      <c r="AI199" s="45">
        <v>3506515</v>
      </c>
      <c r="AJ199" s="45"/>
      <c r="AK199" s="45">
        <v>0</v>
      </c>
      <c r="AL199" s="45"/>
      <c r="AM199" s="45">
        <f>+'Gen rev'!U199-'Gen exp'!AC199-AG199+'Gen rev'!W199+AI199+AK199-'Gen Bal'!S199-'Gen exp'!AE199</f>
        <v>0</v>
      </c>
      <c r="AN199" s="44"/>
      <c r="AO199" s="44"/>
      <c r="AP199" s="44"/>
      <c r="AQ199" s="44"/>
    </row>
    <row r="200" spans="1:45" s="44" customFormat="1" ht="12.75" customHeight="1" x14ac:dyDescent="0.2">
      <c r="A200" s="35" t="s">
        <v>225</v>
      </c>
      <c r="C200" s="35" t="s">
        <v>27</v>
      </c>
      <c r="E200" s="45">
        <f>3991968+2255627</f>
        <v>6247595</v>
      </c>
      <c r="F200" s="45"/>
      <c r="G200" s="45">
        <f>8713840+6254051+69907</f>
        <v>15037798</v>
      </c>
      <c r="H200" s="45"/>
      <c r="I200" s="45">
        <v>4188193</v>
      </c>
      <c r="J200" s="45"/>
      <c r="K200" s="45">
        <v>492603</v>
      </c>
      <c r="L200" s="45"/>
      <c r="M200" s="45">
        <v>780222</v>
      </c>
      <c r="N200" s="45"/>
      <c r="O200" s="45">
        <f>2481069+907369</f>
        <v>3388438</v>
      </c>
      <c r="P200" s="45"/>
      <c r="Q200" s="45">
        <f>2507712+2789076</f>
        <v>5296788</v>
      </c>
      <c r="R200" s="45"/>
      <c r="S200" s="45">
        <v>0</v>
      </c>
      <c r="T200" s="45"/>
      <c r="U200" s="45">
        <v>0</v>
      </c>
      <c r="V200" s="45"/>
      <c r="W200" s="45">
        <v>0</v>
      </c>
      <c r="X200" s="45"/>
      <c r="Y200" s="45">
        <v>0</v>
      </c>
      <c r="AA200" s="44">
        <v>0</v>
      </c>
      <c r="AC200" s="45">
        <f t="shared" ref="AC200" si="8">SUM(E200:AA200)</f>
        <v>35431637</v>
      </c>
      <c r="AD200" s="45"/>
      <c r="AE200" s="48">
        <v>0</v>
      </c>
      <c r="AF200" s="48"/>
      <c r="AG200" s="45">
        <v>3976662</v>
      </c>
      <c r="AH200" s="45"/>
      <c r="AI200" s="45">
        <v>16079539</v>
      </c>
      <c r="AJ200" s="45"/>
      <c r="AK200" s="45">
        <v>0</v>
      </c>
      <c r="AL200" s="45"/>
      <c r="AM200" s="45">
        <f>+'Gen rev'!U200-'Gen exp'!AC200-AG200+'Gen rev'!W200+AI200+AK200-'Gen Bal'!S200-'Gen exp'!AE200</f>
        <v>0</v>
      </c>
    </row>
    <row r="201" spans="1:45" s="49" customFormat="1" ht="12.75" customHeight="1" x14ac:dyDescent="0.2">
      <c r="A201" s="28" t="s">
        <v>226</v>
      </c>
      <c r="C201" s="28" t="s">
        <v>45</v>
      </c>
      <c r="E201" s="45">
        <v>3138235</v>
      </c>
      <c r="F201" s="45"/>
      <c r="G201" s="45">
        <v>5467587</v>
      </c>
      <c r="H201" s="45"/>
      <c r="I201" s="45">
        <v>584908</v>
      </c>
      <c r="J201" s="45"/>
      <c r="K201" s="45">
        <v>354674</v>
      </c>
      <c r="L201" s="45"/>
      <c r="M201" s="45">
        <v>0</v>
      </c>
      <c r="N201" s="45"/>
      <c r="O201" s="45">
        <v>2480596</v>
      </c>
      <c r="P201" s="45"/>
      <c r="Q201" s="45">
        <v>527483</v>
      </c>
      <c r="R201" s="45"/>
      <c r="S201" s="45">
        <v>0</v>
      </c>
      <c r="T201" s="45"/>
      <c r="U201" s="45">
        <v>0</v>
      </c>
      <c r="V201" s="45"/>
      <c r="W201" s="45">
        <v>0</v>
      </c>
      <c r="X201" s="45"/>
      <c r="Y201" s="45">
        <v>0</v>
      </c>
      <c r="Z201" s="44"/>
      <c r="AA201" s="45">
        <v>0</v>
      </c>
      <c r="AB201" s="44"/>
      <c r="AC201" s="45">
        <f t="shared" ref="AC201:AC250" si="9">SUM(E201:AA201)</f>
        <v>12553483</v>
      </c>
      <c r="AD201" s="45"/>
      <c r="AE201" s="48">
        <v>0</v>
      </c>
      <c r="AF201" s="48"/>
      <c r="AG201" s="45">
        <v>2300710</v>
      </c>
      <c r="AH201" s="45"/>
      <c r="AI201" s="45">
        <v>5714416</v>
      </c>
      <c r="AJ201" s="45"/>
      <c r="AK201" s="45">
        <v>0</v>
      </c>
      <c r="AL201" s="45"/>
      <c r="AM201" s="45">
        <f>+'Gen rev'!U201-'Gen exp'!AC201-AG201+'Gen rev'!W201+AI201+AK201-'Gen Bal'!S201-'Gen exp'!AE201</f>
        <v>0</v>
      </c>
      <c r="AN201" s="44"/>
      <c r="AO201" s="44"/>
      <c r="AP201" s="44"/>
      <c r="AQ201" s="44"/>
    </row>
    <row r="202" spans="1:45" s="46" customFormat="1" ht="12.75" customHeight="1" x14ac:dyDescent="0.2">
      <c r="A202" s="64" t="s">
        <v>227</v>
      </c>
      <c r="C202" s="64" t="s">
        <v>17</v>
      </c>
      <c r="E202" s="45">
        <v>1129247</v>
      </c>
      <c r="F202" s="45"/>
      <c r="G202" s="45">
        <v>1996449</v>
      </c>
      <c r="H202" s="45"/>
      <c r="I202" s="45">
        <v>94138</v>
      </c>
      <c r="J202" s="45"/>
      <c r="K202" s="45">
        <v>31644</v>
      </c>
      <c r="L202" s="45"/>
      <c r="M202" s="45">
        <v>0</v>
      </c>
      <c r="N202" s="45"/>
      <c r="O202" s="45">
        <v>109551</v>
      </c>
      <c r="P202" s="45"/>
      <c r="Q202" s="45">
        <v>683570</v>
      </c>
      <c r="R202" s="45"/>
      <c r="S202" s="45">
        <v>74550</v>
      </c>
      <c r="T202" s="45"/>
      <c r="U202" s="45">
        <v>0</v>
      </c>
      <c r="V202" s="45"/>
      <c r="W202" s="45">
        <f>35000+2358+27447</f>
        <v>64805</v>
      </c>
      <c r="X202" s="45"/>
      <c r="Y202" s="45">
        <v>19399</v>
      </c>
      <c r="Z202" s="44"/>
      <c r="AA202" s="45">
        <v>0</v>
      </c>
      <c r="AB202" s="44"/>
      <c r="AC202" s="45">
        <f t="shared" si="9"/>
        <v>4203353</v>
      </c>
      <c r="AD202" s="45"/>
      <c r="AE202" s="48">
        <v>0</v>
      </c>
      <c r="AF202" s="48"/>
      <c r="AG202" s="45">
        <v>167237</v>
      </c>
      <c r="AH202" s="45"/>
      <c r="AI202" s="45">
        <v>749477</v>
      </c>
      <c r="AJ202" s="45"/>
      <c r="AK202" s="45">
        <v>0</v>
      </c>
      <c r="AL202" s="45"/>
      <c r="AM202" s="45">
        <f>+'Gen rev'!U202-'Gen exp'!AC202-AG202+'Gen rev'!W202+AI202+AK202-'Gen Bal'!S202-'Gen exp'!AE202</f>
        <v>0</v>
      </c>
    </row>
    <row r="203" spans="1:45" s="49" customFormat="1" ht="12.75" customHeight="1" x14ac:dyDescent="0.2">
      <c r="A203" s="28" t="s">
        <v>228</v>
      </c>
      <c r="C203" s="28" t="s">
        <v>153</v>
      </c>
      <c r="E203" s="45">
        <v>1071652</v>
      </c>
      <c r="F203" s="45"/>
      <c r="G203" s="45">
        <v>2722792</v>
      </c>
      <c r="H203" s="45"/>
      <c r="I203" s="45">
        <v>71133</v>
      </c>
      <c r="J203" s="45"/>
      <c r="K203" s="45">
        <v>0</v>
      </c>
      <c r="L203" s="45"/>
      <c r="M203" s="45">
        <v>36160</v>
      </c>
      <c r="N203" s="45"/>
      <c r="O203" s="45">
        <v>0</v>
      </c>
      <c r="P203" s="45"/>
      <c r="Q203" s="45">
        <v>0</v>
      </c>
      <c r="R203" s="45"/>
      <c r="S203" s="45">
        <v>0</v>
      </c>
      <c r="T203" s="45"/>
      <c r="U203" s="45">
        <v>0</v>
      </c>
      <c r="V203" s="45"/>
      <c r="W203" s="45">
        <v>0</v>
      </c>
      <c r="X203" s="45"/>
      <c r="Y203" s="45">
        <v>0</v>
      </c>
      <c r="Z203" s="44"/>
      <c r="AA203" s="45">
        <v>0</v>
      </c>
      <c r="AB203" s="44"/>
      <c r="AC203" s="45">
        <f t="shared" si="9"/>
        <v>3901737</v>
      </c>
      <c r="AD203" s="45"/>
      <c r="AE203" s="48">
        <v>0</v>
      </c>
      <c r="AF203" s="48"/>
      <c r="AG203" s="45">
        <v>253250</v>
      </c>
      <c r="AH203" s="45"/>
      <c r="AI203" s="45">
        <v>819616</v>
      </c>
      <c r="AJ203" s="45"/>
      <c r="AK203" s="45">
        <v>4059</v>
      </c>
      <c r="AL203" s="45"/>
      <c r="AM203" s="45">
        <f>+'Gen rev'!U203-'Gen exp'!AC203-AG203+'Gen rev'!W203+AI203+AK203-'Gen Bal'!S203-'Gen exp'!AE203</f>
        <v>0</v>
      </c>
      <c r="AN203" s="45"/>
      <c r="AO203" s="45"/>
      <c r="AP203" s="45"/>
      <c r="AQ203" s="45"/>
      <c r="AR203" s="52"/>
      <c r="AS203" s="50"/>
    </row>
    <row r="204" spans="1:45" s="49" customFormat="1" ht="12.75" customHeight="1" x14ac:dyDescent="0.2">
      <c r="A204" s="28" t="s">
        <v>229</v>
      </c>
      <c r="C204" s="28" t="s">
        <v>228</v>
      </c>
      <c r="E204" s="45">
        <f>760230+1304707</f>
        <v>2064937</v>
      </c>
      <c r="F204" s="45"/>
      <c r="G204" s="45">
        <f>5575729+4404691</f>
        <v>9980420</v>
      </c>
      <c r="H204" s="45"/>
      <c r="I204" s="45">
        <f>107304+781909</f>
        <v>889213</v>
      </c>
      <c r="J204" s="45"/>
      <c r="K204" s="45">
        <v>0</v>
      </c>
      <c r="L204" s="45"/>
      <c r="M204" s="45">
        <v>1364</v>
      </c>
      <c r="N204" s="45"/>
      <c r="O204" s="45">
        <v>1172055</v>
      </c>
      <c r="P204" s="45"/>
      <c r="Q204" s="45">
        <v>0</v>
      </c>
      <c r="R204" s="45"/>
      <c r="S204" s="45">
        <v>3995</v>
      </c>
      <c r="T204" s="45"/>
      <c r="U204" s="45">
        <v>0</v>
      </c>
      <c r="V204" s="45"/>
      <c r="W204" s="45">
        <v>323714</v>
      </c>
      <c r="X204" s="45"/>
      <c r="Y204" s="45">
        <v>6840</v>
      </c>
      <c r="Z204" s="44"/>
      <c r="AA204" s="45">
        <v>0</v>
      </c>
      <c r="AB204" s="44"/>
      <c r="AC204" s="45">
        <f t="shared" si="9"/>
        <v>14442538</v>
      </c>
      <c r="AD204" s="45"/>
      <c r="AE204" s="48">
        <v>0</v>
      </c>
      <c r="AF204" s="48"/>
      <c r="AG204" s="45">
        <v>361500</v>
      </c>
      <c r="AH204" s="45"/>
      <c r="AI204" s="45">
        <v>5079630</v>
      </c>
      <c r="AJ204" s="45"/>
      <c r="AK204" s="45">
        <v>0</v>
      </c>
      <c r="AL204" s="45"/>
      <c r="AM204" s="45">
        <f>+'Gen rev'!U204-'Gen exp'!AC204-AG204+'Gen rev'!W204+AI204+AK204-'Gen Bal'!S204-'Gen exp'!AE204</f>
        <v>0</v>
      </c>
      <c r="AN204" s="45"/>
      <c r="AO204" s="45"/>
      <c r="AP204" s="45"/>
      <c r="AQ204" s="45"/>
      <c r="AR204" s="52"/>
      <c r="AS204" s="50"/>
    </row>
    <row r="205" spans="1:45" s="129" customFormat="1" ht="12.75" hidden="1" customHeight="1" x14ac:dyDescent="0.2">
      <c r="A205" s="151" t="s">
        <v>230</v>
      </c>
      <c r="B205" s="123"/>
      <c r="C205" s="151" t="s">
        <v>45</v>
      </c>
      <c r="D205" s="123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1"/>
      <c r="AA205" s="127"/>
      <c r="AB205" s="121"/>
      <c r="AC205" s="127">
        <f t="shared" si="9"/>
        <v>0</v>
      </c>
      <c r="AD205" s="127"/>
      <c r="AE205" s="130"/>
      <c r="AF205" s="130"/>
      <c r="AG205" s="127"/>
      <c r="AH205" s="127"/>
      <c r="AI205" s="127"/>
      <c r="AJ205" s="127"/>
      <c r="AK205" s="127"/>
      <c r="AL205" s="127"/>
      <c r="AM205" s="127">
        <f>+'Gen rev'!U205-'Gen exp'!AC205-AG205+'Gen rev'!W205+AI205+AK205-'Gen Bal'!S205-'Gen exp'!AE205</f>
        <v>0</v>
      </c>
      <c r="AN205" s="121" t="s">
        <v>509</v>
      </c>
      <c r="AO205" s="121"/>
      <c r="AP205" s="121"/>
      <c r="AQ205" s="121"/>
    </row>
    <row r="206" spans="1:45" s="49" customFormat="1" ht="12.75" customHeight="1" x14ac:dyDescent="0.2">
      <c r="A206" s="28" t="s">
        <v>231</v>
      </c>
      <c r="C206" s="28" t="s">
        <v>27</v>
      </c>
      <c r="E206" s="45">
        <v>4956822</v>
      </c>
      <c r="F206" s="45"/>
      <c r="G206" s="45">
        <f>7291506+6295462+257217</f>
        <v>13844185</v>
      </c>
      <c r="H206" s="45"/>
      <c r="I206" s="45">
        <v>2836242</v>
      </c>
      <c r="J206" s="45"/>
      <c r="K206" s="45">
        <v>85571</v>
      </c>
      <c r="L206" s="45"/>
      <c r="M206" s="45">
        <v>5102872</v>
      </c>
      <c r="N206" s="45"/>
      <c r="O206" s="45">
        <v>537406</v>
      </c>
      <c r="P206" s="45"/>
      <c r="Q206" s="45">
        <v>1588652</v>
      </c>
      <c r="R206" s="45"/>
      <c r="S206" s="45">
        <v>0</v>
      </c>
      <c r="T206" s="45"/>
      <c r="U206" s="45">
        <v>0</v>
      </c>
      <c r="V206" s="45"/>
      <c r="W206" s="45">
        <v>0</v>
      </c>
      <c r="X206" s="45"/>
      <c r="Y206" s="45">
        <v>0</v>
      </c>
      <c r="Z206" s="44"/>
      <c r="AA206" s="45">
        <v>0</v>
      </c>
      <c r="AB206" s="44"/>
      <c r="AC206" s="45">
        <f t="shared" si="9"/>
        <v>28951750</v>
      </c>
      <c r="AD206" s="45"/>
      <c r="AE206" s="48">
        <v>0</v>
      </c>
      <c r="AF206" s="48"/>
      <c r="AG206" s="45">
        <v>4063840</v>
      </c>
      <c r="AH206" s="45"/>
      <c r="AI206" s="45">
        <v>21672880</v>
      </c>
      <c r="AJ206" s="45"/>
      <c r="AK206" s="45">
        <v>0</v>
      </c>
      <c r="AL206" s="45"/>
      <c r="AM206" s="45">
        <f>+'Gen rev'!U206-'Gen exp'!AC206-AG206+'Gen rev'!W206+AI206+AK206-'Gen Bal'!S206-'Gen exp'!AE206</f>
        <v>0</v>
      </c>
      <c r="AN206" s="44"/>
      <c r="AO206" s="44"/>
      <c r="AP206" s="44"/>
      <c r="AQ206" s="44"/>
    </row>
    <row r="207" spans="1:45" s="49" customFormat="1" ht="12.75" customHeight="1" x14ac:dyDescent="0.2">
      <c r="A207" s="28" t="s">
        <v>232</v>
      </c>
      <c r="C207" s="28" t="s">
        <v>27</v>
      </c>
      <c r="E207" s="45">
        <f>2346673+566728</f>
        <v>2913401</v>
      </c>
      <c r="F207" s="45"/>
      <c r="G207" s="45">
        <f>5062119+3743429</f>
        <v>8805548</v>
      </c>
      <c r="H207" s="45"/>
      <c r="I207" s="45">
        <v>241334</v>
      </c>
      <c r="J207" s="45"/>
      <c r="K207" s="45">
        <v>125129</v>
      </c>
      <c r="L207" s="45"/>
      <c r="M207" s="45">
        <v>928969</v>
      </c>
      <c r="N207" s="45"/>
      <c r="O207" s="45">
        <v>269728</v>
      </c>
      <c r="P207" s="45"/>
      <c r="Q207" s="45">
        <f>1457614+244910+642827</f>
        <v>2345351</v>
      </c>
      <c r="R207" s="45"/>
      <c r="S207" s="45">
        <v>0</v>
      </c>
      <c r="T207" s="45"/>
      <c r="U207" s="45">
        <v>0</v>
      </c>
      <c r="V207" s="45"/>
      <c r="W207" s="45">
        <v>7065</v>
      </c>
      <c r="X207" s="45"/>
      <c r="Y207" s="45">
        <v>12486</v>
      </c>
      <c r="Z207" s="44"/>
      <c r="AA207" s="45">
        <v>0</v>
      </c>
      <c r="AB207" s="44"/>
      <c r="AC207" s="45">
        <f t="shared" si="9"/>
        <v>15649011</v>
      </c>
      <c r="AD207" s="45"/>
      <c r="AE207" s="48">
        <v>0</v>
      </c>
      <c r="AF207" s="48"/>
      <c r="AG207" s="45">
        <v>233666</v>
      </c>
      <c r="AH207" s="45"/>
      <c r="AI207" s="45">
        <v>4129806</v>
      </c>
      <c r="AJ207" s="45"/>
      <c r="AK207" s="45">
        <v>0</v>
      </c>
      <c r="AL207" s="45"/>
      <c r="AM207" s="45">
        <f>+'Gen rev'!U207-'Gen exp'!AC207-AG207+'Gen rev'!W207+AI207+AK207-'Gen Bal'!S207-'Gen exp'!AE207</f>
        <v>0</v>
      </c>
      <c r="AN207" s="45"/>
      <c r="AO207" s="45"/>
      <c r="AP207" s="45"/>
      <c r="AQ207" s="45"/>
      <c r="AR207" s="52"/>
      <c r="AS207" s="50"/>
    </row>
    <row r="208" spans="1:45" s="49" customFormat="1" ht="12.75" customHeight="1" x14ac:dyDescent="0.2">
      <c r="A208" s="28" t="s">
        <v>233</v>
      </c>
      <c r="C208" s="28" t="s">
        <v>111</v>
      </c>
      <c r="E208" s="45">
        <v>4098219</v>
      </c>
      <c r="F208" s="45"/>
      <c r="G208" s="45">
        <v>2735606</v>
      </c>
      <c r="H208" s="45"/>
      <c r="I208" s="45">
        <v>531565</v>
      </c>
      <c r="J208" s="45"/>
      <c r="K208" s="45">
        <v>14697</v>
      </c>
      <c r="L208" s="45"/>
      <c r="M208" s="45">
        <v>0</v>
      </c>
      <c r="N208" s="45"/>
      <c r="O208" s="45">
        <v>500822</v>
      </c>
      <c r="P208" s="45"/>
      <c r="Q208" s="45">
        <v>0</v>
      </c>
      <c r="R208" s="45"/>
      <c r="S208" s="45">
        <v>0</v>
      </c>
      <c r="T208" s="45"/>
      <c r="U208" s="45">
        <v>0</v>
      </c>
      <c r="V208" s="45"/>
      <c r="W208" s="45">
        <v>0</v>
      </c>
      <c r="X208" s="45"/>
      <c r="Y208" s="45">
        <v>0</v>
      </c>
      <c r="Z208" s="44"/>
      <c r="AA208" s="45">
        <v>0</v>
      </c>
      <c r="AB208" s="44"/>
      <c r="AC208" s="45">
        <f t="shared" si="9"/>
        <v>7880909</v>
      </c>
      <c r="AD208" s="45"/>
      <c r="AE208" s="48">
        <v>0</v>
      </c>
      <c r="AF208" s="48"/>
      <c r="AG208" s="45">
        <v>957972</v>
      </c>
      <c r="AH208" s="45"/>
      <c r="AI208" s="45">
        <v>7941454</v>
      </c>
      <c r="AJ208" s="45"/>
      <c r="AK208" s="45">
        <v>-643</v>
      </c>
      <c r="AL208" s="45"/>
      <c r="AM208" s="45">
        <f>+'Gen rev'!U208-'Gen exp'!AC208-AG208+'Gen rev'!W208+AI208+AK208-'Gen Bal'!S208-'Gen exp'!AE208</f>
        <v>0</v>
      </c>
      <c r="AN208" s="35"/>
      <c r="AO208" s="35"/>
      <c r="AP208" s="35"/>
      <c r="AQ208" s="35"/>
      <c r="AR208" s="50"/>
      <c r="AS208" s="50"/>
    </row>
    <row r="209" spans="1:45" s="49" customFormat="1" ht="12.75" customHeight="1" x14ac:dyDescent="0.2">
      <c r="A209" s="28" t="s">
        <v>234</v>
      </c>
      <c r="C209" s="28" t="s">
        <v>45</v>
      </c>
      <c r="E209" s="45">
        <v>3109203</v>
      </c>
      <c r="F209" s="45"/>
      <c r="G209" s="45">
        <v>7940932</v>
      </c>
      <c r="H209" s="45"/>
      <c r="I209" s="45">
        <v>443765</v>
      </c>
      <c r="J209" s="45"/>
      <c r="K209" s="45">
        <v>305400</v>
      </c>
      <c r="L209" s="45"/>
      <c r="M209" s="45">
        <v>877754</v>
      </c>
      <c r="N209" s="45"/>
      <c r="O209" s="45">
        <v>1336083</v>
      </c>
      <c r="P209" s="45"/>
      <c r="Q209" s="45">
        <v>0</v>
      </c>
      <c r="R209" s="45"/>
      <c r="S209" s="45">
        <v>96878</v>
      </c>
      <c r="T209" s="45"/>
      <c r="U209" s="45">
        <v>0</v>
      </c>
      <c r="V209" s="45"/>
      <c r="W209" s="45">
        <v>5463</v>
      </c>
      <c r="X209" s="45"/>
      <c r="Y209" s="45">
        <v>1413</v>
      </c>
      <c r="Z209" s="44"/>
      <c r="AA209" s="45">
        <v>0</v>
      </c>
      <c r="AB209" s="44"/>
      <c r="AC209" s="45">
        <f t="shared" si="9"/>
        <v>14116891</v>
      </c>
      <c r="AD209" s="45"/>
      <c r="AE209" s="48">
        <v>0</v>
      </c>
      <c r="AF209" s="48"/>
      <c r="AG209" s="45">
        <v>763800</v>
      </c>
      <c r="AH209" s="45"/>
      <c r="AI209" s="45">
        <v>6051030</v>
      </c>
      <c r="AJ209" s="45"/>
      <c r="AK209" s="45">
        <v>0</v>
      </c>
      <c r="AL209" s="45"/>
      <c r="AM209" s="45">
        <f>+'Gen rev'!U209-'Gen exp'!AC209-AG209+'Gen rev'!W209+AI209+AK209-'Gen Bal'!S209-'Gen exp'!AE209</f>
        <v>0</v>
      </c>
      <c r="AN209" s="44"/>
      <c r="AO209" s="44"/>
      <c r="AP209" s="44"/>
      <c r="AQ209" s="44"/>
    </row>
    <row r="210" spans="1:45" s="49" customFormat="1" ht="12.75" customHeight="1" x14ac:dyDescent="0.2">
      <c r="A210" s="28" t="s">
        <v>235</v>
      </c>
      <c r="C210" s="28" t="s">
        <v>183</v>
      </c>
      <c r="E210" s="45">
        <v>8784608</v>
      </c>
      <c r="F210" s="45"/>
      <c r="G210" s="45">
        <v>20824254</v>
      </c>
      <c r="H210" s="45"/>
      <c r="I210" s="45">
        <v>788040</v>
      </c>
      <c r="J210" s="45"/>
      <c r="K210" s="45">
        <v>48950</v>
      </c>
      <c r="L210" s="45"/>
      <c r="M210" s="45">
        <v>98794</v>
      </c>
      <c r="N210" s="45"/>
      <c r="O210" s="45">
        <v>1625000</v>
      </c>
      <c r="P210" s="45"/>
      <c r="Q210" s="45">
        <v>0</v>
      </c>
      <c r="R210" s="45"/>
      <c r="S210" s="45">
        <v>19790</v>
      </c>
      <c r="T210" s="45"/>
      <c r="U210" s="45">
        <v>0</v>
      </c>
      <c r="V210" s="45"/>
      <c r="W210" s="45">
        <v>0</v>
      </c>
      <c r="X210" s="45"/>
      <c r="Y210" s="45">
        <v>0</v>
      </c>
      <c r="Z210" s="44"/>
      <c r="AA210" s="45">
        <v>0</v>
      </c>
      <c r="AB210" s="44"/>
      <c r="AC210" s="45">
        <f t="shared" si="9"/>
        <v>32189436</v>
      </c>
      <c r="AD210" s="45"/>
      <c r="AE210" s="48">
        <v>0</v>
      </c>
      <c r="AF210" s="48"/>
      <c r="AG210" s="45">
        <v>1773873</v>
      </c>
      <c r="AH210" s="45"/>
      <c r="AI210" s="45">
        <v>6341824</v>
      </c>
      <c r="AJ210" s="45"/>
      <c r="AK210" s="45">
        <v>0</v>
      </c>
      <c r="AL210" s="45"/>
      <c r="AM210" s="45">
        <f>+'Gen rev'!U210-'Gen exp'!AC210-AG210+'Gen rev'!W210+AI210+AK210-'Gen Bal'!S210-'Gen exp'!AE210</f>
        <v>0</v>
      </c>
      <c r="AN210" s="44"/>
      <c r="AO210" s="44"/>
      <c r="AP210" s="44"/>
      <c r="AQ210" s="44"/>
    </row>
    <row r="211" spans="1:45" s="49" customFormat="1" ht="12.75" customHeight="1" x14ac:dyDescent="0.2">
      <c r="A211" s="64" t="s">
        <v>236</v>
      </c>
      <c r="B211" s="46"/>
      <c r="C211" s="64" t="s">
        <v>45</v>
      </c>
      <c r="D211" s="46"/>
      <c r="E211" s="45">
        <v>4542158</v>
      </c>
      <c r="F211" s="45"/>
      <c r="G211" s="45">
        <v>5321191</v>
      </c>
      <c r="H211" s="45"/>
      <c r="I211" s="45">
        <v>0</v>
      </c>
      <c r="J211" s="45"/>
      <c r="K211" s="45">
        <v>85658</v>
      </c>
      <c r="L211" s="45"/>
      <c r="M211" s="45">
        <v>118775</v>
      </c>
      <c r="N211" s="45"/>
      <c r="O211" s="45">
        <v>147564</v>
      </c>
      <c r="P211" s="45"/>
      <c r="Q211" s="45">
        <v>1692542</v>
      </c>
      <c r="R211" s="45"/>
      <c r="S211" s="45">
        <v>0</v>
      </c>
      <c r="T211" s="45"/>
      <c r="U211" s="45">
        <v>0</v>
      </c>
      <c r="V211" s="45"/>
      <c r="W211" s="45">
        <v>0</v>
      </c>
      <c r="X211" s="45"/>
      <c r="Y211" s="45">
        <v>3638</v>
      </c>
      <c r="Z211" s="44"/>
      <c r="AA211" s="45">
        <v>0</v>
      </c>
      <c r="AB211" s="44"/>
      <c r="AC211" s="45">
        <f t="shared" si="9"/>
        <v>11911526</v>
      </c>
      <c r="AD211" s="45"/>
      <c r="AE211" s="48">
        <v>0</v>
      </c>
      <c r="AF211" s="48"/>
      <c r="AG211" s="45">
        <v>2696376</v>
      </c>
      <c r="AH211" s="45"/>
      <c r="AI211" s="45">
        <v>5664904</v>
      </c>
      <c r="AJ211" s="45"/>
      <c r="AK211" s="45">
        <v>2736</v>
      </c>
      <c r="AL211" s="45"/>
      <c r="AM211" s="45">
        <f>+'Gen rev'!U212-'Gen exp'!AC211-AG211+'Gen rev'!W212+AI211+AK211-'Gen Bal'!S211-'Gen exp'!AE211</f>
        <v>0</v>
      </c>
      <c r="AN211" s="45"/>
      <c r="AO211" s="45"/>
      <c r="AP211" s="45"/>
      <c r="AQ211" s="45"/>
      <c r="AR211" s="52"/>
      <c r="AS211" s="50"/>
    </row>
    <row r="212" spans="1:45" s="49" customFormat="1" ht="12.75" customHeight="1" x14ac:dyDescent="0.2">
      <c r="A212" s="28" t="s">
        <v>237</v>
      </c>
      <c r="C212" s="28" t="s">
        <v>33</v>
      </c>
      <c r="E212" s="45">
        <v>288027</v>
      </c>
      <c r="F212" s="45"/>
      <c r="G212" s="45">
        <v>3567</v>
      </c>
      <c r="H212" s="45"/>
      <c r="I212" s="45">
        <v>0</v>
      </c>
      <c r="J212" s="45"/>
      <c r="K212" s="45">
        <v>32215</v>
      </c>
      <c r="L212" s="45"/>
      <c r="M212" s="45">
        <v>0</v>
      </c>
      <c r="N212" s="45"/>
      <c r="O212" s="45">
        <v>0</v>
      </c>
      <c r="P212" s="45"/>
      <c r="Q212" s="45">
        <v>0</v>
      </c>
      <c r="R212" s="45"/>
      <c r="S212" s="45">
        <v>0</v>
      </c>
      <c r="T212" s="45"/>
      <c r="U212" s="45">
        <v>0</v>
      </c>
      <c r="V212" s="45"/>
      <c r="W212" s="45">
        <v>0</v>
      </c>
      <c r="X212" s="45"/>
      <c r="Y212" s="45">
        <v>0</v>
      </c>
      <c r="Z212" s="44"/>
      <c r="AA212" s="45">
        <v>0</v>
      </c>
      <c r="AB212" s="44"/>
      <c r="AC212" s="45">
        <f t="shared" si="9"/>
        <v>323809</v>
      </c>
      <c r="AD212" s="45"/>
      <c r="AE212" s="48">
        <v>0</v>
      </c>
      <c r="AF212" s="48"/>
      <c r="AG212" s="45">
        <v>844420</v>
      </c>
      <c r="AH212" s="45"/>
      <c r="AI212" s="45">
        <v>-11923</v>
      </c>
      <c r="AJ212" s="45"/>
      <c r="AK212" s="45">
        <v>0</v>
      </c>
      <c r="AL212" s="45"/>
      <c r="AM212" s="45">
        <f>+'Gen rev'!U213-'Gen exp'!AC212-AG212+'Gen rev'!W213+AI212+AK212-'Gen Bal'!S212-'Gen exp'!AE212</f>
        <v>0</v>
      </c>
      <c r="AN212" s="45"/>
      <c r="AO212" s="45"/>
      <c r="AP212" s="45"/>
      <c r="AQ212" s="45"/>
      <c r="AR212" s="52"/>
      <c r="AS212" s="50"/>
    </row>
    <row r="213" spans="1:45" s="49" customFormat="1" ht="12.75" customHeight="1" x14ac:dyDescent="0.2">
      <c r="A213" s="28" t="s">
        <v>238</v>
      </c>
      <c r="C213" s="28" t="s">
        <v>239</v>
      </c>
      <c r="E213" s="45">
        <v>856820</v>
      </c>
      <c r="F213" s="45"/>
      <c r="G213" s="45">
        <v>2582759</v>
      </c>
      <c r="H213" s="45"/>
      <c r="I213" s="45">
        <v>18247</v>
      </c>
      <c r="J213" s="45"/>
      <c r="K213" s="45">
        <v>58270</v>
      </c>
      <c r="L213" s="45"/>
      <c r="M213" s="45">
        <v>0</v>
      </c>
      <c r="N213" s="45"/>
      <c r="O213" s="45">
        <v>175915</v>
      </c>
      <c r="P213" s="45"/>
      <c r="Q213" s="45">
        <v>0</v>
      </c>
      <c r="R213" s="45"/>
      <c r="S213" s="45">
        <v>0</v>
      </c>
      <c r="T213" s="45"/>
      <c r="U213" s="45">
        <v>0</v>
      </c>
      <c r="V213" s="45"/>
      <c r="W213" s="45">
        <v>0</v>
      </c>
      <c r="X213" s="45"/>
      <c r="Y213" s="45">
        <v>0</v>
      </c>
      <c r="Z213" s="44"/>
      <c r="AA213" s="45">
        <v>0</v>
      </c>
      <c r="AB213" s="44"/>
      <c r="AC213" s="45">
        <f t="shared" si="9"/>
        <v>3692011</v>
      </c>
      <c r="AD213" s="45"/>
      <c r="AE213" s="48">
        <v>0</v>
      </c>
      <c r="AF213" s="48"/>
      <c r="AG213" s="45">
        <v>1112329</v>
      </c>
      <c r="AH213" s="45"/>
      <c r="AI213" s="45">
        <v>4396307</v>
      </c>
      <c r="AJ213" s="45"/>
      <c r="AK213" s="45">
        <v>-6750</v>
      </c>
      <c r="AL213" s="45"/>
      <c r="AM213" s="45">
        <f>+'Gen rev'!U214-'Gen exp'!AC213-AG213+'Gen rev'!W214+AI213+AK213-'Gen Bal'!S213-'Gen exp'!AE213</f>
        <v>0</v>
      </c>
      <c r="AN213" s="45"/>
      <c r="AO213" s="45"/>
      <c r="AP213" s="45"/>
      <c r="AQ213" s="45"/>
      <c r="AR213" s="52"/>
      <c r="AS213" s="50"/>
    </row>
    <row r="214" spans="1:45" s="49" customFormat="1" ht="12.75" customHeight="1" x14ac:dyDescent="0.2">
      <c r="A214" s="28" t="s">
        <v>486</v>
      </c>
      <c r="C214" s="28" t="s">
        <v>249</v>
      </c>
      <c r="E214" s="45">
        <v>2458081</v>
      </c>
      <c r="F214" s="45"/>
      <c r="G214" s="45">
        <v>7247626</v>
      </c>
      <c r="H214" s="45"/>
      <c r="I214" s="45">
        <v>98738</v>
      </c>
      <c r="J214" s="45"/>
      <c r="K214" s="45">
        <v>564416</v>
      </c>
      <c r="L214" s="45"/>
      <c r="M214" s="45">
        <v>963466</v>
      </c>
      <c r="N214" s="45"/>
      <c r="O214" s="45">
        <v>568835</v>
      </c>
      <c r="P214" s="45"/>
      <c r="Q214" s="45">
        <v>0</v>
      </c>
      <c r="R214" s="45"/>
      <c r="S214" s="45">
        <v>0</v>
      </c>
      <c r="T214" s="45"/>
      <c r="U214" s="45">
        <v>0</v>
      </c>
      <c r="V214" s="45"/>
      <c r="W214" s="45">
        <v>52050</v>
      </c>
      <c r="X214" s="45">
        <v>82610</v>
      </c>
      <c r="Y214" s="45">
        <v>0</v>
      </c>
      <c r="Z214" s="44"/>
      <c r="AA214" s="45">
        <v>0</v>
      </c>
      <c r="AB214" s="44"/>
      <c r="AC214" s="45">
        <f t="shared" si="9"/>
        <v>12035822</v>
      </c>
      <c r="AD214" s="45"/>
      <c r="AE214" s="48">
        <v>0</v>
      </c>
      <c r="AF214" s="48"/>
      <c r="AG214" s="45">
        <v>0</v>
      </c>
      <c r="AH214" s="45"/>
      <c r="AI214" s="45">
        <v>693436</v>
      </c>
      <c r="AJ214" s="45"/>
      <c r="AK214" s="45">
        <v>0</v>
      </c>
      <c r="AL214" s="45"/>
      <c r="AM214" s="45">
        <f>+'Gen rev'!U215-'Gen exp'!AC214-AG214+'Gen rev'!W215+AI214+AK214-'Gen Bal'!S214-'Gen exp'!AE214</f>
        <v>0</v>
      </c>
      <c r="AN214" s="44"/>
      <c r="AO214" s="44"/>
      <c r="AP214" s="44"/>
      <c r="AQ214" s="44"/>
    </row>
    <row r="215" spans="1:45" s="49" customFormat="1" ht="12.75" customHeight="1" x14ac:dyDescent="0.2">
      <c r="A215" s="28" t="s">
        <v>240</v>
      </c>
      <c r="C215" s="28" t="s">
        <v>13</v>
      </c>
      <c r="E215" s="45">
        <v>7503122</v>
      </c>
      <c r="F215" s="45"/>
      <c r="G215" s="45">
        <v>9504445</v>
      </c>
      <c r="H215" s="45"/>
      <c r="I215" s="45">
        <v>994552</v>
      </c>
      <c r="J215" s="45"/>
      <c r="K215" s="45">
        <v>375090</v>
      </c>
      <c r="L215" s="45"/>
      <c r="M215" s="45">
        <v>818142</v>
      </c>
      <c r="N215" s="45"/>
      <c r="O215" s="45">
        <v>1429672</v>
      </c>
      <c r="P215" s="45"/>
      <c r="Q215" s="45">
        <v>0</v>
      </c>
      <c r="R215" s="45"/>
      <c r="S215" s="45">
        <v>0</v>
      </c>
      <c r="T215" s="45"/>
      <c r="U215" s="45">
        <v>0</v>
      </c>
      <c r="V215" s="45"/>
      <c r="W215" s="45">
        <v>0</v>
      </c>
      <c r="X215" s="45"/>
      <c r="Y215" s="45">
        <v>0</v>
      </c>
      <c r="Z215" s="44"/>
      <c r="AA215" s="45">
        <v>0</v>
      </c>
      <c r="AB215" s="44"/>
      <c r="AC215" s="45">
        <f t="shared" si="9"/>
        <v>20625023</v>
      </c>
      <c r="AD215" s="45"/>
      <c r="AE215" s="48">
        <v>0</v>
      </c>
      <c r="AF215" s="48"/>
      <c r="AG215" s="45">
        <v>592673</v>
      </c>
      <c r="AH215" s="45"/>
      <c r="AI215" s="45">
        <v>4691077</v>
      </c>
      <c r="AJ215" s="45"/>
      <c r="AK215" s="45">
        <v>0</v>
      </c>
      <c r="AL215" s="45"/>
      <c r="AM215" s="45">
        <f>+'Gen rev'!U216-'Gen exp'!AC215-AG215+'Gen rev'!W216+AI215+AK215-'Gen Bal'!S215-'Gen exp'!AE215</f>
        <v>0</v>
      </c>
      <c r="AN215" s="44"/>
      <c r="AO215" s="44"/>
      <c r="AP215" s="44"/>
      <c r="AQ215" s="44"/>
    </row>
    <row r="216" spans="1:45" s="49" customFormat="1" ht="12.75" customHeight="1" x14ac:dyDescent="0.2">
      <c r="A216" s="28" t="s">
        <v>241</v>
      </c>
      <c r="C216" s="28" t="s">
        <v>22</v>
      </c>
      <c r="E216" s="45">
        <v>7396870</v>
      </c>
      <c r="F216" s="45"/>
      <c r="G216" s="45">
        <v>5719405</v>
      </c>
      <c r="H216" s="45"/>
      <c r="I216" s="45">
        <v>741205</v>
      </c>
      <c r="J216" s="45"/>
      <c r="K216" s="45">
        <v>0</v>
      </c>
      <c r="L216" s="45"/>
      <c r="M216" s="45">
        <v>0</v>
      </c>
      <c r="N216" s="45"/>
      <c r="O216" s="45">
        <v>440649</v>
      </c>
      <c r="P216" s="45"/>
      <c r="Q216" s="45">
        <v>824768</v>
      </c>
      <c r="R216" s="45"/>
      <c r="S216" s="45">
        <v>0</v>
      </c>
      <c r="T216" s="45"/>
      <c r="U216" s="45">
        <v>0</v>
      </c>
      <c r="V216" s="45"/>
      <c r="W216" s="45">
        <v>0</v>
      </c>
      <c r="X216" s="45"/>
      <c r="Y216" s="45">
        <v>0</v>
      </c>
      <c r="Z216" s="44"/>
      <c r="AA216" s="45">
        <v>0</v>
      </c>
      <c r="AB216" s="44"/>
      <c r="AC216" s="45">
        <f t="shared" si="9"/>
        <v>15122897</v>
      </c>
      <c r="AD216" s="45"/>
      <c r="AE216" s="48">
        <v>0</v>
      </c>
      <c r="AF216" s="48"/>
      <c r="AG216" s="45">
        <v>76000</v>
      </c>
      <c r="AH216" s="45"/>
      <c r="AI216" s="45">
        <v>3252332</v>
      </c>
      <c r="AJ216" s="45"/>
      <c r="AK216" s="45">
        <v>0</v>
      </c>
      <c r="AL216" s="45"/>
      <c r="AM216" s="45">
        <f>+'Gen rev'!U217-'Gen exp'!AC216-AG216+'Gen rev'!W217+AI216+AK216-'Gen Bal'!S216-'Gen exp'!AE216</f>
        <v>0</v>
      </c>
      <c r="AN216" s="45"/>
      <c r="AO216" s="45"/>
      <c r="AP216" s="45"/>
      <c r="AQ216" s="45"/>
      <c r="AR216" s="52"/>
      <c r="AS216" s="50"/>
    </row>
    <row r="217" spans="1:45" s="49" customFormat="1" ht="12.75" customHeight="1" x14ac:dyDescent="0.2">
      <c r="A217" s="28" t="s">
        <v>242</v>
      </c>
      <c r="C217" s="28" t="s">
        <v>27</v>
      </c>
      <c r="E217" s="45">
        <v>4612981</v>
      </c>
      <c r="F217" s="45"/>
      <c r="G217" s="45">
        <v>10674353</v>
      </c>
      <c r="H217" s="45"/>
      <c r="I217" s="45">
        <v>1573206</v>
      </c>
      <c r="J217" s="45"/>
      <c r="K217" s="45">
        <v>270258</v>
      </c>
      <c r="L217" s="45"/>
      <c r="M217" s="45">
        <v>0</v>
      </c>
      <c r="N217" s="45"/>
      <c r="O217" s="45">
        <v>257099</v>
      </c>
      <c r="P217" s="45"/>
      <c r="Q217" s="45">
        <v>1990205</v>
      </c>
      <c r="R217" s="45"/>
      <c r="S217" s="45">
        <v>321404</v>
      </c>
      <c r="T217" s="45"/>
      <c r="U217" s="45">
        <v>0</v>
      </c>
      <c r="V217" s="45"/>
      <c r="W217" s="45">
        <v>0</v>
      </c>
      <c r="X217" s="45"/>
      <c r="Y217" s="45">
        <v>0</v>
      </c>
      <c r="Z217" s="44"/>
      <c r="AA217" s="45">
        <v>0</v>
      </c>
      <c r="AB217" s="44"/>
      <c r="AC217" s="45">
        <f t="shared" si="9"/>
        <v>19699506</v>
      </c>
      <c r="AD217" s="45"/>
      <c r="AE217" s="48">
        <v>0</v>
      </c>
      <c r="AF217" s="48"/>
      <c r="AG217" s="45">
        <v>9470000</v>
      </c>
      <c r="AH217" s="45"/>
      <c r="AI217" s="45">
        <v>11702961</v>
      </c>
      <c r="AJ217" s="45"/>
      <c r="AK217" s="45">
        <v>0</v>
      </c>
      <c r="AL217" s="45"/>
      <c r="AM217" s="45">
        <f>+'Gen rev'!U218-'Gen exp'!AC217-AG217+'Gen rev'!W218+AI217+AK217-'Gen Bal'!S217-'Gen exp'!AE217</f>
        <v>0</v>
      </c>
      <c r="AN217" s="44"/>
      <c r="AO217" s="44"/>
      <c r="AP217" s="44"/>
      <c r="AQ217" s="44"/>
    </row>
    <row r="218" spans="1:45" s="49" customFormat="1" ht="12.75" customHeight="1" x14ac:dyDescent="0.2">
      <c r="A218" s="28" t="s">
        <v>243</v>
      </c>
      <c r="C218" s="28" t="s">
        <v>163</v>
      </c>
      <c r="E218" s="45">
        <v>4443711</v>
      </c>
      <c r="F218" s="45"/>
      <c r="G218" s="45">
        <v>4625953</v>
      </c>
      <c r="H218" s="45"/>
      <c r="I218" s="45">
        <v>400402</v>
      </c>
      <c r="J218" s="45"/>
      <c r="K218" s="45">
        <v>122852</v>
      </c>
      <c r="L218" s="45"/>
      <c r="M218" s="45">
        <v>240355</v>
      </c>
      <c r="N218" s="45"/>
      <c r="O218" s="45">
        <v>924426</v>
      </c>
      <c r="P218" s="45"/>
      <c r="Q218" s="45">
        <v>693442</v>
      </c>
      <c r="R218" s="45"/>
      <c r="S218" s="45">
        <v>0</v>
      </c>
      <c r="T218" s="45"/>
      <c r="U218" s="45">
        <v>0</v>
      </c>
      <c r="V218" s="45"/>
      <c r="W218" s="45">
        <v>0</v>
      </c>
      <c r="X218" s="45"/>
      <c r="Y218" s="45">
        <v>0</v>
      </c>
      <c r="Z218" s="44"/>
      <c r="AA218" s="45">
        <v>0</v>
      </c>
      <c r="AB218" s="44"/>
      <c r="AC218" s="45">
        <f t="shared" si="9"/>
        <v>11451141</v>
      </c>
      <c r="AD218" s="45"/>
      <c r="AE218" s="48">
        <v>0</v>
      </c>
      <c r="AF218" s="48"/>
      <c r="AG218" s="45">
        <v>4166174</v>
      </c>
      <c r="AH218" s="45"/>
      <c r="AI218" s="45">
        <v>4784593</v>
      </c>
      <c r="AJ218" s="45"/>
      <c r="AK218" s="45">
        <v>47269</v>
      </c>
      <c r="AL218" s="45"/>
      <c r="AM218" s="45">
        <f>+'Gen rev'!U219-'Gen exp'!AC218-AG218+'Gen rev'!W219+AI218+AK218-'Gen Bal'!S218-'Gen exp'!AE218</f>
        <v>0</v>
      </c>
      <c r="AN218" s="44"/>
      <c r="AO218" s="44"/>
      <c r="AP218" s="44"/>
      <c r="AQ218" s="44"/>
    </row>
    <row r="219" spans="1:45" s="49" customFormat="1" ht="12.75" customHeight="1" x14ac:dyDescent="0.2">
      <c r="A219" s="28" t="s">
        <v>244</v>
      </c>
      <c r="C219" s="28" t="s">
        <v>13</v>
      </c>
      <c r="E219" s="45">
        <v>3051404</v>
      </c>
      <c r="F219" s="45"/>
      <c r="G219" s="45">
        <f>3346824+38378</f>
        <v>3385202</v>
      </c>
      <c r="H219" s="45"/>
      <c r="I219" s="45">
        <v>277805</v>
      </c>
      <c r="J219" s="45"/>
      <c r="K219" s="45">
        <v>0</v>
      </c>
      <c r="L219" s="45"/>
      <c r="M219" s="45">
        <v>236291</v>
      </c>
      <c r="N219" s="45"/>
      <c r="O219" s="45">
        <v>1422326</v>
      </c>
      <c r="P219" s="45"/>
      <c r="Q219" s="45">
        <v>0</v>
      </c>
      <c r="R219" s="45"/>
      <c r="S219" s="45">
        <v>277531</v>
      </c>
      <c r="T219" s="45"/>
      <c r="U219" s="45">
        <v>0</v>
      </c>
      <c r="V219" s="45"/>
      <c r="W219" s="45">
        <v>4380</v>
      </c>
      <c r="X219" s="45"/>
      <c r="Y219" s="45">
        <v>2082</v>
      </c>
      <c r="Z219" s="44"/>
      <c r="AA219" s="45">
        <v>0</v>
      </c>
      <c r="AB219" s="44"/>
      <c r="AC219" s="45">
        <f t="shared" si="9"/>
        <v>8657021</v>
      </c>
      <c r="AD219" s="45"/>
      <c r="AE219" s="48">
        <v>0</v>
      </c>
      <c r="AF219" s="48"/>
      <c r="AG219" s="45">
        <v>3196000</v>
      </c>
      <c r="AH219" s="45"/>
      <c r="AI219" s="45">
        <v>4795559</v>
      </c>
      <c r="AJ219" s="45"/>
      <c r="AK219" s="45">
        <v>0</v>
      </c>
      <c r="AL219" s="45"/>
      <c r="AM219" s="45">
        <f>+'Gen rev'!U220-'Gen exp'!AC219-AG219+'Gen rev'!W220+AI219+AK219-'Gen Bal'!S220-'Gen exp'!AE219</f>
        <v>0</v>
      </c>
      <c r="AN219" s="45"/>
      <c r="AO219" s="45"/>
      <c r="AP219" s="45"/>
      <c r="AQ219" s="45"/>
      <c r="AR219" s="52"/>
      <c r="AS219" s="50"/>
    </row>
    <row r="220" spans="1:45" s="46" customFormat="1" ht="12.75" customHeight="1" x14ac:dyDescent="0.2">
      <c r="A220" s="28" t="s">
        <v>341</v>
      </c>
      <c r="B220" s="49"/>
      <c r="C220" s="28" t="s">
        <v>110</v>
      </c>
      <c r="D220" s="49"/>
      <c r="E220" s="45">
        <v>2362135</v>
      </c>
      <c r="F220" s="45"/>
      <c r="G220" s="45">
        <v>6570055</v>
      </c>
      <c r="H220" s="45"/>
      <c r="I220" s="45">
        <v>191658</v>
      </c>
      <c r="J220" s="45"/>
      <c r="K220" s="45">
        <v>0</v>
      </c>
      <c r="L220" s="45"/>
      <c r="M220" s="45">
        <v>0</v>
      </c>
      <c r="N220" s="45"/>
      <c r="O220" s="45">
        <v>0</v>
      </c>
      <c r="P220" s="45"/>
      <c r="Q220" s="45">
        <v>0</v>
      </c>
      <c r="R220" s="45"/>
      <c r="S220" s="45">
        <v>0</v>
      </c>
      <c r="T220" s="45"/>
      <c r="U220" s="45">
        <v>0</v>
      </c>
      <c r="V220" s="45"/>
      <c r="W220" s="45">
        <v>29802</v>
      </c>
      <c r="X220" s="45"/>
      <c r="Y220" s="45">
        <v>2003</v>
      </c>
      <c r="Z220" s="44"/>
      <c r="AA220" s="45">
        <v>0</v>
      </c>
      <c r="AB220" s="44"/>
      <c r="AC220" s="45">
        <f t="shared" si="9"/>
        <v>9155653</v>
      </c>
      <c r="AD220" s="45"/>
      <c r="AE220" s="48">
        <v>0</v>
      </c>
      <c r="AF220" s="48"/>
      <c r="AG220" s="45">
        <v>1112539</v>
      </c>
      <c r="AH220" s="45"/>
      <c r="AI220" s="45">
        <v>1216699</v>
      </c>
      <c r="AJ220" s="45"/>
      <c r="AK220" s="45">
        <v>-5982</v>
      </c>
      <c r="AL220" s="45"/>
      <c r="AM220" s="45">
        <f>+'Gen rev'!U221-'Gen exp'!AC220-AG220+'Gen rev'!W221+AI220+AK220-'Gen Bal'!S221-'Gen exp'!AE220</f>
        <v>0</v>
      </c>
      <c r="AN220" s="94"/>
      <c r="AO220" s="94"/>
      <c r="AP220" s="94"/>
      <c r="AQ220" s="94"/>
      <c r="AR220" s="90"/>
      <c r="AS220" s="64"/>
    </row>
    <row r="221" spans="1:45" s="49" customFormat="1" ht="12.75" customHeight="1" x14ac:dyDescent="0.2">
      <c r="A221" s="28" t="s">
        <v>246</v>
      </c>
      <c r="C221" s="28" t="s">
        <v>209</v>
      </c>
      <c r="E221" s="45">
        <v>1562779</v>
      </c>
      <c r="F221" s="45"/>
      <c r="G221" s="45">
        <v>3174714</v>
      </c>
      <c r="H221" s="45"/>
      <c r="I221" s="45">
        <v>260105</v>
      </c>
      <c r="J221" s="45"/>
      <c r="K221" s="45">
        <v>0</v>
      </c>
      <c r="L221" s="45"/>
      <c r="M221" s="45">
        <v>0</v>
      </c>
      <c r="N221" s="45"/>
      <c r="O221" s="45">
        <v>391365</v>
      </c>
      <c r="P221" s="45"/>
      <c r="Q221" s="45">
        <v>208818</v>
      </c>
      <c r="R221" s="45"/>
      <c r="S221" s="45">
        <v>35529</v>
      </c>
      <c r="T221" s="45"/>
      <c r="U221" s="45">
        <v>0</v>
      </c>
      <c r="V221" s="45"/>
      <c r="W221" s="45">
        <v>0</v>
      </c>
      <c r="X221" s="45"/>
      <c r="Y221" s="45">
        <v>0</v>
      </c>
      <c r="Z221" s="44"/>
      <c r="AA221" s="45">
        <v>0</v>
      </c>
      <c r="AB221" s="44"/>
      <c r="AC221" s="45">
        <f t="shared" si="9"/>
        <v>5633310</v>
      </c>
      <c r="AD221" s="45"/>
      <c r="AE221" s="48">
        <v>0</v>
      </c>
      <c r="AF221" s="48"/>
      <c r="AG221" s="45">
        <v>65000</v>
      </c>
      <c r="AH221" s="45"/>
      <c r="AI221" s="45">
        <v>4051730</v>
      </c>
      <c r="AJ221" s="45"/>
      <c r="AK221" s="45">
        <v>10507</v>
      </c>
      <c r="AL221" s="45"/>
      <c r="AM221" s="45">
        <f>+'Gen rev'!U222-'Gen exp'!AC221-AG221+'Gen rev'!W222+AI221+AK221-'Gen Bal'!S222-'Gen exp'!AE221</f>
        <v>0</v>
      </c>
      <c r="AN221" s="35"/>
      <c r="AO221" s="35"/>
      <c r="AP221" s="35"/>
      <c r="AQ221" s="35"/>
      <c r="AR221" s="50"/>
      <c r="AS221" s="50"/>
    </row>
    <row r="222" spans="1:45" s="129" customFormat="1" ht="12.75" hidden="1" customHeight="1" x14ac:dyDescent="0.2">
      <c r="A222" s="150" t="s">
        <v>247</v>
      </c>
      <c r="C222" s="150" t="s">
        <v>163</v>
      </c>
      <c r="E222" s="127">
        <v>15437000</v>
      </c>
      <c r="F222" s="127"/>
      <c r="G222" s="127">
        <v>165835000</v>
      </c>
      <c r="H222" s="127"/>
      <c r="I222" s="127">
        <v>4406000</v>
      </c>
      <c r="J222" s="127"/>
      <c r="K222" s="127">
        <v>11972000</v>
      </c>
      <c r="L222" s="127"/>
      <c r="M222" s="127">
        <v>1693000</v>
      </c>
      <c r="N222" s="127"/>
      <c r="O222" s="127">
        <v>2296000</v>
      </c>
      <c r="P222" s="127"/>
      <c r="Q222" s="127">
        <v>0</v>
      </c>
      <c r="R222" s="127"/>
      <c r="S222" s="127">
        <v>128000</v>
      </c>
      <c r="T222" s="127"/>
      <c r="U222" s="127">
        <v>0</v>
      </c>
      <c r="V222" s="127"/>
      <c r="W222" s="127">
        <v>485000</v>
      </c>
      <c r="X222" s="127"/>
      <c r="Y222" s="127">
        <v>241000</v>
      </c>
      <c r="Z222" s="121"/>
      <c r="AA222" s="127">
        <v>0</v>
      </c>
      <c r="AB222" s="121"/>
      <c r="AC222" s="127">
        <f t="shared" si="9"/>
        <v>202493000</v>
      </c>
      <c r="AD222" s="127"/>
      <c r="AE222" s="130">
        <v>0</v>
      </c>
      <c r="AF222" s="130"/>
      <c r="AG222" s="127">
        <v>34026000</v>
      </c>
      <c r="AH222" s="127"/>
      <c r="AI222" s="127">
        <v>-13712000</v>
      </c>
      <c r="AJ222" s="127"/>
      <c r="AK222" s="127">
        <v>24000</v>
      </c>
      <c r="AL222" s="127"/>
      <c r="AM222" s="127">
        <f>+'Gen rev'!U223-'Gen exp'!AC222-AG222+'Gen rev'!W223+AI222+AK222-'Gen Bal'!S223-'Gen exp'!AE222</f>
        <v>0</v>
      </c>
      <c r="AN222" s="122" t="s">
        <v>513</v>
      </c>
      <c r="AO222" s="121"/>
      <c r="AP222" s="121"/>
      <c r="AQ222" s="121"/>
    </row>
    <row r="223" spans="1:45" s="49" customFormat="1" ht="12.75" customHeight="1" x14ac:dyDescent="0.2">
      <c r="A223" s="28" t="s">
        <v>248</v>
      </c>
      <c r="C223" s="28" t="s">
        <v>249</v>
      </c>
      <c r="E223" s="45">
        <v>520857</v>
      </c>
      <c r="F223" s="45"/>
      <c r="G223" s="45">
        <v>1446161</v>
      </c>
      <c r="H223" s="45"/>
      <c r="I223" s="45">
        <v>0</v>
      </c>
      <c r="J223" s="45"/>
      <c r="K223" s="45">
        <v>17910</v>
      </c>
      <c r="L223" s="45"/>
      <c r="M223" s="45">
        <v>62874</v>
      </c>
      <c r="N223" s="45"/>
      <c r="O223" s="45">
        <v>6000</v>
      </c>
      <c r="P223" s="45"/>
      <c r="Q223" s="45">
        <v>0</v>
      </c>
      <c r="R223" s="45"/>
      <c r="S223" s="45">
        <v>20672</v>
      </c>
      <c r="T223" s="45"/>
      <c r="U223" s="45">
        <v>0</v>
      </c>
      <c r="V223" s="45"/>
      <c r="W223" s="45">
        <v>46188</v>
      </c>
      <c r="X223" s="45"/>
      <c r="Y223" s="45">
        <v>8498</v>
      </c>
      <c r="Z223" s="44"/>
      <c r="AA223" s="45">
        <v>0</v>
      </c>
      <c r="AB223" s="44"/>
      <c r="AC223" s="45">
        <f t="shared" si="9"/>
        <v>2129160</v>
      </c>
      <c r="AD223" s="45"/>
      <c r="AE223" s="48">
        <v>0</v>
      </c>
      <c r="AF223" s="48"/>
      <c r="AG223" s="45">
        <v>544750</v>
      </c>
      <c r="AH223" s="45"/>
      <c r="AI223" s="45">
        <v>653396</v>
      </c>
      <c r="AJ223" s="45"/>
      <c r="AK223" s="45">
        <v>0</v>
      </c>
      <c r="AL223" s="45"/>
      <c r="AM223" s="45">
        <f>+'Gen rev'!U224-'Gen exp'!AC223-AG223+'Gen rev'!W224+AI223+AK223-'Gen Bal'!S224-'Gen exp'!AE223</f>
        <v>0</v>
      </c>
      <c r="AN223" s="44"/>
      <c r="AO223" s="44"/>
      <c r="AP223" s="44"/>
      <c r="AQ223" s="44"/>
    </row>
    <row r="224" spans="1:45" s="49" customFormat="1" ht="12.75" customHeight="1" x14ac:dyDescent="0.2">
      <c r="A224" s="28" t="s">
        <v>250</v>
      </c>
      <c r="C224" s="28" t="s">
        <v>103</v>
      </c>
      <c r="E224" s="45">
        <v>368128</v>
      </c>
      <c r="F224" s="45"/>
      <c r="G224" s="45">
        <v>2102955</v>
      </c>
      <c r="H224" s="45"/>
      <c r="I224" s="45">
        <v>149217</v>
      </c>
      <c r="J224" s="45"/>
      <c r="K224" s="45">
        <v>53448</v>
      </c>
      <c r="L224" s="45"/>
      <c r="M224" s="45">
        <v>0</v>
      </c>
      <c r="N224" s="45"/>
      <c r="O224" s="45">
        <v>69779</v>
      </c>
      <c r="P224" s="45"/>
      <c r="Q224" s="45">
        <v>47386</v>
      </c>
      <c r="R224" s="45"/>
      <c r="S224" s="45">
        <v>8091</v>
      </c>
      <c r="T224" s="45"/>
      <c r="U224" s="45">
        <v>0</v>
      </c>
      <c r="V224" s="45"/>
      <c r="W224" s="45">
        <v>0</v>
      </c>
      <c r="X224" s="45"/>
      <c r="Y224" s="45">
        <v>42</v>
      </c>
      <c r="Z224" s="44"/>
      <c r="AA224" s="45">
        <v>0</v>
      </c>
      <c r="AB224" s="44"/>
      <c r="AC224" s="45">
        <f t="shared" si="9"/>
        <v>2799046</v>
      </c>
      <c r="AD224" s="45"/>
      <c r="AE224" s="48">
        <v>0</v>
      </c>
      <c r="AF224" s="48"/>
      <c r="AG224" s="45">
        <v>457500</v>
      </c>
      <c r="AH224" s="45"/>
      <c r="AI224" s="45">
        <v>2094470</v>
      </c>
      <c r="AJ224" s="45"/>
      <c r="AK224" s="45">
        <v>0</v>
      </c>
      <c r="AL224" s="45"/>
      <c r="AM224" s="45">
        <f>+'Gen rev'!U225-'Gen exp'!AC224-AG224+'Gen rev'!W225+AI224+AK224-'Gen Bal'!S225-'Gen exp'!AE224</f>
        <v>0</v>
      </c>
      <c r="AN224" s="48"/>
      <c r="AO224" s="48"/>
      <c r="AP224" s="48"/>
      <c r="AQ224" s="48"/>
      <c r="AR224" s="52"/>
      <c r="AS224" s="50"/>
    </row>
    <row r="225" spans="1:45" s="49" customFormat="1" ht="12.75" customHeight="1" x14ac:dyDescent="0.2">
      <c r="A225" s="28" t="s">
        <v>251</v>
      </c>
      <c r="C225" s="28" t="s">
        <v>66</v>
      </c>
      <c r="E225" s="45">
        <v>2939192</v>
      </c>
      <c r="F225" s="45"/>
      <c r="G225" s="45">
        <v>4113531</v>
      </c>
      <c r="H225" s="45"/>
      <c r="I225" s="45">
        <v>510152</v>
      </c>
      <c r="J225" s="45"/>
      <c r="K225" s="45">
        <v>0</v>
      </c>
      <c r="L225" s="45"/>
      <c r="M225" s="45">
        <v>214562</v>
      </c>
      <c r="N225" s="45"/>
      <c r="O225" s="45">
        <v>337582</v>
      </c>
      <c r="P225" s="45"/>
      <c r="Q225" s="45">
        <v>0</v>
      </c>
      <c r="R225" s="45"/>
      <c r="S225" s="45">
        <v>20908</v>
      </c>
      <c r="T225" s="45"/>
      <c r="U225" s="45">
        <v>0</v>
      </c>
      <c r="V225" s="45"/>
      <c r="W225" s="45">
        <v>198750</v>
      </c>
      <c r="X225" s="45"/>
      <c r="Y225" s="45">
        <v>224956</v>
      </c>
      <c r="Z225" s="44"/>
      <c r="AA225" s="45">
        <v>0</v>
      </c>
      <c r="AB225" s="44"/>
      <c r="AC225" s="45">
        <f t="shared" si="9"/>
        <v>8559633</v>
      </c>
      <c r="AD225" s="45"/>
      <c r="AE225" s="48">
        <v>0</v>
      </c>
      <c r="AF225" s="48"/>
      <c r="AG225" s="45">
        <v>235910</v>
      </c>
      <c r="AH225" s="45"/>
      <c r="AI225" s="45">
        <v>2183765</v>
      </c>
      <c r="AJ225" s="45"/>
      <c r="AK225" s="45">
        <v>0</v>
      </c>
      <c r="AL225" s="45"/>
      <c r="AM225" s="45">
        <f>+'Gen rev'!U226-'Gen exp'!AC225-AG225+'Gen rev'!W226+AI225+AK225-'Gen Bal'!S226-'Gen exp'!AE225</f>
        <v>0</v>
      </c>
      <c r="AN225" s="45"/>
      <c r="AO225" s="45"/>
      <c r="AP225" s="45"/>
      <c r="AQ225" s="45"/>
      <c r="AR225" s="52"/>
      <c r="AS225" s="50"/>
    </row>
    <row r="226" spans="1:45" s="49" customFormat="1" ht="12.75" customHeight="1" x14ac:dyDescent="0.2">
      <c r="A226" s="64" t="s">
        <v>252</v>
      </c>
      <c r="B226" s="46"/>
      <c r="C226" s="64" t="s">
        <v>209</v>
      </c>
      <c r="D226" s="46"/>
      <c r="E226" s="45">
        <v>4333555</v>
      </c>
      <c r="F226" s="45"/>
      <c r="G226" s="45">
        <v>9553157</v>
      </c>
      <c r="H226" s="45"/>
      <c r="I226" s="45">
        <v>777451</v>
      </c>
      <c r="J226" s="45"/>
      <c r="K226" s="45">
        <v>0</v>
      </c>
      <c r="L226" s="45"/>
      <c r="M226" s="45">
        <v>6234</v>
      </c>
      <c r="N226" s="45"/>
      <c r="O226" s="45">
        <v>1682768</v>
      </c>
      <c r="P226" s="45"/>
      <c r="Q226" s="45">
        <v>1062114</v>
      </c>
      <c r="R226" s="45"/>
      <c r="S226" s="45">
        <v>4360</v>
      </c>
      <c r="T226" s="45"/>
      <c r="U226" s="45">
        <v>0</v>
      </c>
      <c r="V226" s="45"/>
      <c r="W226" s="45">
        <v>0</v>
      </c>
      <c r="X226" s="45"/>
      <c r="Y226" s="45">
        <v>0</v>
      </c>
      <c r="Z226" s="44"/>
      <c r="AA226" s="45">
        <v>0</v>
      </c>
      <c r="AB226" s="44"/>
      <c r="AC226" s="45">
        <f t="shared" si="9"/>
        <v>17419639</v>
      </c>
      <c r="AD226" s="45"/>
      <c r="AE226" s="48">
        <v>0</v>
      </c>
      <c r="AF226" s="48"/>
      <c r="AG226" s="45">
        <v>3331270</v>
      </c>
      <c r="AH226" s="45"/>
      <c r="AI226" s="45">
        <v>46068810</v>
      </c>
      <c r="AJ226" s="45"/>
      <c r="AK226" s="45">
        <v>0</v>
      </c>
      <c r="AL226" s="45"/>
      <c r="AM226" s="45">
        <f>+'Gen rev'!U227-'Gen exp'!AC226-AG226+'Gen rev'!W227+AI226+AK226-'Gen Bal'!S227-'Gen exp'!AE226</f>
        <v>0</v>
      </c>
      <c r="AN226" s="45"/>
      <c r="AO226" s="45"/>
      <c r="AP226" s="45"/>
      <c r="AQ226" s="45"/>
      <c r="AR226" s="52"/>
      <c r="AS226" s="50"/>
    </row>
    <row r="227" spans="1:45" s="49" customFormat="1" ht="12.75" customHeight="1" x14ac:dyDescent="0.2">
      <c r="A227" s="28" t="s">
        <v>253</v>
      </c>
      <c r="C227" s="28" t="s">
        <v>13</v>
      </c>
      <c r="E227" s="45">
        <v>4583054</v>
      </c>
      <c r="F227" s="45"/>
      <c r="G227" s="45">
        <v>5710312</v>
      </c>
      <c r="H227" s="45"/>
      <c r="I227" s="45">
        <v>1236221</v>
      </c>
      <c r="J227" s="45"/>
      <c r="K227" s="45">
        <v>0</v>
      </c>
      <c r="L227" s="45"/>
      <c r="M227" s="45">
        <v>3930546</v>
      </c>
      <c r="N227" s="45"/>
      <c r="O227" s="45">
        <v>1964427</v>
      </c>
      <c r="P227" s="45"/>
      <c r="Q227" s="45">
        <v>105253</v>
      </c>
      <c r="R227" s="45"/>
      <c r="S227" s="45">
        <v>0</v>
      </c>
      <c r="T227" s="45"/>
      <c r="U227" s="45">
        <v>0</v>
      </c>
      <c r="V227" s="45"/>
      <c r="W227" s="45">
        <v>0</v>
      </c>
      <c r="X227" s="45"/>
      <c r="Y227" s="45">
        <v>0</v>
      </c>
      <c r="Z227" s="44"/>
      <c r="AA227" s="45">
        <v>0</v>
      </c>
      <c r="AB227" s="44"/>
      <c r="AC227" s="45">
        <f t="shared" si="9"/>
        <v>17529813</v>
      </c>
      <c r="AD227" s="45"/>
      <c r="AE227" s="48">
        <v>0</v>
      </c>
      <c r="AF227" s="48"/>
      <c r="AG227" s="45">
        <v>1080747</v>
      </c>
      <c r="AH227" s="45"/>
      <c r="AI227" s="45">
        <v>13943003</v>
      </c>
      <c r="AJ227" s="45"/>
      <c r="AK227" s="45">
        <v>0</v>
      </c>
      <c r="AL227" s="45"/>
      <c r="AM227" s="45">
        <f>+'Gen rev'!U228-'Gen exp'!AC227-AG227+'Gen rev'!W228+AI227+AK227-'Gen Bal'!S228-'Gen exp'!AE227</f>
        <v>0</v>
      </c>
      <c r="AN227" s="45"/>
      <c r="AO227" s="45"/>
      <c r="AP227" s="45"/>
      <c r="AQ227" s="45"/>
      <c r="AR227" s="52"/>
      <c r="AS227" s="50"/>
    </row>
    <row r="228" spans="1:45" s="49" customFormat="1" ht="12.75" customHeight="1" x14ac:dyDescent="0.2">
      <c r="A228" s="28" t="s">
        <v>254</v>
      </c>
      <c r="C228" s="28" t="s">
        <v>89</v>
      </c>
      <c r="E228" s="45">
        <v>558602</v>
      </c>
      <c r="F228" s="45"/>
      <c r="G228" s="45">
        <v>1166074</v>
      </c>
      <c r="H228" s="45"/>
      <c r="I228" s="45">
        <v>0</v>
      </c>
      <c r="J228" s="45"/>
      <c r="K228" s="45">
        <v>2090</v>
      </c>
      <c r="L228" s="45"/>
      <c r="M228" s="45">
        <v>0</v>
      </c>
      <c r="N228" s="45"/>
      <c r="O228" s="45">
        <v>0</v>
      </c>
      <c r="P228" s="45"/>
      <c r="Q228" s="45">
        <v>0</v>
      </c>
      <c r="R228" s="45"/>
      <c r="S228" s="45">
        <v>0</v>
      </c>
      <c r="T228" s="45"/>
      <c r="U228" s="45">
        <v>0</v>
      </c>
      <c r="V228" s="45"/>
      <c r="W228" s="45">
        <v>6931</v>
      </c>
      <c r="X228" s="45"/>
      <c r="Y228" s="45">
        <v>12249</v>
      </c>
      <c r="Z228" s="44"/>
      <c r="AA228" s="45">
        <v>0</v>
      </c>
      <c r="AB228" s="44"/>
      <c r="AC228" s="45">
        <f t="shared" si="9"/>
        <v>1745946</v>
      </c>
      <c r="AD228" s="45"/>
      <c r="AE228" s="48">
        <v>0</v>
      </c>
      <c r="AF228" s="48"/>
      <c r="AG228" s="45">
        <v>96691</v>
      </c>
      <c r="AH228" s="45"/>
      <c r="AI228" s="45">
        <v>650541</v>
      </c>
      <c r="AJ228" s="45"/>
      <c r="AK228" s="45">
        <v>0</v>
      </c>
      <c r="AL228" s="45"/>
      <c r="AM228" s="45">
        <f>+'Gen rev'!U229-'Gen exp'!AC228-AG228+'Gen rev'!W229+AI228+AK228-'Gen Bal'!S229-'Gen exp'!AE228</f>
        <v>0</v>
      </c>
      <c r="AN228" s="45"/>
      <c r="AO228" s="45"/>
      <c r="AP228" s="45"/>
      <c r="AQ228" s="45"/>
      <c r="AR228" s="52"/>
      <c r="AS228" s="50"/>
    </row>
    <row r="229" spans="1:45" s="49" customFormat="1" ht="12.75" customHeight="1" x14ac:dyDescent="0.2">
      <c r="A229" s="28" t="s">
        <v>159</v>
      </c>
      <c r="C229" s="28" t="s">
        <v>66</v>
      </c>
      <c r="E229" s="45">
        <v>710381</v>
      </c>
      <c r="F229" s="45"/>
      <c r="G229" s="45">
        <v>0</v>
      </c>
      <c r="H229" s="45"/>
      <c r="I229" s="45">
        <v>0</v>
      </c>
      <c r="J229" s="45"/>
      <c r="K229" s="45">
        <v>0</v>
      </c>
      <c r="L229" s="45"/>
      <c r="M229" s="45">
        <v>0</v>
      </c>
      <c r="N229" s="45"/>
      <c r="O229" s="45">
        <v>86694</v>
      </c>
      <c r="P229" s="45"/>
      <c r="Q229" s="45">
        <v>0</v>
      </c>
      <c r="R229" s="45"/>
      <c r="S229" s="45">
        <v>121263</v>
      </c>
      <c r="T229" s="45"/>
      <c r="U229" s="45">
        <v>0</v>
      </c>
      <c r="V229" s="45"/>
      <c r="W229" s="45">
        <v>20100</v>
      </c>
      <c r="X229" s="45"/>
      <c r="Y229" s="45">
        <v>2563</v>
      </c>
      <c r="Z229" s="44"/>
      <c r="AA229" s="45">
        <v>0</v>
      </c>
      <c r="AB229" s="44"/>
      <c r="AC229" s="45">
        <f t="shared" si="9"/>
        <v>941001</v>
      </c>
      <c r="AD229" s="45"/>
      <c r="AE229" s="48">
        <v>0</v>
      </c>
      <c r="AF229" s="48"/>
      <c r="AG229" s="45">
        <v>90000</v>
      </c>
      <c r="AH229" s="45"/>
      <c r="AI229" s="45">
        <v>536696</v>
      </c>
      <c r="AJ229" s="45"/>
      <c r="AK229" s="45">
        <v>0</v>
      </c>
      <c r="AL229" s="45"/>
      <c r="AM229" s="45">
        <f>+'Gen rev'!U230-'Gen exp'!AC229-AG229+'Gen rev'!W230+AI229+AK229-'Gen Bal'!S230-'Gen exp'!AE229</f>
        <v>0</v>
      </c>
      <c r="AN229" s="45"/>
      <c r="AO229" s="45"/>
      <c r="AP229" s="45"/>
      <c r="AQ229" s="45"/>
      <c r="AR229" s="52"/>
      <c r="AS229" s="50"/>
    </row>
    <row r="230" spans="1:45" s="49" customFormat="1" ht="12.75" customHeight="1" x14ac:dyDescent="0.2">
      <c r="A230" s="28" t="s">
        <v>255</v>
      </c>
      <c r="C230" s="28" t="s">
        <v>27</v>
      </c>
      <c r="E230" s="45">
        <v>1443498</v>
      </c>
      <c r="F230" s="45"/>
      <c r="G230" s="45">
        <v>6767746</v>
      </c>
      <c r="H230" s="45"/>
      <c r="I230" s="45">
        <v>608436</v>
      </c>
      <c r="J230" s="45"/>
      <c r="K230" s="45">
        <v>52410</v>
      </c>
      <c r="L230" s="45"/>
      <c r="M230" s="45">
        <v>401284</v>
      </c>
      <c r="N230" s="45"/>
      <c r="O230" s="45">
        <v>316300</v>
      </c>
      <c r="P230" s="45"/>
      <c r="Q230" s="45">
        <v>1030116</v>
      </c>
      <c r="R230" s="45"/>
      <c r="S230" s="45">
        <v>0</v>
      </c>
      <c r="T230" s="45"/>
      <c r="U230" s="45">
        <v>0</v>
      </c>
      <c r="V230" s="45"/>
      <c r="W230" s="45">
        <v>66373</v>
      </c>
      <c r="X230" s="45"/>
      <c r="Y230" s="45">
        <v>8441</v>
      </c>
      <c r="Z230" s="44"/>
      <c r="AA230" s="45">
        <v>0</v>
      </c>
      <c r="AB230" s="44"/>
      <c r="AC230" s="45">
        <f t="shared" si="9"/>
        <v>10694604</v>
      </c>
      <c r="AD230" s="45"/>
      <c r="AE230" s="48">
        <v>0</v>
      </c>
      <c r="AF230" s="48"/>
      <c r="AG230" s="45">
        <v>1311254</v>
      </c>
      <c r="AH230" s="45"/>
      <c r="AI230" s="45">
        <v>1853152</v>
      </c>
      <c r="AJ230" s="45"/>
      <c r="AK230" s="45">
        <v>0</v>
      </c>
      <c r="AL230" s="45"/>
      <c r="AM230" s="45">
        <f>+'Gen rev'!U231-'Gen exp'!AC230-AG230+'Gen rev'!W231+AI230+AK230-'Gen Bal'!S231-'Gen exp'!AE230</f>
        <v>0</v>
      </c>
      <c r="AN230" s="35"/>
      <c r="AO230" s="35"/>
      <c r="AP230" s="35"/>
      <c r="AQ230" s="35"/>
      <c r="AR230" s="50"/>
      <c r="AS230" s="50"/>
    </row>
    <row r="231" spans="1:45" s="44" customFormat="1" ht="12.75" customHeight="1" x14ac:dyDescent="0.2">
      <c r="A231" s="35" t="s">
        <v>256</v>
      </c>
      <c r="C231" s="35" t="s">
        <v>43</v>
      </c>
      <c r="E231" s="45">
        <v>7541141</v>
      </c>
      <c r="F231" s="45"/>
      <c r="G231" s="45">
        <v>15710688</v>
      </c>
      <c r="H231" s="45"/>
      <c r="I231" s="45">
        <v>956177</v>
      </c>
      <c r="J231" s="45"/>
      <c r="K231" s="45">
        <v>0</v>
      </c>
      <c r="L231" s="45"/>
      <c r="M231" s="45">
        <v>0</v>
      </c>
      <c r="N231" s="45"/>
      <c r="O231" s="45">
        <v>2826852</v>
      </c>
      <c r="P231" s="45"/>
      <c r="Q231" s="45">
        <v>1120448</v>
      </c>
      <c r="R231" s="45"/>
      <c r="S231" s="45">
        <v>927150</v>
      </c>
      <c r="T231" s="45"/>
      <c r="U231" s="45">
        <v>0</v>
      </c>
      <c r="V231" s="45"/>
      <c r="W231" s="45">
        <v>0</v>
      </c>
      <c r="X231" s="45"/>
      <c r="Y231" s="45">
        <v>0</v>
      </c>
      <c r="AA231" s="45">
        <v>0</v>
      </c>
      <c r="AC231" s="45">
        <f t="shared" si="9"/>
        <v>29082456</v>
      </c>
      <c r="AD231" s="45"/>
      <c r="AE231" s="48">
        <v>0</v>
      </c>
      <c r="AF231" s="48"/>
      <c r="AG231" s="45">
        <v>5035633</v>
      </c>
      <c r="AH231" s="45"/>
      <c r="AI231" s="45">
        <v>28446414</v>
      </c>
      <c r="AJ231" s="45"/>
      <c r="AK231" s="45">
        <v>0</v>
      </c>
      <c r="AL231" s="45"/>
      <c r="AM231" s="45">
        <f>+'Gen rev'!U232-'Gen exp'!AC231-AG231+'Gen rev'!W232+AI231+AK231-'Gen Bal'!S232-'Gen exp'!AE231</f>
        <v>0</v>
      </c>
    </row>
    <row r="232" spans="1:45" s="49" customFormat="1" ht="12.75" customHeight="1" x14ac:dyDescent="0.2">
      <c r="A232" s="28" t="s">
        <v>257</v>
      </c>
      <c r="C232" s="28" t="s">
        <v>258</v>
      </c>
      <c r="E232" s="45">
        <f>766656+578377</f>
        <v>1345033</v>
      </c>
      <c r="F232" s="45"/>
      <c r="G232" s="45">
        <v>1853416</v>
      </c>
      <c r="H232" s="45"/>
      <c r="I232" s="45">
        <v>61651</v>
      </c>
      <c r="J232" s="45"/>
      <c r="K232" s="45">
        <v>37437</v>
      </c>
      <c r="L232" s="45"/>
      <c r="M232" s="45">
        <v>0</v>
      </c>
      <c r="N232" s="45"/>
      <c r="O232" s="45">
        <v>380608</v>
      </c>
      <c r="P232" s="45"/>
      <c r="Q232" s="45">
        <v>0</v>
      </c>
      <c r="R232" s="45"/>
      <c r="S232" s="45">
        <v>0</v>
      </c>
      <c r="T232" s="45"/>
      <c r="U232" s="45">
        <v>0</v>
      </c>
      <c r="V232" s="45"/>
      <c r="W232" s="45">
        <v>4713</v>
      </c>
      <c r="X232" s="45"/>
      <c r="Y232" s="45">
        <v>405</v>
      </c>
      <c r="Z232" s="44"/>
      <c r="AA232" s="45">
        <v>0</v>
      </c>
      <c r="AB232" s="44"/>
      <c r="AC232" s="45">
        <f t="shared" si="9"/>
        <v>3683263</v>
      </c>
      <c r="AD232" s="45"/>
      <c r="AE232" s="48">
        <v>0</v>
      </c>
      <c r="AF232" s="48"/>
      <c r="AG232" s="45">
        <v>231930</v>
      </c>
      <c r="AH232" s="45"/>
      <c r="AI232" s="45">
        <v>515567</v>
      </c>
      <c r="AJ232" s="45"/>
      <c r="AK232" s="45">
        <v>5924</v>
      </c>
      <c r="AL232" s="45"/>
      <c r="AM232" s="45">
        <f>+'Gen rev'!U233-'Gen exp'!AC232-AG232+'Gen rev'!W233+AI232+AK232-'Gen Bal'!S233-'Gen exp'!AE232</f>
        <v>0</v>
      </c>
      <c r="AN232" s="44"/>
      <c r="AO232" s="44"/>
      <c r="AP232" s="44"/>
      <c r="AQ232" s="44"/>
    </row>
    <row r="233" spans="1:45" s="49" customFormat="1" ht="12.75" customHeight="1" x14ac:dyDescent="0.2">
      <c r="A233" s="28" t="s">
        <v>259</v>
      </c>
      <c r="C233" s="28" t="s">
        <v>260</v>
      </c>
      <c r="E233" s="45">
        <v>1625289</v>
      </c>
      <c r="F233" s="45"/>
      <c r="G233" s="45">
        <v>3325486</v>
      </c>
      <c r="H233" s="45"/>
      <c r="I233" s="45">
        <v>0</v>
      </c>
      <c r="J233" s="45"/>
      <c r="K233" s="45">
        <v>41874</v>
      </c>
      <c r="L233" s="45"/>
      <c r="M233" s="45">
        <v>0</v>
      </c>
      <c r="N233" s="45"/>
      <c r="O233" s="45">
        <v>267898</v>
      </c>
      <c r="P233" s="45"/>
      <c r="Q233" s="45">
        <v>0</v>
      </c>
      <c r="R233" s="45"/>
      <c r="S233" s="45">
        <v>0</v>
      </c>
      <c r="T233" s="45"/>
      <c r="U233" s="45">
        <v>0</v>
      </c>
      <c r="V233" s="45"/>
      <c r="W233" s="45">
        <v>0</v>
      </c>
      <c r="X233" s="45"/>
      <c r="Y233" s="45">
        <v>0</v>
      </c>
      <c r="Z233" s="44"/>
      <c r="AA233" s="45">
        <v>0</v>
      </c>
      <c r="AB233" s="44"/>
      <c r="AC233" s="45">
        <f t="shared" si="9"/>
        <v>5260547</v>
      </c>
      <c r="AD233" s="45"/>
      <c r="AE233" s="48">
        <v>0</v>
      </c>
      <c r="AF233" s="48"/>
      <c r="AG233" s="45">
        <v>278500</v>
      </c>
      <c r="AH233" s="45"/>
      <c r="AI233" s="45">
        <v>1192545</v>
      </c>
      <c r="AJ233" s="45"/>
      <c r="AK233" s="45">
        <v>0</v>
      </c>
      <c r="AL233" s="45"/>
      <c r="AM233" s="45">
        <f>+'Gen rev'!U234-'Gen exp'!AC233-AG233+'Gen rev'!W234+AI233+AK233-'Gen Bal'!S234-'Gen exp'!AE233</f>
        <v>0</v>
      </c>
      <c r="AN233" s="44"/>
      <c r="AO233" s="44"/>
      <c r="AP233" s="44"/>
      <c r="AQ233" s="44"/>
    </row>
    <row r="234" spans="1:45" s="49" customFormat="1" ht="12.75" customHeight="1" x14ac:dyDescent="0.2">
      <c r="A234" s="28" t="s">
        <v>261</v>
      </c>
      <c r="C234" s="28" t="s">
        <v>66</v>
      </c>
      <c r="E234" s="45">
        <f>3368000+1791313</f>
        <v>5159313</v>
      </c>
      <c r="F234" s="45"/>
      <c r="G234" s="45">
        <f>4308481+1715826</f>
        <v>6024307</v>
      </c>
      <c r="H234" s="45"/>
      <c r="I234" s="45">
        <v>0</v>
      </c>
      <c r="J234" s="45"/>
      <c r="K234" s="45">
        <v>0</v>
      </c>
      <c r="L234" s="45"/>
      <c r="M234" s="45">
        <f>953392+615345</f>
        <v>1568737</v>
      </c>
      <c r="N234" s="45"/>
      <c r="O234" s="45">
        <v>3241043</v>
      </c>
      <c r="P234" s="45"/>
      <c r="Q234" s="45">
        <v>863750</v>
      </c>
      <c r="R234" s="45"/>
      <c r="S234" s="45">
        <v>33872</v>
      </c>
      <c r="T234" s="45"/>
      <c r="U234" s="45">
        <v>0</v>
      </c>
      <c r="V234" s="45"/>
      <c r="W234" s="45">
        <v>0</v>
      </c>
      <c r="X234" s="45"/>
      <c r="Y234" s="45">
        <v>0</v>
      </c>
      <c r="Z234" s="44"/>
      <c r="AA234" s="45">
        <v>0</v>
      </c>
      <c r="AB234" s="44"/>
      <c r="AC234" s="45">
        <f t="shared" si="9"/>
        <v>16891022</v>
      </c>
      <c r="AD234" s="45"/>
      <c r="AE234" s="48">
        <v>0</v>
      </c>
      <c r="AF234" s="48"/>
      <c r="AG234" s="45">
        <v>2561151</v>
      </c>
      <c r="AH234" s="45"/>
      <c r="AI234" s="45">
        <v>12522546</v>
      </c>
      <c r="AJ234" s="45"/>
      <c r="AK234" s="45">
        <v>0</v>
      </c>
      <c r="AL234" s="45"/>
      <c r="AM234" s="45">
        <f>+'Gen rev'!U235-'Gen exp'!AC234-AG234+'Gen rev'!W235+AI234+AK234-'Gen Bal'!S235-'Gen exp'!AE234</f>
        <v>0</v>
      </c>
      <c r="AN234" s="44"/>
      <c r="AO234" s="44"/>
      <c r="AP234" s="44"/>
      <c r="AQ234" s="44"/>
    </row>
    <row r="235" spans="1:45" s="49" customFormat="1" ht="12.75" customHeight="1" x14ac:dyDescent="0.2">
      <c r="A235" s="28" t="s">
        <v>262</v>
      </c>
      <c r="C235" s="28" t="s">
        <v>132</v>
      </c>
      <c r="E235" s="45">
        <v>2007740</v>
      </c>
      <c r="F235" s="45"/>
      <c r="G235" s="45">
        <v>2185958</v>
      </c>
      <c r="H235" s="45"/>
      <c r="I235" s="45">
        <v>178491</v>
      </c>
      <c r="J235" s="45"/>
      <c r="K235" s="45">
        <v>0</v>
      </c>
      <c r="L235" s="45"/>
      <c r="M235" s="45">
        <v>0</v>
      </c>
      <c r="N235" s="45"/>
      <c r="O235" s="45">
        <v>149108</v>
      </c>
      <c r="P235" s="45"/>
      <c r="Q235" s="45">
        <v>112960</v>
      </c>
      <c r="R235" s="45"/>
      <c r="S235" s="45">
        <v>0</v>
      </c>
      <c r="T235" s="45"/>
      <c r="U235" s="45">
        <v>0</v>
      </c>
      <c r="V235" s="45"/>
      <c r="W235" s="45">
        <v>36648</v>
      </c>
      <c r="X235" s="45"/>
      <c r="Y235" s="45">
        <v>2945</v>
      </c>
      <c r="Z235" s="44"/>
      <c r="AA235" s="45">
        <v>0</v>
      </c>
      <c r="AB235" s="44"/>
      <c r="AC235" s="45">
        <f t="shared" si="9"/>
        <v>4673850</v>
      </c>
      <c r="AD235" s="45"/>
      <c r="AE235" s="48">
        <v>0</v>
      </c>
      <c r="AF235" s="48"/>
      <c r="AG235" s="45">
        <v>717244</v>
      </c>
      <c r="AH235" s="45"/>
      <c r="AI235" s="45">
        <v>313279</v>
      </c>
      <c r="AJ235" s="45"/>
      <c r="AK235" s="45">
        <v>0</v>
      </c>
      <c r="AL235" s="45"/>
      <c r="AM235" s="45">
        <f>+'Gen rev'!U236-'Gen exp'!AC235-AG235+'Gen rev'!W236+AI235+AK235-'Gen Bal'!S236-'Gen exp'!AE235</f>
        <v>0</v>
      </c>
      <c r="AN235" s="44"/>
      <c r="AO235" s="44"/>
      <c r="AP235" s="44"/>
      <c r="AQ235" s="44"/>
    </row>
    <row r="236" spans="1:45" s="49" customFormat="1" ht="12.75" customHeight="1" x14ac:dyDescent="0.2">
      <c r="A236" s="44" t="s">
        <v>512</v>
      </c>
      <c r="B236" s="47"/>
      <c r="C236" s="44" t="s">
        <v>45</v>
      </c>
      <c r="E236" s="45">
        <v>1645094</v>
      </c>
      <c r="F236" s="45"/>
      <c r="G236" s="45">
        <v>4399054</v>
      </c>
      <c r="H236" s="45"/>
      <c r="I236" s="45">
        <v>1535431</v>
      </c>
      <c r="J236" s="45"/>
      <c r="K236" s="45">
        <v>115858</v>
      </c>
      <c r="L236" s="45"/>
      <c r="M236" s="45">
        <v>0</v>
      </c>
      <c r="N236" s="45"/>
      <c r="O236" s="45">
        <v>863501</v>
      </c>
      <c r="P236" s="45"/>
      <c r="Q236" s="45">
        <v>0</v>
      </c>
      <c r="R236" s="45"/>
      <c r="S236" s="45">
        <v>0</v>
      </c>
      <c r="T236" s="45"/>
      <c r="U236" s="45">
        <v>0</v>
      </c>
      <c r="V236" s="45"/>
      <c r="W236" s="45">
        <v>0</v>
      </c>
      <c r="X236" s="45"/>
      <c r="Y236" s="45">
        <v>0</v>
      </c>
      <c r="Z236" s="44"/>
      <c r="AA236" s="45">
        <v>0</v>
      </c>
      <c r="AB236" s="44"/>
      <c r="AC236" s="45">
        <f t="shared" si="9"/>
        <v>8558938</v>
      </c>
      <c r="AD236" s="45"/>
      <c r="AE236" s="48">
        <v>0</v>
      </c>
      <c r="AF236" s="48"/>
      <c r="AG236" s="45">
        <v>1531978</v>
      </c>
      <c r="AH236" s="45"/>
      <c r="AI236" s="45">
        <v>7741933</v>
      </c>
      <c r="AJ236" s="45"/>
      <c r="AK236" s="45">
        <v>171975</v>
      </c>
      <c r="AL236" s="45"/>
      <c r="AM236" s="45">
        <f>+'Gen rev'!U237-'Gen exp'!AC236-AG236+'Gen rev'!W237+AI236+AK236-'Gen Bal'!S237-'Gen exp'!AE236</f>
        <v>0</v>
      </c>
      <c r="AN236" s="44"/>
      <c r="AO236" s="44"/>
      <c r="AP236" s="44"/>
      <c r="AQ236" s="44"/>
    </row>
    <row r="237" spans="1:45" s="49" customFormat="1" ht="12.75" customHeight="1" x14ac:dyDescent="0.2">
      <c r="A237" s="28" t="s">
        <v>263</v>
      </c>
      <c r="C237" s="28" t="s">
        <v>53</v>
      </c>
      <c r="E237" s="45">
        <v>2568316</v>
      </c>
      <c r="F237" s="45"/>
      <c r="G237" s="45">
        <v>4418973</v>
      </c>
      <c r="H237" s="45"/>
      <c r="I237" s="45">
        <v>238690</v>
      </c>
      <c r="J237" s="45"/>
      <c r="K237" s="45">
        <v>103836</v>
      </c>
      <c r="L237" s="45"/>
      <c r="M237" s="45">
        <v>280</v>
      </c>
      <c r="N237" s="45"/>
      <c r="O237" s="45">
        <v>1332503</v>
      </c>
      <c r="P237" s="45"/>
      <c r="Q237" s="45">
        <v>0</v>
      </c>
      <c r="R237" s="45"/>
      <c r="S237" s="45">
        <v>0</v>
      </c>
      <c r="T237" s="45"/>
      <c r="U237" s="45">
        <v>0</v>
      </c>
      <c r="V237" s="45"/>
      <c r="W237" s="45">
        <v>2254</v>
      </c>
      <c r="X237" s="45"/>
      <c r="Y237" s="45">
        <v>3984</v>
      </c>
      <c r="Z237" s="44"/>
      <c r="AA237" s="45">
        <v>0</v>
      </c>
      <c r="AB237" s="44"/>
      <c r="AC237" s="45">
        <f t="shared" si="9"/>
        <v>8668836</v>
      </c>
      <c r="AD237" s="45"/>
      <c r="AE237" s="48">
        <v>0</v>
      </c>
      <c r="AF237" s="48"/>
      <c r="AG237" s="45">
        <v>172659</v>
      </c>
      <c r="AH237" s="45"/>
      <c r="AI237" s="45">
        <v>5362098</v>
      </c>
      <c r="AJ237" s="45"/>
      <c r="AK237" s="45">
        <v>0</v>
      </c>
      <c r="AL237" s="45"/>
      <c r="AM237" s="45">
        <f>+'Gen rev'!U238-'Gen exp'!AC237-AG237+'Gen rev'!W238+AI237+AK237-'Gen Bal'!S238-'Gen exp'!AE237</f>
        <v>0</v>
      </c>
      <c r="AN237" s="45"/>
      <c r="AO237" s="45"/>
      <c r="AP237" s="45"/>
      <c r="AQ237" s="45"/>
      <c r="AR237" s="52"/>
      <c r="AS237" s="50"/>
    </row>
    <row r="238" spans="1:45" s="46" customFormat="1" ht="12.75" customHeight="1" x14ac:dyDescent="0.2">
      <c r="A238" s="28" t="s">
        <v>264</v>
      </c>
      <c r="B238" s="49"/>
      <c r="C238" s="28" t="s">
        <v>239</v>
      </c>
      <c r="D238" s="49"/>
      <c r="E238" s="45">
        <v>489958</v>
      </c>
      <c r="F238" s="45"/>
      <c r="G238" s="45">
        <f>1569832+1283633+8166</f>
        <v>2861631</v>
      </c>
      <c r="H238" s="45"/>
      <c r="I238" s="45">
        <v>93158</v>
      </c>
      <c r="J238" s="45"/>
      <c r="K238" s="45">
        <v>147474</v>
      </c>
      <c r="L238" s="45"/>
      <c r="M238" s="45">
        <v>0</v>
      </c>
      <c r="N238" s="45"/>
      <c r="O238" s="45">
        <v>239855</v>
      </c>
      <c r="P238" s="45"/>
      <c r="Q238" s="45">
        <v>0</v>
      </c>
      <c r="R238" s="45"/>
      <c r="S238" s="45">
        <v>0</v>
      </c>
      <c r="T238" s="45"/>
      <c r="U238" s="45">
        <v>0</v>
      </c>
      <c r="V238" s="45"/>
      <c r="W238" s="45">
        <v>34253</v>
      </c>
      <c r="X238" s="45"/>
      <c r="Y238" s="45">
        <v>12092</v>
      </c>
      <c r="Z238" s="44"/>
      <c r="AA238" s="45">
        <v>0</v>
      </c>
      <c r="AB238" s="44"/>
      <c r="AC238" s="45">
        <f t="shared" si="9"/>
        <v>3878421</v>
      </c>
      <c r="AD238" s="45"/>
      <c r="AE238" s="48">
        <v>0</v>
      </c>
      <c r="AF238" s="48"/>
      <c r="AG238" s="45">
        <v>1502000</v>
      </c>
      <c r="AH238" s="45"/>
      <c r="AI238" s="45">
        <v>2981010</v>
      </c>
      <c r="AJ238" s="45"/>
      <c r="AK238" s="45">
        <v>0</v>
      </c>
      <c r="AL238" s="45"/>
      <c r="AM238" s="45">
        <f>+'Gen rev'!U239-'Gen exp'!AC238-AG238+'Gen rev'!W239+AI238+AK238-'Gen Bal'!S239-'Gen exp'!AE238</f>
        <v>0</v>
      </c>
      <c r="AN238" s="94"/>
      <c r="AO238" s="94"/>
      <c r="AP238" s="94"/>
      <c r="AQ238" s="94"/>
      <c r="AR238" s="90"/>
      <c r="AS238" s="64"/>
    </row>
    <row r="239" spans="1:45" s="49" customFormat="1" ht="12.75" customHeight="1" x14ac:dyDescent="0.2">
      <c r="A239" s="28" t="s">
        <v>111</v>
      </c>
      <c r="C239" s="28" t="s">
        <v>80</v>
      </c>
      <c r="E239" s="45">
        <v>7279132</v>
      </c>
      <c r="F239" s="45"/>
      <c r="G239" s="45">
        <v>16338976</v>
      </c>
      <c r="H239" s="45"/>
      <c r="I239" s="45">
        <v>1770245</v>
      </c>
      <c r="J239" s="45"/>
      <c r="K239" s="45">
        <v>621583</v>
      </c>
      <c r="L239" s="45"/>
      <c r="M239" s="45">
        <v>0</v>
      </c>
      <c r="N239" s="45"/>
      <c r="O239" s="45">
        <v>456404</v>
      </c>
      <c r="P239" s="45"/>
      <c r="Q239" s="45">
        <v>0</v>
      </c>
      <c r="R239" s="45"/>
      <c r="S239" s="45">
        <v>0</v>
      </c>
      <c r="T239" s="45"/>
      <c r="U239" s="45">
        <v>0</v>
      </c>
      <c r="V239" s="45"/>
      <c r="W239" s="45">
        <v>58600</v>
      </c>
      <c r="X239" s="45"/>
      <c r="Y239" s="45">
        <v>7948</v>
      </c>
      <c r="Z239" s="44"/>
      <c r="AA239" s="45">
        <v>0</v>
      </c>
      <c r="AB239" s="44"/>
      <c r="AC239" s="45">
        <f t="shared" si="9"/>
        <v>26532888</v>
      </c>
      <c r="AD239" s="45"/>
      <c r="AE239" s="48">
        <v>0</v>
      </c>
      <c r="AF239" s="48"/>
      <c r="AG239" s="45">
        <v>463000</v>
      </c>
      <c r="AH239" s="45"/>
      <c r="AI239" s="45">
        <v>4575012</v>
      </c>
      <c r="AJ239" s="45"/>
      <c r="AK239" s="45">
        <v>0</v>
      </c>
      <c r="AL239" s="45"/>
      <c r="AM239" s="45">
        <f>+'Gen rev'!U240-'Gen exp'!AC239-AG239+'Gen rev'!W240+AI239+AK239-'Gen Bal'!S240-'Gen exp'!AE239</f>
        <v>0</v>
      </c>
      <c r="AN239" s="45"/>
      <c r="AO239" s="45"/>
      <c r="AP239" s="45"/>
      <c r="AQ239" s="45"/>
      <c r="AR239" s="52"/>
      <c r="AS239" s="50"/>
    </row>
    <row r="240" spans="1:45" s="49" customFormat="1" ht="12.75" customHeight="1" x14ac:dyDescent="0.2">
      <c r="A240" s="28" t="s">
        <v>265</v>
      </c>
      <c r="C240" s="28" t="s">
        <v>27</v>
      </c>
      <c r="E240" s="45">
        <v>3241132</v>
      </c>
      <c r="F240" s="45"/>
      <c r="G240" s="45">
        <f>5075963+3527751</f>
        <v>8603714</v>
      </c>
      <c r="H240" s="45"/>
      <c r="I240" s="45">
        <v>662848</v>
      </c>
      <c r="J240" s="45"/>
      <c r="K240" s="45">
        <v>55903</v>
      </c>
      <c r="L240" s="45"/>
      <c r="M240" s="45">
        <v>1245332</v>
      </c>
      <c r="N240" s="45"/>
      <c r="O240" s="45">
        <v>227370</v>
      </c>
      <c r="P240" s="45"/>
      <c r="Q240" s="45">
        <v>995680</v>
      </c>
      <c r="R240" s="45"/>
      <c r="S240" s="45">
        <v>0</v>
      </c>
      <c r="T240" s="45"/>
      <c r="U240" s="45">
        <v>0</v>
      </c>
      <c r="V240" s="45"/>
      <c r="W240" s="45">
        <v>0</v>
      </c>
      <c r="X240" s="45"/>
      <c r="Y240" s="45">
        <v>14235</v>
      </c>
      <c r="Z240" s="44"/>
      <c r="AA240" s="45">
        <v>0</v>
      </c>
      <c r="AB240" s="44"/>
      <c r="AC240" s="45">
        <f t="shared" si="9"/>
        <v>15046214</v>
      </c>
      <c r="AD240" s="45"/>
      <c r="AE240" s="48">
        <v>0</v>
      </c>
      <c r="AF240" s="48"/>
      <c r="AG240" s="45">
        <f>474500+1000000</f>
        <v>1474500</v>
      </c>
      <c r="AH240" s="45"/>
      <c r="AI240" s="45">
        <v>2667909</v>
      </c>
      <c r="AJ240" s="45"/>
      <c r="AK240" s="45">
        <v>0</v>
      </c>
      <c r="AL240" s="45"/>
      <c r="AM240" s="45">
        <f>+'Gen rev'!U241-'Gen exp'!AC240-AG240+'Gen rev'!W241+AI240+AK240-'Gen Bal'!S241-'Gen exp'!AE240</f>
        <v>0</v>
      </c>
      <c r="AN240" s="44"/>
      <c r="AO240" s="44"/>
      <c r="AP240" s="44"/>
      <c r="AQ240" s="44"/>
    </row>
    <row r="241" spans="1:45" s="49" customFormat="1" ht="12.75" customHeight="1" x14ac:dyDescent="0.2">
      <c r="A241" s="28" t="s">
        <v>514</v>
      </c>
      <c r="C241" s="47" t="s">
        <v>451</v>
      </c>
      <c r="E241" s="45">
        <v>2268175</v>
      </c>
      <c r="F241" s="45"/>
      <c r="G241" s="45">
        <v>3555128</v>
      </c>
      <c r="H241" s="45"/>
      <c r="I241" s="45">
        <v>920432</v>
      </c>
      <c r="J241" s="45"/>
      <c r="K241" s="45">
        <v>34077</v>
      </c>
      <c r="L241" s="45"/>
      <c r="M241" s="45"/>
      <c r="N241" s="45"/>
      <c r="O241" s="45">
        <v>67232</v>
      </c>
      <c r="P241" s="45"/>
      <c r="Q241" s="45"/>
      <c r="R241" s="45"/>
      <c r="S241" s="45">
        <v>0</v>
      </c>
      <c r="T241" s="45"/>
      <c r="U241" s="45">
        <v>0</v>
      </c>
      <c r="V241" s="45"/>
      <c r="W241" s="45">
        <v>0</v>
      </c>
      <c r="X241" s="45"/>
      <c r="Y241" s="45">
        <v>0</v>
      </c>
      <c r="Z241" s="44"/>
      <c r="AA241" s="45">
        <v>0</v>
      </c>
      <c r="AB241" s="44"/>
      <c r="AC241" s="45">
        <f t="shared" si="9"/>
        <v>6845044</v>
      </c>
      <c r="AD241" s="45"/>
      <c r="AE241" s="48">
        <v>0</v>
      </c>
      <c r="AF241" s="48"/>
      <c r="AG241" s="45">
        <v>39200</v>
      </c>
      <c r="AH241" s="45"/>
      <c r="AI241" s="45">
        <v>969937</v>
      </c>
      <c r="AJ241" s="45"/>
      <c r="AK241" s="45">
        <v>0</v>
      </c>
      <c r="AL241" s="45"/>
      <c r="AM241" s="45">
        <f>+'Gen rev'!U242-'Gen exp'!AC241-AG241+'Gen rev'!W242+AI241+AK241-'Gen Bal'!S242-'Gen exp'!AE241</f>
        <v>0</v>
      </c>
      <c r="AN241" s="44"/>
      <c r="AO241" s="44"/>
      <c r="AP241" s="44"/>
      <c r="AQ241" s="44"/>
    </row>
    <row r="242" spans="1:45" s="49" customFormat="1" ht="12.75" customHeight="1" x14ac:dyDescent="0.2">
      <c r="A242" s="44" t="s">
        <v>515</v>
      </c>
      <c r="B242" s="47"/>
      <c r="C242" s="44" t="s">
        <v>163</v>
      </c>
      <c r="E242" s="45">
        <v>949081</v>
      </c>
      <c r="F242" s="45"/>
      <c r="G242" s="45">
        <f>1055702+335901+72031</f>
        <v>1463634</v>
      </c>
      <c r="H242" s="45"/>
      <c r="I242" s="45">
        <v>5088</v>
      </c>
      <c r="J242" s="45"/>
      <c r="K242" s="45">
        <v>0</v>
      </c>
      <c r="L242" s="45"/>
      <c r="M242" s="45"/>
      <c r="N242" s="45"/>
      <c r="O242" s="45">
        <v>1900</v>
      </c>
      <c r="P242" s="45"/>
      <c r="Q242" s="45">
        <v>243351</v>
      </c>
      <c r="R242" s="45"/>
      <c r="S242" s="45">
        <v>0</v>
      </c>
      <c r="T242" s="45"/>
      <c r="U242" s="45">
        <v>0</v>
      </c>
      <c r="V242" s="45"/>
      <c r="W242" s="45">
        <v>3576</v>
      </c>
      <c r="X242" s="45"/>
      <c r="Y242" s="45">
        <v>312</v>
      </c>
      <c r="Z242" s="44"/>
      <c r="AA242" s="45">
        <v>0</v>
      </c>
      <c r="AB242" s="44"/>
      <c r="AC242" s="45">
        <f t="shared" ref="AC242" si="10">SUM(E242:AA242)</f>
        <v>2666942</v>
      </c>
      <c r="AD242" s="45"/>
      <c r="AE242" s="48">
        <v>0</v>
      </c>
      <c r="AF242" s="48"/>
      <c r="AG242" s="45">
        <v>200000</v>
      </c>
      <c r="AH242" s="45"/>
      <c r="AI242" s="45">
        <v>693873</v>
      </c>
      <c r="AJ242" s="45"/>
      <c r="AK242" s="45">
        <v>0</v>
      </c>
      <c r="AL242" s="45"/>
      <c r="AM242" s="45">
        <f>+'Gen rev'!U243-'Gen exp'!AC242-AG242+'Gen rev'!W243+AI242+AK242-'Gen Bal'!S243-'Gen exp'!AE242</f>
        <v>0</v>
      </c>
      <c r="AN242" s="44"/>
      <c r="AO242" s="44"/>
      <c r="AP242" s="44"/>
      <c r="AQ242" s="44"/>
    </row>
    <row r="243" spans="1:45" s="46" customFormat="1" ht="12.75" customHeight="1" x14ac:dyDescent="0.2">
      <c r="A243" s="28" t="s">
        <v>266</v>
      </c>
      <c r="B243" s="49"/>
      <c r="C243" s="28" t="s">
        <v>267</v>
      </c>
      <c r="D243" s="49"/>
      <c r="E243" s="45">
        <v>576006</v>
      </c>
      <c r="F243" s="45"/>
      <c r="G243" s="45">
        <v>2302933</v>
      </c>
      <c r="H243" s="45"/>
      <c r="I243" s="45">
        <v>218436</v>
      </c>
      <c r="J243" s="45"/>
      <c r="K243" s="45">
        <v>0</v>
      </c>
      <c r="L243" s="45"/>
      <c r="M243" s="45">
        <v>239961</v>
      </c>
      <c r="N243" s="45"/>
      <c r="O243" s="45">
        <v>412750</v>
      </c>
      <c r="P243" s="45"/>
      <c r="Q243" s="45">
        <v>23520</v>
      </c>
      <c r="R243" s="45"/>
      <c r="S243" s="45">
        <v>1300</v>
      </c>
      <c r="T243" s="45"/>
      <c r="U243" s="45">
        <v>0</v>
      </c>
      <c r="V243" s="45"/>
      <c r="W243" s="45">
        <v>0</v>
      </c>
      <c r="X243" s="45"/>
      <c r="Y243" s="45">
        <v>0</v>
      </c>
      <c r="Z243" s="44"/>
      <c r="AA243" s="45">
        <v>0</v>
      </c>
      <c r="AB243" s="44"/>
      <c r="AC243" s="45">
        <f t="shared" si="9"/>
        <v>3774906</v>
      </c>
      <c r="AD243" s="45"/>
      <c r="AE243" s="48">
        <v>0</v>
      </c>
      <c r="AF243" s="48"/>
      <c r="AG243" s="45">
        <v>51535</v>
      </c>
      <c r="AH243" s="45"/>
      <c r="AI243" s="45">
        <v>423282</v>
      </c>
      <c r="AJ243" s="45"/>
      <c r="AK243" s="45">
        <v>-10015</v>
      </c>
      <c r="AL243" s="45"/>
      <c r="AM243" s="45">
        <f>+'Gen rev'!U244-'Gen exp'!AC243-AG243+'Gen rev'!W244+AI243+AK243-'Gen Bal'!S244-'Gen exp'!AE243</f>
        <v>0</v>
      </c>
      <c r="AN243" s="94"/>
      <c r="AO243" s="94"/>
      <c r="AP243" s="94"/>
      <c r="AQ243" s="94"/>
      <c r="AR243" s="90"/>
      <c r="AS243" s="64"/>
    </row>
    <row r="244" spans="1:45" s="49" customFormat="1" ht="12.75" customHeight="1" x14ac:dyDescent="0.2">
      <c r="A244" s="28" t="s">
        <v>268</v>
      </c>
      <c r="C244" s="28" t="s">
        <v>269</v>
      </c>
      <c r="E244" s="45">
        <v>843285</v>
      </c>
      <c r="F244" s="45"/>
      <c r="G244" s="45">
        <v>75072</v>
      </c>
      <c r="H244" s="45"/>
      <c r="I244" s="45">
        <v>0</v>
      </c>
      <c r="J244" s="45"/>
      <c r="K244" s="45">
        <v>1470</v>
      </c>
      <c r="L244" s="45"/>
      <c r="M244" s="45">
        <v>0</v>
      </c>
      <c r="N244" s="45"/>
      <c r="O244" s="45">
        <v>82919</v>
      </c>
      <c r="P244" s="45"/>
      <c r="Q244" s="45">
        <v>0</v>
      </c>
      <c r="R244" s="45"/>
      <c r="S244" s="45">
        <v>0</v>
      </c>
      <c r="T244" s="45"/>
      <c r="U244" s="45">
        <v>0</v>
      </c>
      <c r="V244" s="45"/>
      <c r="W244" s="45">
        <v>0</v>
      </c>
      <c r="X244" s="45"/>
      <c r="Y244" s="45">
        <v>0</v>
      </c>
      <c r="Z244" s="44"/>
      <c r="AA244" s="45">
        <v>0</v>
      </c>
      <c r="AB244" s="44"/>
      <c r="AC244" s="45">
        <f t="shared" si="9"/>
        <v>1002746</v>
      </c>
      <c r="AD244" s="45"/>
      <c r="AE244" s="48">
        <v>0</v>
      </c>
      <c r="AF244" s="48"/>
      <c r="AG244" s="45">
        <v>1079556</v>
      </c>
      <c r="AH244" s="45"/>
      <c r="AI244" s="45">
        <v>762375</v>
      </c>
      <c r="AJ244" s="45"/>
      <c r="AK244" s="45">
        <v>0</v>
      </c>
      <c r="AL244" s="45"/>
      <c r="AM244" s="45">
        <f>+'Gen rev'!U245-'Gen exp'!AC244-AG244+'Gen rev'!W245+AI244+AK244-'Gen Bal'!S245-'Gen exp'!AE244</f>
        <v>0</v>
      </c>
      <c r="AN244" s="44"/>
      <c r="AO244" s="44"/>
      <c r="AP244" s="44"/>
      <c r="AQ244" s="44"/>
    </row>
    <row r="245" spans="1:45" s="49" customFormat="1" ht="12.75" customHeight="1" x14ac:dyDescent="0.2">
      <c r="A245" s="28" t="s">
        <v>270</v>
      </c>
      <c r="C245" s="28" t="s">
        <v>136</v>
      </c>
      <c r="E245" s="45">
        <v>540942</v>
      </c>
      <c r="F245" s="45"/>
      <c r="G245" s="45">
        <v>864537</v>
      </c>
      <c r="H245" s="45"/>
      <c r="I245" s="45">
        <v>0</v>
      </c>
      <c r="J245" s="45"/>
      <c r="K245" s="45">
        <v>0</v>
      </c>
      <c r="L245" s="45"/>
      <c r="M245" s="45">
        <v>0</v>
      </c>
      <c r="N245" s="45"/>
      <c r="O245" s="45">
        <v>0</v>
      </c>
      <c r="P245" s="45"/>
      <c r="Q245" s="45">
        <v>0</v>
      </c>
      <c r="R245" s="45"/>
      <c r="S245" s="45">
        <v>0</v>
      </c>
      <c r="T245" s="45"/>
      <c r="U245" s="45">
        <v>0</v>
      </c>
      <c r="V245" s="45"/>
      <c r="W245" s="45">
        <v>63531</v>
      </c>
      <c r="X245" s="45"/>
      <c r="Y245" s="45">
        <v>290</v>
      </c>
      <c r="Z245" s="44"/>
      <c r="AA245" s="45">
        <v>0</v>
      </c>
      <c r="AB245" s="44"/>
      <c r="AC245" s="45">
        <f t="shared" si="9"/>
        <v>1469300</v>
      </c>
      <c r="AD245" s="45"/>
      <c r="AE245" s="48">
        <v>0</v>
      </c>
      <c r="AF245" s="48"/>
      <c r="AG245" s="45">
        <v>76383</v>
      </c>
      <c r="AH245" s="45"/>
      <c r="AI245" s="45">
        <v>379621</v>
      </c>
      <c r="AJ245" s="45"/>
      <c r="AK245" s="45">
        <v>0</v>
      </c>
      <c r="AL245" s="45"/>
      <c r="AM245" s="45">
        <f>+'Gen rev'!U246-'Gen exp'!AC245-AG245+'Gen rev'!W246+AI245+AK245-'Gen Bal'!S246-'Gen exp'!AE245</f>
        <v>0</v>
      </c>
      <c r="AN245" s="44"/>
      <c r="AO245" s="44"/>
      <c r="AP245" s="44"/>
      <c r="AQ245" s="44"/>
    </row>
    <row r="246" spans="1:45" s="46" customFormat="1" ht="12.75" customHeight="1" x14ac:dyDescent="0.2">
      <c r="A246" s="28" t="s">
        <v>271</v>
      </c>
      <c r="B246" s="49"/>
      <c r="C246" s="28" t="s">
        <v>66</v>
      </c>
      <c r="D246" s="49"/>
      <c r="E246" s="45">
        <v>871530</v>
      </c>
      <c r="F246" s="45"/>
      <c r="G246" s="45">
        <v>4536356</v>
      </c>
      <c r="H246" s="45"/>
      <c r="I246" s="45">
        <v>747495</v>
      </c>
      <c r="J246" s="45"/>
      <c r="K246" s="45">
        <v>0</v>
      </c>
      <c r="L246" s="45"/>
      <c r="M246" s="45">
        <v>0</v>
      </c>
      <c r="N246" s="45"/>
      <c r="O246" s="45">
        <v>674016</v>
      </c>
      <c r="P246" s="45"/>
      <c r="Q246" s="45">
        <v>0</v>
      </c>
      <c r="R246" s="45"/>
      <c r="S246" s="45">
        <v>0</v>
      </c>
      <c r="T246" s="45"/>
      <c r="U246" s="45">
        <v>0</v>
      </c>
      <c r="V246" s="45"/>
      <c r="W246" s="45">
        <v>0</v>
      </c>
      <c r="X246" s="45"/>
      <c r="Y246" s="45">
        <v>0</v>
      </c>
      <c r="Z246" s="44"/>
      <c r="AA246" s="45">
        <v>0</v>
      </c>
      <c r="AB246" s="44"/>
      <c r="AC246" s="45">
        <f t="shared" si="9"/>
        <v>6829397</v>
      </c>
      <c r="AD246" s="45"/>
      <c r="AE246" s="48">
        <v>0</v>
      </c>
      <c r="AF246" s="48"/>
      <c r="AG246" s="45">
        <v>354072</v>
      </c>
      <c r="AH246" s="45"/>
      <c r="AI246" s="45">
        <v>1658121</v>
      </c>
      <c r="AJ246" s="45"/>
      <c r="AK246" s="45">
        <v>0</v>
      </c>
      <c r="AL246" s="45"/>
      <c r="AM246" s="45">
        <f>+'Gen rev'!U247-'Gen exp'!AC246-AG246+'Gen rev'!W247+AI246+AK246-'Gen Bal'!S247-'Gen exp'!AE246</f>
        <v>0</v>
      </c>
    </row>
    <row r="247" spans="1:45" s="44" customFormat="1" ht="12.75" customHeight="1" x14ac:dyDescent="0.2">
      <c r="A247" s="35" t="s">
        <v>272</v>
      </c>
      <c r="C247" s="35" t="s">
        <v>43</v>
      </c>
      <c r="E247" s="45">
        <v>10903057</v>
      </c>
      <c r="F247" s="45"/>
      <c r="G247" s="45">
        <v>13977448</v>
      </c>
      <c r="H247" s="45"/>
      <c r="I247" s="45">
        <v>2685053</v>
      </c>
      <c r="J247" s="45"/>
      <c r="K247" s="45">
        <v>179322</v>
      </c>
      <c r="L247" s="45"/>
      <c r="M247" s="45">
        <v>0</v>
      </c>
      <c r="N247" s="45"/>
      <c r="O247" s="45">
        <v>0</v>
      </c>
      <c r="P247" s="45"/>
      <c r="Q247" s="45">
        <v>651873</v>
      </c>
      <c r="R247" s="45"/>
      <c r="S247" s="45">
        <v>0</v>
      </c>
      <c r="T247" s="45"/>
      <c r="U247" s="45">
        <v>0</v>
      </c>
      <c r="V247" s="45"/>
      <c r="W247" s="45">
        <v>665</v>
      </c>
      <c r="X247" s="45"/>
      <c r="Y247" s="45">
        <v>827</v>
      </c>
      <c r="AA247" s="45">
        <v>0</v>
      </c>
      <c r="AC247" s="45">
        <f t="shared" si="9"/>
        <v>28398245</v>
      </c>
      <c r="AD247" s="45"/>
      <c r="AE247" s="48">
        <v>0</v>
      </c>
      <c r="AF247" s="48"/>
      <c r="AG247" s="45">
        <v>5159511</v>
      </c>
      <c r="AH247" s="45"/>
      <c r="AI247" s="45">
        <v>32677208</v>
      </c>
      <c r="AJ247" s="45"/>
      <c r="AK247" s="45">
        <v>0</v>
      </c>
      <c r="AL247" s="45"/>
      <c r="AM247" s="45">
        <f>+'Gen rev'!U248-'Gen exp'!AC247-AG247+'Gen rev'!W248+AI247+AK247-'Gen Bal'!S248-'Gen exp'!AE247</f>
        <v>0</v>
      </c>
      <c r="AN247" s="45"/>
      <c r="AO247" s="45"/>
      <c r="AP247" s="45"/>
      <c r="AQ247" s="45"/>
      <c r="AR247" s="55"/>
      <c r="AS247" s="35"/>
    </row>
    <row r="248" spans="1:45" s="49" customFormat="1" ht="12.75" customHeight="1" x14ac:dyDescent="0.2">
      <c r="A248" s="28" t="s">
        <v>273</v>
      </c>
      <c r="C248" s="28" t="s">
        <v>27</v>
      </c>
      <c r="E248" s="45">
        <v>6449018</v>
      </c>
      <c r="F248" s="45"/>
      <c r="G248" s="45">
        <v>9770127</v>
      </c>
      <c r="H248" s="45"/>
      <c r="I248" s="45">
        <v>1581495</v>
      </c>
      <c r="J248" s="45"/>
      <c r="K248" s="45">
        <v>1014303</v>
      </c>
      <c r="L248" s="45"/>
      <c r="M248" s="45">
        <v>4962084</v>
      </c>
      <c r="N248" s="45"/>
      <c r="O248" s="45">
        <v>782521</v>
      </c>
      <c r="P248" s="45"/>
      <c r="Q248" s="45">
        <v>625175</v>
      </c>
      <c r="R248" s="45"/>
      <c r="S248" s="45">
        <v>18182</v>
      </c>
      <c r="T248" s="45"/>
      <c r="U248" s="45">
        <v>0</v>
      </c>
      <c r="V248" s="45"/>
      <c r="W248" s="45">
        <v>0</v>
      </c>
      <c r="X248" s="45"/>
      <c r="Y248" s="45">
        <v>0</v>
      </c>
      <c r="Z248" s="44"/>
      <c r="AA248" s="45">
        <v>0</v>
      </c>
      <c r="AB248" s="44"/>
      <c r="AC248" s="45">
        <f t="shared" si="9"/>
        <v>25202905</v>
      </c>
      <c r="AD248" s="45"/>
      <c r="AE248" s="48">
        <v>0</v>
      </c>
      <c r="AF248" s="48"/>
      <c r="AG248" s="45">
        <v>844233</v>
      </c>
      <c r="AH248" s="45"/>
      <c r="AI248" s="45">
        <v>29006284</v>
      </c>
      <c r="AJ248" s="45"/>
      <c r="AK248" s="45">
        <v>0</v>
      </c>
      <c r="AL248" s="45"/>
      <c r="AM248" s="45">
        <f>+'Gen rev'!U249-'Gen exp'!AC248-AG248+'Gen rev'!W249+AI248+AK248-'Gen Bal'!S249-'Gen exp'!AE248</f>
        <v>0</v>
      </c>
      <c r="AN248" s="45"/>
      <c r="AO248" s="45"/>
      <c r="AP248" s="45"/>
      <c r="AQ248" s="45"/>
      <c r="AR248" s="52"/>
      <c r="AS248" s="50"/>
    </row>
    <row r="249" spans="1:45" s="49" customFormat="1" ht="12.75" customHeight="1" x14ac:dyDescent="0.2">
      <c r="A249" s="28" t="s">
        <v>274</v>
      </c>
      <c r="C249" s="28" t="s">
        <v>43</v>
      </c>
      <c r="E249" s="45">
        <v>5887520</v>
      </c>
      <c r="F249" s="45"/>
      <c r="G249" s="45">
        <v>11042892</v>
      </c>
      <c r="H249" s="45"/>
      <c r="I249" s="45">
        <v>2791</v>
      </c>
      <c r="J249" s="45"/>
      <c r="K249" s="45">
        <v>110096</v>
      </c>
      <c r="L249" s="45"/>
      <c r="M249" s="45">
        <v>581390</v>
      </c>
      <c r="N249" s="45"/>
      <c r="O249" s="45">
        <v>670318</v>
      </c>
      <c r="P249" s="45"/>
      <c r="Q249" s="45">
        <v>1404511</v>
      </c>
      <c r="R249" s="45"/>
      <c r="S249" s="45">
        <v>233022</v>
      </c>
      <c r="T249" s="45"/>
      <c r="U249" s="45">
        <v>0</v>
      </c>
      <c r="V249" s="45"/>
      <c r="W249" s="45">
        <v>7434</v>
      </c>
      <c r="X249" s="45"/>
      <c r="Y249" s="45">
        <v>2622</v>
      </c>
      <c r="Z249" s="44"/>
      <c r="AA249" s="45">
        <v>0</v>
      </c>
      <c r="AB249" s="44"/>
      <c r="AC249" s="45">
        <f t="shared" si="9"/>
        <v>19942596</v>
      </c>
      <c r="AD249" s="45"/>
      <c r="AE249" s="48">
        <v>0</v>
      </c>
      <c r="AF249" s="48"/>
      <c r="AG249" s="45">
        <v>3153317</v>
      </c>
      <c r="AH249" s="45"/>
      <c r="AI249" s="45">
        <v>4457548</v>
      </c>
      <c r="AJ249" s="45"/>
      <c r="AK249" s="45">
        <v>0</v>
      </c>
      <c r="AL249" s="45"/>
      <c r="AM249" s="45">
        <f>+'Gen rev'!U250-'Gen exp'!AC249-AG249+'Gen rev'!W250+AI249+AK249-'Gen Bal'!S250-'Gen exp'!AE249</f>
        <v>0</v>
      </c>
      <c r="AN249" s="44"/>
      <c r="AO249" s="44"/>
      <c r="AP249" s="44"/>
      <c r="AQ249" s="44"/>
    </row>
    <row r="250" spans="1:45" s="49" customFormat="1" ht="12.75" customHeight="1" x14ac:dyDescent="0.2">
      <c r="A250" s="28" t="s">
        <v>275</v>
      </c>
      <c r="C250" s="28" t="s">
        <v>92</v>
      </c>
      <c r="E250" s="45">
        <v>4307465</v>
      </c>
      <c r="F250" s="45"/>
      <c r="G250" s="45">
        <v>6054328</v>
      </c>
      <c r="H250" s="45"/>
      <c r="I250" s="45">
        <v>228750</v>
      </c>
      <c r="J250" s="45"/>
      <c r="K250" s="45">
        <v>9186</v>
      </c>
      <c r="L250" s="45"/>
      <c r="M250" s="45">
        <v>1263990</v>
      </c>
      <c r="N250" s="45"/>
      <c r="O250" s="45">
        <v>245084</v>
      </c>
      <c r="P250" s="45"/>
      <c r="Q250" s="45">
        <v>972193</v>
      </c>
      <c r="R250" s="45"/>
      <c r="S250" s="45">
        <v>0</v>
      </c>
      <c r="T250" s="45"/>
      <c r="U250" s="45">
        <v>0</v>
      </c>
      <c r="V250" s="45"/>
      <c r="W250" s="45">
        <v>0</v>
      </c>
      <c r="X250" s="45"/>
      <c r="Y250" s="45">
        <v>0</v>
      </c>
      <c r="Z250" s="44"/>
      <c r="AA250" s="45">
        <v>0</v>
      </c>
      <c r="AB250" s="44"/>
      <c r="AC250" s="45">
        <f t="shared" si="9"/>
        <v>13080996</v>
      </c>
      <c r="AD250" s="45"/>
      <c r="AE250" s="48">
        <v>0</v>
      </c>
      <c r="AF250" s="48"/>
      <c r="AG250" s="45">
        <v>221515</v>
      </c>
      <c r="AH250" s="45"/>
      <c r="AI250" s="45">
        <v>7217499</v>
      </c>
      <c r="AJ250" s="45"/>
      <c r="AK250" s="45">
        <v>29316</v>
      </c>
      <c r="AL250" s="45"/>
      <c r="AM250" s="45">
        <f>+'Gen rev'!U251-'Gen exp'!AC250-AG250+'Gen rev'!W251+AI250+AK250-'Gen Bal'!S251-'Gen exp'!AE250</f>
        <v>0</v>
      </c>
      <c r="AN250" s="44"/>
      <c r="AO250" s="44"/>
      <c r="AP250" s="44"/>
      <c r="AQ250" s="44"/>
    </row>
    <row r="251" spans="1:45" s="49" customFormat="1" ht="12.75" customHeight="1" x14ac:dyDescent="0.2">
      <c r="A251" s="28"/>
      <c r="C251" s="28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4"/>
      <c r="AA251" s="45"/>
      <c r="AB251" s="44"/>
      <c r="AC251" s="45"/>
      <c r="AD251" s="45"/>
      <c r="AE251" s="48"/>
      <c r="AF251" s="48"/>
      <c r="AG251" s="48" t="s">
        <v>484</v>
      </c>
      <c r="AH251" s="45"/>
      <c r="AI251" s="45"/>
      <c r="AJ251" s="45"/>
      <c r="AK251" s="45"/>
      <c r="AL251" s="45"/>
      <c r="AM251" s="45"/>
      <c r="AN251" s="44"/>
      <c r="AO251" s="44"/>
      <c r="AP251" s="44"/>
      <c r="AQ251" s="44"/>
    </row>
    <row r="252" spans="1:45" s="46" customFormat="1" ht="12.75" customHeight="1" x14ac:dyDescent="0.2">
      <c r="A252" s="64" t="s">
        <v>276</v>
      </c>
      <c r="C252" s="64" t="s">
        <v>38</v>
      </c>
      <c r="E252" s="94">
        <v>717166</v>
      </c>
      <c r="F252" s="94"/>
      <c r="G252" s="94">
        <v>2294470</v>
      </c>
      <c r="H252" s="94"/>
      <c r="I252" s="94">
        <v>206114</v>
      </c>
      <c r="J252" s="94"/>
      <c r="K252" s="94">
        <v>41745</v>
      </c>
      <c r="L252" s="94"/>
      <c r="M252" s="94">
        <v>254822</v>
      </c>
      <c r="N252" s="94"/>
      <c r="O252" s="94">
        <v>0</v>
      </c>
      <c r="P252" s="94"/>
      <c r="Q252" s="94">
        <v>0</v>
      </c>
      <c r="R252" s="94"/>
      <c r="S252" s="94">
        <v>0</v>
      </c>
      <c r="T252" s="94"/>
      <c r="U252" s="94">
        <v>0</v>
      </c>
      <c r="V252" s="94"/>
      <c r="W252" s="94">
        <v>0</v>
      </c>
      <c r="X252" s="94"/>
      <c r="Y252" s="94">
        <v>0</v>
      </c>
      <c r="AA252" s="94">
        <v>0</v>
      </c>
      <c r="AC252" s="94">
        <f t="shared" ref="AC252:AC261" si="11">SUM(E252:AA252)</f>
        <v>3514317</v>
      </c>
      <c r="AD252" s="94"/>
      <c r="AE252" s="68">
        <v>0</v>
      </c>
      <c r="AF252" s="68"/>
      <c r="AG252" s="94">
        <v>12000</v>
      </c>
      <c r="AH252" s="94"/>
      <c r="AI252" s="94">
        <v>4354746</v>
      </c>
      <c r="AJ252" s="94"/>
      <c r="AK252" s="94">
        <v>0</v>
      </c>
      <c r="AL252" s="94"/>
      <c r="AM252" s="94">
        <f>+'Gen rev'!U252-'Gen exp'!AC252-AG252+'Gen rev'!W252+AI252+AK252-'Gen Bal'!S252-'Gen exp'!AE252</f>
        <v>0</v>
      </c>
      <c r="AN252" s="94"/>
      <c r="AO252" s="94"/>
      <c r="AP252" s="94"/>
      <c r="AQ252" s="94"/>
      <c r="AR252" s="90"/>
      <c r="AS252" s="64"/>
    </row>
    <row r="253" spans="1:45" s="49" customFormat="1" ht="12.75" customHeight="1" x14ac:dyDescent="0.2">
      <c r="A253" s="28" t="s">
        <v>277</v>
      </c>
      <c r="C253" s="28" t="s">
        <v>92</v>
      </c>
      <c r="E253" s="45">
        <v>6398968</v>
      </c>
      <c r="F253" s="45"/>
      <c r="G253" s="45">
        <v>11507178</v>
      </c>
      <c r="H253" s="45"/>
      <c r="I253" s="45">
        <v>859222</v>
      </c>
      <c r="J253" s="45"/>
      <c r="K253" s="45">
        <v>478626</v>
      </c>
      <c r="L253" s="45"/>
      <c r="M253" s="45">
        <v>94754</v>
      </c>
      <c r="N253" s="45"/>
      <c r="O253" s="45">
        <v>799319</v>
      </c>
      <c r="P253" s="45"/>
      <c r="Q253" s="45">
        <v>1283005</v>
      </c>
      <c r="R253" s="45"/>
      <c r="S253" s="45">
        <v>47637</v>
      </c>
      <c r="T253" s="45"/>
      <c r="U253" s="45">
        <v>0</v>
      </c>
      <c r="V253" s="45"/>
      <c r="W253" s="45">
        <v>0</v>
      </c>
      <c r="X253" s="45"/>
      <c r="Y253" s="45">
        <v>0</v>
      </c>
      <c r="Z253" s="44"/>
      <c r="AA253" s="45">
        <v>0</v>
      </c>
      <c r="AB253" s="44"/>
      <c r="AC253" s="45">
        <f t="shared" si="11"/>
        <v>21468709</v>
      </c>
      <c r="AD253" s="45"/>
      <c r="AE253" s="48">
        <v>0</v>
      </c>
      <c r="AF253" s="48"/>
      <c r="AG253" s="45">
        <v>3400000</v>
      </c>
      <c r="AH253" s="45"/>
      <c r="AI253" s="45">
        <v>10194040</v>
      </c>
      <c r="AJ253" s="45"/>
      <c r="AK253" s="45">
        <v>-11219</v>
      </c>
      <c r="AL253" s="45"/>
      <c r="AM253" s="45">
        <f>+'Gen rev'!U253-'Gen exp'!AC253-AG253+'Gen rev'!W253+AI253+AK253-'Gen Bal'!S253-'Gen exp'!AE253</f>
        <v>0</v>
      </c>
      <c r="AN253" s="44"/>
      <c r="AO253" s="44"/>
      <c r="AP253" s="44"/>
      <c r="AQ253" s="44"/>
    </row>
    <row r="254" spans="1:45" s="49" customFormat="1" ht="12.75" customHeight="1" x14ac:dyDescent="0.2">
      <c r="A254" s="28" t="s">
        <v>278</v>
      </c>
      <c r="C254" s="28" t="s">
        <v>92</v>
      </c>
      <c r="E254" s="45">
        <v>2765942</v>
      </c>
      <c r="F254" s="45"/>
      <c r="G254" s="45">
        <v>2754</v>
      </c>
      <c r="H254" s="45"/>
      <c r="I254" s="45">
        <v>144020</v>
      </c>
      <c r="J254" s="45"/>
      <c r="K254" s="45">
        <v>0</v>
      </c>
      <c r="L254" s="45"/>
      <c r="M254" s="45">
        <v>0</v>
      </c>
      <c r="N254" s="45"/>
      <c r="O254" s="45">
        <v>226386</v>
      </c>
      <c r="P254" s="45"/>
      <c r="Q254" s="45">
        <v>0</v>
      </c>
      <c r="R254" s="45"/>
      <c r="S254" s="45">
        <v>0</v>
      </c>
      <c r="T254" s="45"/>
      <c r="U254" s="45">
        <v>0</v>
      </c>
      <c r="V254" s="45"/>
      <c r="W254" s="45">
        <v>0</v>
      </c>
      <c r="X254" s="45"/>
      <c r="Y254" s="45">
        <v>0</v>
      </c>
      <c r="Z254" s="44"/>
      <c r="AA254" s="45">
        <v>0</v>
      </c>
      <c r="AB254" s="44"/>
      <c r="AC254" s="45">
        <f t="shared" si="11"/>
        <v>3139102</v>
      </c>
      <c r="AD254" s="45"/>
      <c r="AE254" s="48">
        <v>0</v>
      </c>
      <c r="AF254" s="48"/>
      <c r="AG254" s="45">
        <v>4281662</v>
      </c>
      <c r="AH254" s="45"/>
      <c r="AI254" s="45">
        <v>941117</v>
      </c>
      <c r="AJ254" s="45"/>
      <c r="AK254" s="45">
        <v>0</v>
      </c>
      <c r="AL254" s="45"/>
      <c r="AM254" s="45">
        <f>+'Gen rev'!U254-'Gen exp'!AC254-AG254+'Gen rev'!W254+AI254+AK254-'Gen Bal'!S254-'Gen exp'!AE254</f>
        <v>0</v>
      </c>
      <c r="AN254" s="44"/>
      <c r="AO254" s="44"/>
      <c r="AP254" s="44"/>
      <c r="AQ254" s="44"/>
    </row>
    <row r="255" spans="1:45" s="49" customFormat="1" ht="12.75" customHeight="1" x14ac:dyDescent="0.2">
      <c r="A255" s="28" t="s">
        <v>279</v>
      </c>
      <c r="C255" s="28" t="s">
        <v>92</v>
      </c>
      <c r="E255" s="45">
        <v>1710177</v>
      </c>
      <c r="F255" s="45"/>
      <c r="G255" s="45">
        <v>3475607</v>
      </c>
      <c r="H255" s="45"/>
      <c r="I255" s="45">
        <v>319238</v>
      </c>
      <c r="J255" s="45"/>
      <c r="K255" s="45">
        <v>105344</v>
      </c>
      <c r="L255" s="45"/>
      <c r="M255" s="45">
        <v>260173</v>
      </c>
      <c r="N255" s="45"/>
      <c r="O255" s="45">
        <v>840781</v>
      </c>
      <c r="P255" s="45"/>
      <c r="Q255" s="45">
        <v>1079272</v>
      </c>
      <c r="R255" s="45"/>
      <c r="S255" s="45">
        <v>0</v>
      </c>
      <c r="T255" s="45"/>
      <c r="U255" s="45">
        <v>0</v>
      </c>
      <c r="V255" s="45"/>
      <c r="W255" s="45">
        <v>7106</v>
      </c>
      <c r="X255" s="45"/>
      <c r="Y255" s="45">
        <v>1210</v>
      </c>
      <c r="Z255" s="44"/>
      <c r="AA255" s="45">
        <v>0</v>
      </c>
      <c r="AB255" s="44"/>
      <c r="AC255" s="45">
        <f t="shared" si="11"/>
        <v>7798908</v>
      </c>
      <c r="AD255" s="45"/>
      <c r="AE255" s="48">
        <v>0</v>
      </c>
      <c r="AF255" s="48"/>
      <c r="AG255" s="45">
        <v>340000</v>
      </c>
      <c r="AH255" s="45"/>
      <c r="AI255" s="45">
        <v>1787588</v>
      </c>
      <c r="AJ255" s="45"/>
      <c r="AK255" s="45">
        <v>0</v>
      </c>
      <c r="AL255" s="45"/>
      <c r="AM255" s="45">
        <f>+'Gen rev'!U255-'Gen exp'!AC255-AG255+'Gen rev'!W255+AI255+AK255-'Gen Bal'!S255-'Gen exp'!AE255</f>
        <v>0</v>
      </c>
      <c r="AN255" s="44"/>
      <c r="AO255" s="44"/>
      <c r="AP255" s="44"/>
      <c r="AQ255" s="44"/>
    </row>
    <row r="256" spans="1:45" s="49" customFormat="1" ht="12.75" customHeight="1" x14ac:dyDescent="0.2">
      <c r="A256" s="28" t="s">
        <v>280</v>
      </c>
      <c r="C256" s="28" t="s">
        <v>281</v>
      </c>
      <c r="E256" s="45">
        <v>4461522</v>
      </c>
      <c r="F256" s="45"/>
      <c r="G256" s="45">
        <v>19703</v>
      </c>
      <c r="H256" s="45"/>
      <c r="I256" s="45">
        <v>0</v>
      </c>
      <c r="J256" s="45"/>
      <c r="K256" s="45">
        <v>0</v>
      </c>
      <c r="L256" s="45"/>
      <c r="M256" s="45">
        <v>0</v>
      </c>
      <c r="N256" s="45"/>
      <c r="O256" s="45">
        <v>0</v>
      </c>
      <c r="P256" s="45"/>
      <c r="Q256" s="45">
        <v>0</v>
      </c>
      <c r="R256" s="45"/>
      <c r="S256" s="45">
        <v>39527</v>
      </c>
      <c r="T256" s="45"/>
      <c r="U256" s="45">
        <v>0</v>
      </c>
      <c r="V256" s="45"/>
      <c r="W256" s="45">
        <v>64905</v>
      </c>
      <c r="X256" s="45"/>
      <c r="Y256" s="45">
        <v>63982</v>
      </c>
      <c r="Z256" s="44"/>
      <c r="AA256" s="45">
        <v>0</v>
      </c>
      <c r="AB256" s="44"/>
      <c r="AC256" s="45">
        <f t="shared" si="11"/>
        <v>4649639</v>
      </c>
      <c r="AD256" s="45"/>
      <c r="AE256" s="48">
        <v>0</v>
      </c>
      <c r="AF256" s="48"/>
      <c r="AG256" s="45">
        <v>4318627</v>
      </c>
      <c r="AH256" s="45"/>
      <c r="AI256" s="45">
        <v>4836463</v>
      </c>
      <c r="AJ256" s="45"/>
      <c r="AK256" s="45">
        <v>0</v>
      </c>
      <c r="AL256" s="45"/>
      <c r="AM256" s="45">
        <f>+'Gen rev'!U256-'Gen exp'!AC256-AG256+'Gen rev'!W256+AI256+AK256-'Gen Bal'!S256-'Gen exp'!AE256</f>
        <v>0</v>
      </c>
      <c r="AN256" s="44"/>
      <c r="AO256" s="44"/>
      <c r="AP256" s="44"/>
      <c r="AQ256" s="44"/>
    </row>
    <row r="257" spans="1:45" s="49" customFormat="1" ht="12.75" customHeight="1" x14ac:dyDescent="0.2">
      <c r="A257" s="28" t="s">
        <v>282</v>
      </c>
      <c r="C257" s="28" t="s">
        <v>199</v>
      </c>
      <c r="E257" s="45">
        <v>2889589</v>
      </c>
      <c r="F257" s="45"/>
      <c r="G257" s="45">
        <v>9486771</v>
      </c>
      <c r="H257" s="45"/>
      <c r="I257" s="45">
        <v>782950</v>
      </c>
      <c r="J257" s="45"/>
      <c r="K257" s="45">
        <v>139670</v>
      </c>
      <c r="L257" s="45"/>
      <c r="M257" s="45">
        <v>968766</v>
      </c>
      <c r="N257" s="45"/>
      <c r="O257" s="45">
        <v>1365853</v>
      </c>
      <c r="P257" s="45"/>
      <c r="Q257" s="45">
        <v>0</v>
      </c>
      <c r="R257" s="45"/>
      <c r="S257" s="45">
        <v>0</v>
      </c>
      <c r="T257" s="45"/>
      <c r="U257" s="45">
        <v>0</v>
      </c>
      <c r="V257" s="45"/>
      <c r="W257" s="45">
        <v>133621</v>
      </c>
      <c r="X257" s="45"/>
      <c r="Y257" s="45">
        <v>25854</v>
      </c>
      <c r="Z257" s="44"/>
      <c r="AA257" s="45">
        <v>0</v>
      </c>
      <c r="AB257" s="44"/>
      <c r="AC257" s="45">
        <f t="shared" si="11"/>
        <v>15793074</v>
      </c>
      <c r="AD257" s="45"/>
      <c r="AE257" s="48">
        <v>0</v>
      </c>
      <c r="AF257" s="48"/>
      <c r="AG257" s="45">
        <v>73950</v>
      </c>
      <c r="AH257" s="45"/>
      <c r="AI257" s="45">
        <v>9532227</v>
      </c>
      <c r="AJ257" s="45"/>
      <c r="AK257" s="45">
        <v>0</v>
      </c>
      <c r="AL257" s="45"/>
      <c r="AM257" s="45">
        <f>+'Gen rev'!U257-'Gen exp'!AC257-AG257+'Gen rev'!W257+AI257+AK257-'Gen Bal'!S257-'Gen exp'!AE257</f>
        <v>0</v>
      </c>
      <c r="AN257" s="45"/>
      <c r="AO257" s="45"/>
      <c r="AP257" s="45"/>
      <c r="AQ257" s="45"/>
      <c r="AR257" s="52"/>
      <c r="AS257" s="50"/>
    </row>
    <row r="258" spans="1:45" s="49" customFormat="1" ht="12.75" customHeight="1" x14ac:dyDescent="0.2">
      <c r="A258" s="28" t="s">
        <v>283</v>
      </c>
      <c r="C258" s="28" t="s">
        <v>43</v>
      </c>
      <c r="E258" s="45">
        <v>5309202</v>
      </c>
      <c r="F258" s="45"/>
      <c r="G258" s="45">
        <v>9633915</v>
      </c>
      <c r="H258" s="45"/>
      <c r="I258" s="45">
        <v>872003</v>
      </c>
      <c r="J258" s="45"/>
      <c r="K258" s="45">
        <v>61674</v>
      </c>
      <c r="L258" s="45"/>
      <c r="M258" s="45">
        <v>1502205</v>
      </c>
      <c r="N258" s="45"/>
      <c r="O258" s="45">
        <v>3146393</v>
      </c>
      <c r="P258" s="45"/>
      <c r="Q258" s="45">
        <v>1770875</v>
      </c>
      <c r="R258" s="45"/>
      <c r="S258" s="45">
        <v>0</v>
      </c>
      <c r="T258" s="45"/>
      <c r="U258" s="45">
        <v>0</v>
      </c>
      <c r="V258" s="45"/>
      <c r="W258" s="45">
        <v>0</v>
      </c>
      <c r="X258" s="45"/>
      <c r="Y258" s="45">
        <v>0</v>
      </c>
      <c r="Z258" s="44"/>
      <c r="AA258" s="45">
        <v>0</v>
      </c>
      <c r="AB258" s="44"/>
      <c r="AC258" s="45">
        <f t="shared" si="11"/>
        <v>22296267</v>
      </c>
      <c r="AD258" s="45"/>
      <c r="AE258" s="48">
        <v>0</v>
      </c>
      <c r="AF258" s="48"/>
      <c r="AG258" s="45">
        <f>775000+32255</f>
        <v>807255</v>
      </c>
      <c r="AH258" s="45"/>
      <c r="AI258" s="45">
        <v>3499405</v>
      </c>
      <c r="AJ258" s="45"/>
      <c r="AK258" s="45">
        <v>0</v>
      </c>
      <c r="AL258" s="45"/>
      <c r="AM258" s="45">
        <f>+'Gen rev'!U258-'Gen exp'!AC258-AG258+'Gen rev'!W258+AI258+AK258-'Gen Bal'!S258-'Gen exp'!AE258</f>
        <v>0</v>
      </c>
      <c r="AN258" s="45"/>
      <c r="AO258" s="45"/>
      <c r="AP258" s="45"/>
      <c r="AQ258" s="45"/>
      <c r="AR258" s="52"/>
      <c r="AS258" s="50"/>
    </row>
    <row r="259" spans="1:45" s="49" customFormat="1" ht="12.75" customHeight="1" x14ac:dyDescent="0.2">
      <c r="A259" s="28" t="s">
        <v>284</v>
      </c>
      <c r="C259" s="28" t="s">
        <v>45</v>
      </c>
      <c r="E259" s="45">
        <v>2545477</v>
      </c>
      <c r="F259" s="45"/>
      <c r="G259" s="45">
        <v>2753844</v>
      </c>
      <c r="H259" s="45"/>
      <c r="I259" s="45">
        <v>287043</v>
      </c>
      <c r="J259" s="45"/>
      <c r="K259" s="45">
        <v>67258</v>
      </c>
      <c r="L259" s="45"/>
      <c r="M259" s="45">
        <v>586969</v>
      </c>
      <c r="N259" s="45"/>
      <c r="O259" s="45">
        <v>1394919</v>
      </c>
      <c r="P259" s="45"/>
      <c r="Q259" s="45">
        <v>511108</v>
      </c>
      <c r="R259" s="45"/>
      <c r="S259" s="45">
        <v>0</v>
      </c>
      <c r="T259" s="45"/>
      <c r="U259" s="45">
        <v>0</v>
      </c>
      <c r="V259" s="45"/>
      <c r="W259" s="45">
        <v>4060</v>
      </c>
      <c r="X259" s="45"/>
      <c r="Y259" s="45">
        <v>7000</v>
      </c>
      <c r="Z259" s="44"/>
      <c r="AA259" s="45">
        <v>0</v>
      </c>
      <c r="AB259" s="44"/>
      <c r="AC259" s="45">
        <f t="shared" si="11"/>
        <v>8157678</v>
      </c>
      <c r="AD259" s="45"/>
      <c r="AE259" s="48">
        <v>0</v>
      </c>
      <c r="AF259" s="48"/>
      <c r="AG259" s="45">
        <v>1153319</v>
      </c>
      <c r="AH259" s="45"/>
      <c r="AI259" s="45">
        <v>2395581</v>
      </c>
      <c r="AJ259" s="45"/>
      <c r="AK259" s="45">
        <v>0</v>
      </c>
      <c r="AL259" s="45"/>
      <c r="AM259" s="45">
        <f>+'Gen rev'!U259-'Gen exp'!AC259-AG259+'Gen rev'!W259+AI259+AK259-'Gen Bal'!S259-'Gen exp'!AE259</f>
        <v>0</v>
      </c>
      <c r="AN259" s="44"/>
      <c r="AO259" s="44"/>
      <c r="AP259" s="44"/>
      <c r="AQ259" s="44"/>
    </row>
    <row r="260" spans="1:45" s="49" customFormat="1" ht="12.75" customHeight="1" x14ac:dyDescent="0.2">
      <c r="A260" s="28" t="s">
        <v>285</v>
      </c>
      <c r="C260" s="28" t="s">
        <v>30</v>
      </c>
      <c r="E260" s="45">
        <v>3149741</v>
      </c>
      <c r="F260" s="45"/>
      <c r="G260" s="45">
        <v>159860</v>
      </c>
      <c r="H260" s="45"/>
      <c r="I260" s="45">
        <f>115864+2339</f>
        <v>118203</v>
      </c>
      <c r="J260" s="45"/>
      <c r="K260" s="45">
        <v>0</v>
      </c>
      <c r="L260" s="45"/>
      <c r="M260" s="45">
        <v>241757</v>
      </c>
      <c r="N260" s="45"/>
      <c r="O260" s="45">
        <v>158251</v>
      </c>
      <c r="P260" s="45"/>
      <c r="Q260" s="45">
        <v>0</v>
      </c>
      <c r="R260" s="45"/>
      <c r="S260" s="45">
        <v>0</v>
      </c>
      <c r="T260" s="45"/>
      <c r="U260" s="45">
        <v>0</v>
      </c>
      <c r="V260" s="45"/>
      <c r="W260" s="45">
        <v>0</v>
      </c>
      <c r="X260" s="45"/>
      <c r="Y260" s="45">
        <v>0</v>
      </c>
      <c r="Z260" s="44"/>
      <c r="AA260" s="45">
        <v>0</v>
      </c>
      <c r="AB260" s="44"/>
      <c r="AC260" s="45">
        <f t="shared" si="11"/>
        <v>3827812</v>
      </c>
      <c r="AD260" s="45"/>
      <c r="AE260" s="48">
        <v>0</v>
      </c>
      <c r="AF260" s="48"/>
      <c r="AG260" s="45">
        <v>5391500</v>
      </c>
      <c r="AH260" s="45"/>
      <c r="AI260" s="45">
        <v>2045737</v>
      </c>
      <c r="AJ260" s="45"/>
      <c r="AK260" s="45">
        <v>-2556</v>
      </c>
      <c r="AL260" s="45"/>
      <c r="AM260" s="45">
        <f>+'Gen rev'!U260-'Gen exp'!AC260-AG260+'Gen rev'!W260+AI260+AK260-'Gen Bal'!S260-'Gen exp'!AE260</f>
        <v>0</v>
      </c>
      <c r="AN260" s="44"/>
      <c r="AO260" s="44"/>
      <c r="AP260" s="44"/>
      <c r="AQ260" s="44"/>
    </row>
    <row r="261" spans="1:45" s="129" customFormat="1" ht="12.75" customHeight="1" x14ac:dyDescent="0.2">
      <c r="A261" s="28" t="s">
        <v>286</v>
      </c>
      <c r="B261" s="49"/>
      <c r="C261" s="28" t="s">
        <v>61</v>
      </c>
      <c r="D261" s="49"/>
      <c r="E261" s="45">
        <v>13571248</v>
      </c>
      <c r="F261" s="45"/>
      <c r="G261" s="45">
        <v>1206522</v>
      </c>
      <c r="H261" s="45"/>
      <c r="I261" s="45">
        <v>454164</v>
      </c>
      <c r="J261" s="45"/>
      <c r="K261" s="45">
        <v>1366070</v>
      </c>
      <c r="L261" s="45"/>
      <c r="M261" s="45">
        <v>0</v>
      </c>
      <c r="N261" s="45"/>
      <c r="O261" s="45">
        <v>68781</v>
      </c>
      <c r="P261" s="45"/>
      <c r="Q261" s="45">
        <v>2749335</v>
      </c>
      <c r="R261" s="45"/>
      <c r="S261" s="45">
        <v>0</v>
      </c>
      <c r="T261" s="45"/>
      <c r="U261" s="45">
        <v>0</v>
      </c>
      <c r="V261" s="45"/>
      <c r="W261" s="45">
        <v>17617</v>
      </c>
      <c r="X261" s="45"/>
      <c r="Y261" s="45">
        <v>2797</v>
      </c>
      <c r="Z261" s="44"/>
      <c r="AA261" s="45">
        <v>0</v>
      </c>
      <c r="AB261" s="44"/>
      <c r="AC261" s="45">
        <f t="shared" si="11"/>
        <v>19436534</v>
      </c>
      <c r="AD261" s="45"/>
      <c r="AE261" s="48">
        <v>0</v>
      </c>
      <c r="AF261" s="48"/>
      <c r="AG261" s="45">
        <v>18084280</v>
      </c>
      <c r="AH261" s="45"/>
      <c r="AI261" s="45">
        <v>4326665</v>
      </c>
      <c r="AJ261" s="45"/>
      <c r="AK261" s="45">
        <v>0</v>
      </c>
      <c r="AL261" s="127"/>
      <c r="AM261" s="127">
        <f>+'Gen rev'!U261-'Gen exp'!AC261-AG261+'Gen rev'!W261+AI261+AK261-'Gen Bal'!S261-'Gen exp'!AE261</f>
        <v>0</v>
      </c>
      <c r="AN261" s="121"/>
      <c r="AO261" s="121"/>
      <c r="AP261" s="121"/>
      <c r="AQ261" s="121"/>
    </row>
    <row r="262" spans="1:45" s="49" customFormat="1" ht="12.75" customHeight="1" x14ac:dyDescent="0.2">
      <c r="A262" s="28" t="s">
        <v>287</v>
      </c>
      <c r="C262" s="28" t="s">
        <v>288</v>
      </c>
      <c r="E262" s="45">
        <f>4202331+382326</f>
        <v>4584657</v>
      </c>
      <c r="F262" s="45"/>
      <c r="G262" s="45">
        <v>325274</v>
      </c>
      <c r="H262" s="45"/>
      <c r="I262" s="45">
        <v>347442</v>
      </c>
      <c r="J262" s="45"/>
      <c r="K262" s="45">
        <v>44930</v>
      </c>
      <c r="L262" s="45"/>
      <c r="M262" s="45">
        <v>549524</v>
      </c>
      <c r="N262" s="45"/>
      <c r="O262" s="45">
        <v>527015</v>
      </c>
      <c r="P262" s="45"/>
      <c r="Q262" s="45">
        <v>0</v>
      </c>
      <c r="R262" s="45"/>
      <c r="S262" s="45">
        <v>25049</v>
      </c>
      <c r="T262" s="45"/>
      <c r="U262" s="45">
        <v>0</v>
      </c>
      <c r="V262" s="45"/>
      <c r="W262" s="45">
        <v>0</v>
      </c>
      <c r="X262" s="45"/>
      <c r="Y262" s="45">
        <v>0</v>
      </c>
      <c r="Z262" s="44"/>
      <c r="AA262" s="45">
        <v>0</v>
      </c>
      <c r="AB262" s="44"/>
      <c r="AC262" s="45">
        <f t="shared" ref="AC262" si="12">SUM(E262:AA262)</f>
        <v>6403891</v>
      </c>
      <c r="AD262" s="45"/>
      <c r="AE262" s="48">
        <v>0</v>
      </c>
      <c r="AF262" s="48"/>
      <c r="AG262" s="45">
        <v>7910398</v>
      </c>
      <c r="AH262" s="45"/>
      <c r="AI262" s="45">
        <v>2876085</v>
      </c>
      <c r="AJ262" s="45"/>
      <c r="AK262" s="45">
        <v>0</v>
      </c>
      <c r="AL262" s="45"/>
      <c r="AM262" s="45">
        <f>+'Gen rev'!U262-'Gen exp'!AC262-AG262+'Gen rev'!W262+AI262+AK262-'Gen Bal'!S262-'Gen exp'!AE262</f>
        <v>0</v>
      </c>
      <c r="AN262" s="44"/>
      <c r="AO262" s="44"/>
      <c r="AP262" s="44"/>
      <c r="AQ262" s="44"/>
    </row>
    <row r="263" spans="1:45" s="47" customFormat="1" ht="12.75" customHeight="1" x14ac:dyDescent="0.2">
      <c r="A263" s="50"/>
      <c r="B263" s="51"/>
      <c r="C263" s="50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51"/>
      <c r="AA263" s="49"/>
      <c r="AB263" s="51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</row>
    <row r="264" spans="1:45" s="49" customFormat="1" ht="12.75" customHeight="1" x14ac:dyDescent="0.2">
      <c r="A264" s="50"/>
      <c r="C264" s="50"/>
      <c r="D264" s="47"/>
    </row>
    <row r="265" spans="1:45" s="49" customFormat="1" ht="12.75" customHeight="1" x14ac:dyDescent="0.2">
      <c r="A265" s="50"/>
      <c r="C265" s="50"/>
    </row>
    <row r="266" spans="1:45" s="49" customFormat="1" ht="12.75" customHeight="1" x14ac:dyDescent="0.2">
      <c r="A266" s="50"/>
      <c r="C266" s="50"/>
    </row>
    <row r="267" spans="1:45" s="49" customFormat="1" ht="12.75" customHeight="1" x14ac:dyDescent="0.2">
      <c r="A267" s="50"/>
      <c r="C267" s="50"/>
    </row>
    <row r="268" spans="1:45" s="49" customFormat="1" ht="12.75" customHeight="1" x14ac:dyDescent="0.2">
      <c r="A268" s="50"/>
      <c r="C268" s="50"/>
      <c r="D268" s="47"/>
    </row>
    <row r="269" spans="1:45" s="49" customFormat="1" ht="12.75" customHeight="1" x14ac:dyDescent="0.2">
      <c r="A269" s="50"/>
      <c r="C269" s="50"/>
      <c r="D269" s="47"/>
    </row>
    <row r="270" spans="1:45" s="49" customFormat="1" ht="12.75" customHeight="1" x14ac:dyDescent="0.2">
      <c r="A270" s="50"/>
      <c r="C270" s="50"/>
      <c r="D270" s="47"/>
    </row>
    <row r="271" spans="1:45" s="49" customFormat="1" ht="12.75" customHeight="1" x14ac:dyDescent="0.2">
      <c r="A271" s="50"/>
      <c r="C271" s="50"/>
      <c r="D271" s="47"/>
    </row>
    <row r="272" spans="1:45" s="49" customFormat="1" ht="12.75" customHeight="1" x14ac:dyDescent="0.2">
      <c r="A272" s="50"/>
      <c r="C272" s="50"/>
      <c r="D272" s="47"/>
    </row>
    <row r="273" spans="1:45" s="49" customFormat="1" ht="12.75" customHeight="1" x14ac:dyDescent="0.2">
      <c r="A273" s="50"/>
      <c r="C273" s="50"/>
      <c r="D273" s="47"/>
    </row>
    <row r="274" spans="1:45" s="49" customFormat="1" ht="12.75" customHeight="1" x14ac:dyDescent="0.2">
      <c r="A274" s="50"/>
      <c r="C274" s="50"/>
      <c r="D274" s="47"/>
    </row>
    <row r="275" spans="1:45" s="49" customFormat="1" ht="12.75" customHeight="1" x14ac:dyDescent="0.2">
      <c r="A275" s="50"/>
      <c r="C275" s="50"/>
      <c r="D275" s="47"/>
    </row>
    <row r="276" spans="1:45" s="49" customFormat="1" ht="12.75" customHeight="1" x14ac:dyDescent="0.2">
      <c r="A276" s="50"/>
      <c r="C276" s="50"/>
      <c r="D276" s="47"/>
    </row>
    <row r="277" spans="1:45" s="49" customFormat="1" ht="12.75" customHeight="1" x14ac:dyDescent="0.2">
      <c r="A277" s="50"/>
      <c r="C277" s="50"/>
      <c r="D277" s="47"/>
      <c r="AR277" s="47"/>
      <c r="AS277" s="47"/>
    </row>
    <row r="278" spans="1:45" s="49" customFormat="1" ht="12.75" customHeight="1" x14ac:dyDescent="0.2">
      <c r="A278" s="50"/>
      <c r="C278" s="50"/>
      <c r="D278" s="47"/>
      <c r="AR278" s="47"/>
      <c r="AS278" s="47"/>
    </row>
    <row r="279" spans="1:45" s="49" customFormat="1" ht="12.75" customHeight="1" x14ac:dyDescent="0.2">
      <c r="A279" s="50"/>
      <c r="C279" s="50"/>
      <c r="D279" s="47"/>
      <c r="AR279" s="47"/>
      <c r="AS279" s="47"/>
    </row>
    <row r="280" spans="1:45" s="49" customFormat="1" ht="12.75" customHeight="1" x14ac:dyDescent="0.2">
      <c r="A280" s="50"/>
      <c r="C280" s="50"/>
      <c r="D280" s="47"/>
      <c r="AR280" s="47"/>
      <c r="AS280" s="47"/>
    </row>
    <row r="281" spans="1:45" s="49" customFormat="1" ht="12.75" customHeight="1" x14ac:dyDescent="0.2">
      <c r="A281" s="50"/>
      <c r="C281" s="50"/>
      <c r="D281" s="47"/>
      <c r="AR281" s="47"/>
      <c r="AS281" s="47"/>
    </row>
    <row r="282" spans="1:45" s="49" customFormat="1" ht="12.75" customHeight="1" x14ac:dyDescent="0.2">
      <c r="A282" s="50"/>
      <c r="C282" s="50"/>
      <c r="D282" s="47"/>
      <c r="AR282" s="47"/>
      <c r="AS282" s="47"/>
    </row>
    <row r="283" spans="1:45" s="49" customFormat="1" ht="12.75" customHeight="1" x14ac:dyDescent="0.2">
      <c r="A283" s="50"/>
      <c r="C283" s="50"/>
      <c r="D283" s="47"/>
      <c r="AR283" s="47"/>
      <c r="AS283" s="47"/>
    </row>
    <row r="284" spans="1:45" s="49" customFormat="1" ht="12.75" customHeight="1" x14ac:dyDescent="0.2">
      <c r="A284" s="50"/>
      <c r="C284" s="50"/>
      <c r="D284" s="47"/>
      <c r="AR284" s="47"/>
      <c r="AS284" s="47"/>
    </row>
    <row r="285" spans="1:45" s="49" customFormat="1" ht="12.75" customHeight="1" x14ac:dyDescent="0.2">
      <c r="A285" s="50"/>
      <c r="C285" s="50"/>
      <c r="D285" s="47"/>
      <c r="AR285" s="47"/>
      <c r="AS285" s="47"/>
    </row>
    <row r="286" spans="1:45" s="49" customFormat="1" ht="12.75" customHeight="1" x14ac:dyDescent="0.2">
      <c r="A286" s="50"/>
      <c r="C286" s="50"/>
      <c r="D286" s="47"/>
      <c r="AR286" s="47"/>
      <c r="AS286" s="47"/>
    </row>
    <row r="287" spans="1:45" s="49" customFormat="1" ht="12.75" customHeight="1" x14ac:dyDescent="0.2">
      <c r="A287" s="50"/>
      <c r="C287" s="50"/>
      <c r="D287" s="47"/>
      <c r="AR287" s="47"/>
      <c r="AS287" s="47"/>
    </row>
    <row r="288" spans="1:45" s="49" customFormat="1" ht="12.75" customHeight="1" x14ac:dyDescent="0.2">
      <c r="A288" s="50"/>
      <c r="C288" s="50"/>
      <c r="D288" s="47"/>
      <c r="AR288" s="47"/>
      <c r="AS288" s="47"/>
    </row>
    <row r="289" spans="1:45" s="49" customFormat="1" ht="12.75" customHeight="1" x14ac:dyDescent="0.2">
      <c r="A289" s="50"/>
      <c r="C289" s="50"/>
      <c r="D289" s="47"/>
      <c r="AR289" s="47"/>
      <c r="AS289" s="47"/>
    </row>
    <row r="290" spans="1:45" s="49" customFormat="1" ht="12.75" customHeight="1" x14ac:dyDescent="0.2">
      <c r="A290" s="50"/>
      <c r="C290" s="50"/>
      <c r="D290" s="47"/>
      <c r="AR290" s="47"/>
      <c r="AS290" s="47"/>
    </row>
    <row r="291" spans="1:45" s="49" customFormat="1" ht="12.75" customHeight="1" x14ac:dyDescent="0.2">
      <c r="A291" s="50"/>
      <c r="C291" s="50"/>
      <c r="D291" s="47"/>
      <c r="AR291" s="47"/>
      <c r="AS291" s="47"/>
    </row>
    <row r="292" spans="1:45" s="49" customFormat="1" ht="12.75" customHeight="1" x14ac:dyDescent="0.2">
      <c r="A292" s="50"/>
      <c r="C292" s="50"/>
      <c r="D292" s="47"/>
      <c r="AR292" s="47"/>
      <c r="AS292" s="47"/>
    </row>
    <row r="293" spans="1:45" s="49" customFormat="1" ht="12.75" customHeight="1" x14ac:dyDescent="0.2">
      <c r="A293" s="50"/>
      <c r="C293" s="50"/>
      <c r="D293" s="47"/>
      <c r="AR293" s="47"/>
      <c r="AS293" s="47"/>
    </row>
    <row r="294" spans="1:45" s="49" customFormat="1" ht="12.75" customHeight="1" x14ac:dyDescent="0.2">
      <c r="A294" s="50"/>
      <c r="C294" s="50"/>
      <c r="D294" s="47"/>
      <c r="AR294" s="47"/>
      <c r="AS294" s="47"/>
    </row>
    <row r="295" spans="1:45" s="49" customFormat="1" ht="12.75" customHeight="1" x14ac:dyDescent="0.2">
      <c r="A295" s="50"/>
      <c r="C295" s="50"/>
      <c r="D295" s="47"/>
      <c r="AR295" s="47"/>
      <c r="AS295" s="47"/>
    </row>
    <row r="296" spans="1:45" s="49" customFormat="1" ht="12.75" customHeight="1" x14ac:dyDescent="0.2">
      <c r="A296" s="50"/>
      <c r="C296" s="50"/>
      <c r="D296" s="47"/>
      <c r="AR296" s="47"/>
      <c r="AS296" s="47"/>
    </row>
    <row r="297" spans="1:45" s="49" customFormat="1" ht="12.75" customHeight="1" x14ac:dyDescent="0.2">
      <c r="A297" s="50"/>
      <c r="C297" s="50"/>
      <c r="D297" s="47"/>
      <c r="AR297" s="47"/>
      <c r="AS297" s="47"/>
    </row>
    <row r="298" spans="1:45" s="49" customFormat="1" ht="12.75" customHeight="1" x14ac:dyDescent="0.2">
      <c r="A298" s="50"/>
      <c r="C298" s="50"/>
      <c r="D298" s="47"/>
      <c r="AR298" s="47"/>
      <c r="AS298" s="47"/>
    </row>
    <row r="299" spans="1:45" s="49" customFormat="1" ht="12.75" customHeight="1" x14ac:dyDescent="0.2">
      <c r="A299" s="50"/>
      <c r="C299" s="50"/>
      <c r="D299" s="47"/>
      <c r="AR299" s="47"/>
      <c r="AS299" s="47"/>
    </row>
    <row r="300" spans="1:45" s="49" customFormat="1" ht="12.75" customHeight="1" x14ac:dyDescent="0.2">
      <c r="A300" s="50"/>
      <c r="C300" s="50"/>
      <c r="D300" s="47"/>
      <c r="AR300" s="47"/>
      <c r="AS300" s="47"/>
    </row>
    <row r="301" spans="1:45" s="49" customFormat="1" ht="12.75" customHeight="1" x14ac:dyDescent="0.2">
      <c r="A301" s="50"/>
      <c r="C301" s="50"/>
      <c r="D301" s="47"/>
      <c r="AR301" s="47"/>
      <c r="AS301" s="47"/>
    </row>
    <row r="302" spans="1:45" s="49" customFormat="1" ht="12.75" customHeight="1" x14ac:dyDescent="0.2">
      <c r="A302" s="50"/>
      <c r="C302" s="50"/>
      <c r="D302" s="47"/>
      <c r="AR302" s="47"/>
      <c r="AS302" s="47"/>
    </row>
    <row r="303" spans="1:45" s="49" customFormat="1" ht="12.75" customHeight="1" x14ac:dyDescent="0.2">
      <c r="A303" s="50"/>
      <c r="C303" s="50"/>
      <c r="D303" s="47"/>
      <c r="AR303" s="47"/>
      <c r="AS303" s="47"/>
    </row>
    <row r="304" spans="1:45" s="49" customFormat="1" ht="12.75" customHeight="1" x14ac:dyDescent="0.2">
      <c r="A304" s="50"/>
      <c r="C304" s="50"/>
      <c r="D304" s="47"/>
      <c r="AR304" s="47"/>
      <c r="AS304" s="47"/>
    </row>
    <row r="305" spans="1:45" s="49" customFormat="1" ht="12.75" customHeight="1" x14ac:dyDescent="0.2">
      <c r="A305" s="50"/>
      <c r="C305" s="50"/>
      <c r="D305" s="47"/>
      <c r="AR305" s="47"/>
      <c r="AS305" s="47"/>
    </row>
    <row r="306" spans="1:45" s="49" customFormat="1" ht="12.75" customHeight="1" x14ac:dyDescent="0.2">
      <c r="A306" s="50"/>
      <c r="C306" s="50"/>
      <c r="D306" s="47"/>
      <c r="AR306" s="47"/>
      <c r="AS306" s="47"/>
    </row>
    <row r="307" spans="1:45" s="49" customFormat="1" ht="12.75" customHeight="1" x14ac:dyDescent="0.2">
      <c r="A307" s="50"/>
      <c r="C307" s="50"/>
      <c r="D307" s="47"/>
      <c r="AR307" s="47"/>
      <c r="AS307" s="47"/>
    </row>
    <row r="308" spans="1:45" s="49" customFormat="1" ht="12.75" customHeight="1" x14ac:dyDescent="0.2">
      <c r="A308" s="50"/>
      <c r="C308" s="50"/>
      <c r="D308" s="47"/>
      <c r="AR308" s="47"/>
      <c r="AS308" s="47"/>
    </row>
    <row r="309" spans="1:45" s="49" customFormat="1" ht="12.75" customHeight="1" x14ac:dyDescent="0.2">
      <c r="A309" s="50"/>
      <c r="C309" s="50"/>
      <c r="D309" s="47"/>
      <c r="AR309" s="47"/>
      <c r="AS309" s="47"/>
    </row>
    <row r="310" spans="1:45" s="49" customFormat="1" ht="12.75" customHeight="1" x14ac:dyDescent="0.2">
      <c r="A310" s="50"/>
      <c r="C310" s="50"/>
      <c r="D310" s="47"/>
      <c r="AR310" s="47"/>
      <c r="AS310" s="47"/>
    </row>
    <row r="311" spans="1:45" s="49" customFormat="1" ht="12.75" customHeight="1" x14ac:dyDescent="0.2">
      <c r="A311" s="50"/>
      <c r="C311" s="50"/>
      <c r="D311" s="47"/>
      <c r="AR311" s="47"/>
      <c r="AS311" s="47"/>
    </row>
    <row r="312" spans="1:45" s="49" customFormat="1" ht="12.75" customHeight="1" x14ac:dyDescent="0.2">
      <c r="A312" s="50"/>
      <c r="C312" s="50"/>
      <c r="D312" s="47"/>
      <c r="AR312" s="47"/>
      <c r="AS312" s="47"/>
    </row>
    <row r="313" spans="1:45" s="17" customFormat="1" ht="12.75" customHeight="1" x14ac:dyDescent="0.2">
      <c r="A313" s="11"/>
      <c r="C313" s="11"/>
      <c r="D313" s="10"/>
      <c r="AR313" s="10"/>
      <c r="AS313" s="10"/>
    </row>
    <row r="314" spans="1:45" s="17" customFormat="1" ht="12.75" customHeight="1" x14ac:dyDescent="0.2">
      <c r="A314" s="11"/>
      <c r="C314" s="11"/>
      <c r="D314" s="10"/>
      <c r="AR314" s="10"/>
      <c r="AS314" s="10"/>
    </row>
    <row r="315" spans="1:45" s="17" customFormat="1" ht="12.75" customHeight="1" x14ac:dyDescent="0.2">
      <c r="A315" s="11"/>
      <c r="C315" s="11"/>
      <c r="D315" s="10"/>
      <c r="AR315" s="10"/>
      <c r="AS315" s="10"/>
    </row>
    <row r="316" spans="1:45" s="17" customFormat="1" ht="12.75" customHeight="1" x14ac:dyDescent="0.2">
      <c r="A316" s="11"/>
      <c r="C316" s="11"/>
      <c r="D316" s="10"/>
      <c r="AR316" s="10"/>
      <c r="AS316" s="10"/>
    </row>
    <row r="317" spans="1:45" s="17" customFormat="1" ht="12.75" customHeight="1" x14ac:dyDescent="0.2">
      <c r="A317" s="11"/>
      <c r="C317" s="11"/>
      <c r="D317" s="10"/>
      <c r="AR317" s="10"/>
      <c r="AS317" s="10"/>
    </row>
    <row r="318" spans="1:45" s="17" customFormat="1" ht="12.75" customHeight="1" x14ac:dyDescent="0.2">
      <c r="A318" s="11"/>
      <c r="C318" s="11"/>
      <c r="D318" s="10"/>
      <c r="AR318" s="10"/>
      <c r="AS318" s="10"/>
    </row>
    <row r="319" spans="1:45" s="17" customFormat="1" ht="12.75" customHeight="1" x14ac:dyDescent="0.2">
      <c r="A319" s="11"/>
      <c r="C319" s="11"/>
      <c r="D319" s="10"/>
      <c r="AR319" s="10"/>
      <c r="AS319" s="10"/>
    </row>
    <row r="320" spans="1:45" s="17" customFormat="1" ht="12.75" customHeight="1" x14ac:dyDescent="0.2">
      <c r="A320" s="11"/>
      <c r="C320" s="11"/>
      <c r="D320" s="10"/>
      <c r="AR320" s="10"/>
      <c r="AS320" s="10"/>
    </row>
    <row r="321" spans="1:45" s="17" customFormat="1" ht="12.75" customHeight="1" x14ac:dyDescent="0.2">
      <c r="A321" s="11"/>
      <c r="C321" s="11"/>
      <c r="D321" s="10"/>
      <c r="AR321" s="10"/>
      <c r="AS321" s="10"/>
    </row>
    <row r="322" spans="1:45" s="17" customFormat="1" ht="12.75" customHeight="1" x14ac:dyDescent="0.2">
      <c r="A322" s="11"/>
      <c r="C322" s="11"/>
      <c r="D322" s="10"/>
      <c r="AR322" s="10"/>
      <c r="AS322" s="10"/>
    </row>
    <row r="323" spans="1:45" s="17" customFormat="1" ht="12.75" customHeight="1" x14ac:dyDescent="0.2">
      <c r="A323" s="11"/>
      <c r="C323" s="11"/>
      <c r="D323" s="10"/>
      <c r="AR323" s="10"/>
      <c r="AS323" s="10"/>
    </row>
    <row r="324" spans="1:45" s="17" customFormat="1" ht="12.75" customHeight="1" x14ac:dyDescent="0.2">
      <c r="A324" s="11"/>
      <c r="C324" s="11"/>
      <c r="D324" s="10"/>
      <c r="AR324" s="10"/>
      <c r="AS324" s="10"/>
    </row>
    <row r="325" spans="1:45" s="17" customFormat="1" ht="12.75" customHeight="1" x14ac:dyDescent="0.2">
      <c r="A325" s="11"/>
      <c r="C325" s="11"/>
      <c r="D325" s="10"/>
      <c r="AR325" s="10"/>
      <c r="AS325" s="10"/>
    </row>
    <row r="326" spans="1:45" s="17" customFormat="1" ht="12.75" customHeight="1" x14ac:dyDescent="0.2">
      <c r="A326" s="11"/>
      <c r="C326" s="11"/>
      <c r="D326" s="10"/>
      <c r="AR326" s="10"/>
      <c r="AS326" s="10"/>
    </row>
    <row r="327" spans="1:45" s="17" customFormat="1" ht="12.75" customHeight="1" x14ac:dyDescent="0.2">
      <c r="A327" s="11"/>
      <c r="C327" s="11"/>
      <c r="D327" s="10"/>
      <c r="AR327" s="10"/>
      <c r="AS327" s="10"/>
    </row>
    <row r="328" spans="1:45" s="17" customFormat="1" ht="12.75" customHeight="1" x14ac:dyDescent="0.2">
      <c r="A328" s="11"/>
      <c r="C328" s="11"/>
      <c r="D328" s="10"/>
      <c r="AR328" s="10"/>
      <c r="AS328" s="10"/>
    </row>
    <row r="329" spans="1:45" s="17" customFormat="1" ht="12.75" customHeight="1" x14ac:dyDescent="0.2">
      <c r="A329" s="11"/>
      <c r="C329" s="11"/>
      <c r="D329" s="10"/>
      <c r="AR329" s="10"/>
      <c r="AS329" s="10"/>
    </row>
    <row r="330" spans="1:45" s="17" customFormat="1" ht="12.75" customHeight="1" x14ac:dyDescent="0.2">
      <c r="A330" s="11"/>
      <c r="C330" s="11"/>
      <c r="D330" s="10"/>
      <c r="AR330" s="10"/>
      <c r="AS330" s="10"/>
    </row>
    <row r="331" spans="1:45" s="17" customFormat="1" ht="12.75" customHeight="1" x14ac:dyDescent="0.2">
      <c r="A331" s="11"/>
      <c r="C331" s="11"/>
      <c r="D331" s="10"/>
      <c r="AR331" s="10"/>
      <c r="AS331" s="10"/>
    </row>
    <row r="332" spans="1:45" s="17" customFormat="1" ht="12.75" customHeight="1" x14ac:dyDescent="0.2">
      <c r="A332" s="11"/>
      <c r="C332" s="11"/>
      <c r="D332" s="10"/>
      <c r="AR332" s="10"/>
      <c r="AS332" s="10"/>
    </row>
    <row r="333" spans="1:45" s="17" customFormat="1" ht="12.75" customHeight="1" x14ac:dyDescent="0.2">
      <c r="A333" s="11"/>
      <c r="C333" s="11"/>
      <c r="D333" s="10"/>
      <c r="AR333" s="10"/>
      <c r="AS333" s="10"/>
    </row>
    <row r="334" spans="1:45" s="17" customFormat="1" ht="12.75" customHeight="1" x14ac:dyDescent="0.2">
      <c r="A334" s="11"/>
      <c r="C334" s="11"/>
      <c r="D334" s="10"/>
      <c r="AR334" s="10"/>
      <c r="AS334" s="10"/>
    </row>
    <row r="335" spans="1:45" s="17" customFormat="1" ht="12.75" customHeight="1" x14ac:dyDescent="0.2">
      <c r="A335" s="11"/>
      <c r="C335" s="11"/>
      <c r="D335" s="10"/>
      <c r="AR335" s="10"/>
      <c r="AS335" s="10"/>
    </row>
    <row r="336" spans="1:45" s="17" customFormat="1" ht="12.75" customHeight="1" x14ac:dyDescent="0.2">
      <c r="A336" s="11"/>
      <c r="C336" s="11"/>
      <c r="D336" s="10"/>
      <c r="AR336" s="10"/>
      <c r="AS336" s="10"/>
    </row>
    <row r="337" spans="1:45" s="17" customFormat="1" ht="12.75" customHeight="1" x14ac:dyDescent="0.2">
      <c r="A337" s="11"/>
      <c r="C337" s="11"/>
      <c r="D337" s="10"/>
      <c r="AR337" s="10"/>
      <c r="AS337" s="10"/>
    </row>
    <row r="338" spans="1:45" s="17" customFormat="1" ht="12.75" customHeight="1" x14ac:dyDescent="0.2">
      <c r="A338" s="11"/>
      <c r="C338" s="11"/>
      <c r="D338" s="10"/>
      <c r="AR338" s="10"/>
      <c r="AS338" s="10"/>
    </row>
    <row r="339" spans="1:45" s="17" customFormat="1" ht="12.75" customHeight="1" x14ac:dyDescent="0.2">
      <c r="A339" s="11"/>
      <c r="C339" s="11"/>
      <c r="D339" s="10"/>
      <c r="AR339" s="10"/>
      <c r="AS339" s="10"/>
    </row>
    <row r="340" spans="1:45" s="17" customFormat="1" ht="12.75" customHeight="1" x14ac:dyDescent="0.2">
      <c r="A340" s="11"/>
      <c r="C340" s="11"/>
      <c r="D340" s="10"/>
      <c r="AR340" s="10"/>
      <c r="AS340" s="10"/>
    </row>
    <row r="341" spans="1:45" s="17" customFormat="1" ht="12.75" customHeight="1" x14ac:dyDescent="0.2">
      <c r="A341" s="11"/>
      <c r="C341" s="11"/>
      <c r="D341" s="10"/>
      <c r="AR341" s="10"/>
      <c r="AS341" s="10"/>
    </row>
    <row r="342" spans="1:45" s="17" customFormat="1" ht="12.75" customHeight="1" x14ac:dyDescent="0.2">
      <c r="A342" s="11"/>
      <c r="C342" s="11"/>
      <c r="D342" s="10"/>
      <c r="AR342" s="10"/>
      <c r="AS342" s="10"/>
    </row>
    <row r="343" spans="1:45" s="17" customFormat="1" ht="12.75" customHeight="1" x14ac:dyDescent="0.2">
      <c r="A343" s="11"/>
      <c r="C343" s="11"/>
      <c r="D343" s="10"/>
      <c r="AR343" s="10"/>
      <c r="AS343" s="10"/>
    </row>
    <row r="344" spans="1:45" s="17" customFormat="1" ht="12.75" customHeight="1" x14ac:dyDescent="0.2">
      <c r="A344" s="11"/>
      <c r="C344" s="11"/>
      <c r="D344" s="10"/>
      <c r="AR344" s="10"/>
      <c r="AS344" s="10"/>
    </row>
    <row r="345" spans="1:45" s="17" customFormat="1" ht="12.75" customHeight="1" x14ac:dyDescent="0.2">
      <c r="A345" s="11"/>
      <c r="C345" s="11"/>
      <c r="D345" s="10"/>
      <c r="AR345" s="10"/>
      <c r="AS345" s="10"/>
    </row>
    <row r="346" spans="1:45" s="17" customFormat="1" ht="12.75" customHeight="1" x14ac:dyDescent="0.2">
      <c r="A346" s="11"/>
      <c r="C346" s="11"/>
      <c r="D346" s="10"/>
      <c r="AR346" s="10"/>
      <c r="AS346" s="10"/>
    </row>
    <row r="347" spans="1:45" s="17" customFormat="1" ht="12.75" customHeight="1" x14ac:dyDescent="0.2">
      <c r="A347" s="11"/>
      <c r="C347" s="11"/>
      <c r="D347" s="10"/>
      <c r="AR347" s="10"/>
      <c r="AS347" s="10"/>
    </row>
    <row r="348" spans="1:45" s="17" customFormat="1" ht="12.75" customHeight="1" x14ac:dyDescent="0.2">
      <c r="A348" s="11"/>
      <c r="C348" s="11"/>
      <c r="D348" s="10"/>
      <c r="AR348" s="10"/>
      <c r="AS348" s="10"/>
    </row>
    <row r="349" spans="1:45" s="17" customFormat="1" ht="12.75" customHeight="1" x14ac:dyDescent="0.2">
      <c r="A349" s="11"/>
      <c r="C349" s="11"/>
      <c r="D349" s="10"/>
      <c r="AR349" s="10"/>
      <c r="AS349" s="10"/>
    </row>
    <row r="350" spans="1:45" s="17" customFormat="1" ht="12.75" customHeight="1" x14ac:dyDescent="0.2">
      <c r="A350" s="11"/>
      <c r="C350" s="11"/>
      <c r="D350" s="10"/>
      <c r="AR350" s="10"/>
      <c r="AS350" s="10"/>
    </row>
    <row r="351" spans="1:45" s="17" customFormat="1" ht="12.75" customHeight="1" x14ac:dyDescent="0.2">
      <c r="A351" s="11"/>
      <c r="C351" s="11"/>
      <c r="D351" s="10"/>
      <c r="AR351" s="10"/>
      <c r="AS351" s="10"/>
    </row>
    <row r="352" spans="1:45" s="17" customFormat="1" ht="12.75" customHeight="1" x14ac:dyDescent="0.2">
      <c r="A352" s="11"/>
      <c r="C352" s="11"/>
      <c r="D352" s="10"/>
      <c r="AR352" s="10"/>
      <c r="AS352" s="10"/>
    </row>
    <row r="353" spans="1:45" s="17" customFormat="1" ht="12.75" customHeight="1" x14ac:dyDescent="0.2">
      <c r="A353" s="11"/>
      <c r="C353" s="11"/>
      <c r="D353" s="10"/>
      <c r="AR353" s="10"/>
      <c r="AS353" s="10"/>
    </row>
    <row r="354" spans="1:45" s="17" customFormat="1" ht="12.75" customHeight="1" x14ac:dyDescent="0.2">
      <c r="A354" s="11"/>
      <c r="C354" s="11"/>
      <c r="D354" s="10"/>
      <c r="AR354" s="10"/>
      <c r="AS354" s="10"/>
    </row>
    <row r="355" spans="1:45" s="17" customFormat="1" ht="12.75" customHeight="1" x14ac:dyDescent="0.2">
      <c r="A355" s="11"/>
      <c r="C355" s="11"/>
      <c r="D355" s="10"/>
      <c r="AR355" s="10"/>
      <c r="AS355" s="10"/>
    </row>
    <row r="356" spans="1:45" s="17" customFormat="1" ht="12.75" customHeight="1" x14ac:dyDescent="0.2">
      <c r="A356" s="11"/>
      <c r="C356" s="11"/>
      <c r="D356" s="10"/>
      <c r="AR356" s="10"/>
      <c r="AS356" s="10"/>
    </row>
    <row r="357" spans="1:45" s="17" customFormat="1" ht="12.75" customHeight="1" x14ac:dyDescent="0.2">
      <c r="A357" s="11"/>
      <c r="C357" s="11"/>
      <c r="D357" s="10"/>
      <c r="AR357" s="10"/>
      <c r="AS357" s="10"/>
    </row>
    <row r="358" spans="1:45" s="17" customFormat="1" ht="12.75" customHeight="1" x14ac:dyDescent="0.2">
      <c r="A358" s="11"/>
      <c r="C358" s="11"/>
      <c r="D358" s="10"/>
      <c r="AR358" s="10"/>
      <c r="AS358" s="10"/>
    </row>
    <row r="359" spans="1:45" s="17" customFormat="1" ht="12.75" customHeight="1" x14ac:dyDescent="0.2">
      <c r="A359" s="11"/>
      <c r="C359" s="11"/>
      <c r="D359" s="10"/>
      <c r="AR359" s="10"/>
      <c r="AS359" s="10"/>
    </row>
    <row r="360" spans="1:45" s="17" customFormat="1" ht="12.75" customHeight="1" x14ac:dyDescent="0.2">
      <c r="A360" s="11"/>
      <c r="C360" s="11"/>
      <c r="D360" s="10"/>
      <c r="AR360" s="10"/>
      <c r="AS360" s="10"/>
    </row>
    <row r="361" spans="1:45" s="17" customFormat="1" ht="12.75" customHeight="1" x14ac:dyDescent="0.2">
      <c r="A361" s="11"/>
      <c r="C361" s="11"/>
      <c r="D361" s="10"/>
      <c r="AR361" s="10"/>
      <c r="AS361" s="10"/>
    </row>
    <row r="362" spans="1:45" s="17" customFormat="1" ht="12.75" customHeight="1" x14ac:dyDescent="0.2">
      <c r="A362" s="11"/>
      <c r="C362" s="11"/>
      <c r="D362" s="10"/>
      <c r="AR362" s="10"/>
      <c r="AS362" s="10"/>
    </row>
    <row r="363" spans="1:45" s="17" customFormat="1" ht="12.75" customHeight="1" x14ac:dyDescent="0.2">
      <c r="A363" s="11"/>
      <c r="C363" s="11"/>
      <c r="D363" s="10"/>
      <c r="AR363" s="10"/>
      <c r="AS363" s="10"/>
    </row>
    <row r="364" spans="1:45" s="17" customFormat="1" ht="12.75" customHeight="1" x14ac:dyDescent="0.2">
      <c r="A364" s="11"/>
      <c r="C364" s="11"/>
      <c r="D364" s="10"/>
      <c r="AR364" s="10"/>
      <c r="AS364" s="10"/>
    </row>
    <row r="365" spans="1:45" s="17" customFormat="1" ht="12.75" customHeight="1" x14ac:dyDescent="0.2">
      <c r="A365" s="11"/>
      <c r="C365" s="11"/>
      <c r="D365" s="10"/>
      <c r="AR365" s="10"/>
      <c r="AS365" s="10"/>
    </row>
    <row r="366" spans="1:45" s="17" customFormat="1" ht="12.75" customHeight="1" x14ac:dyDescent="0.2">
      <c r="A366" s="11"/>
      <c r="C366" s="11"/>
      <c r="D366" s="10"/>
      <c r="AR366" s="10"/>
      <c r="AS366" s="10"/>
    </row>
    <row r="367" spans="1:45" s="17" customFormat="1" ht="12.75" customHeight="1" x14ac:dyDescent="0.2">
      <c r="A367" s="11"/>
      <c r="C367" s="11"/>
      <c r="D367" s="10"/>
      <c r="AR367" s="10"/>
      <c r="AS367" s="10"/>
    </row>
    <row r="368" spans="1:45" s="17" customFormat="1" ht="12.75" customHeight="1" x14ac:dyDescent="0.2">
      <c r="A368" s="11"/>
      <c r="C368" s="11"/>
      <c r="D368" s="10"/>
      <c r="AR368" s="10"/>
      <c r="AS368" s="10"/>
    </row>
    <row r="369" spans="1:45" s="17" customFormat="1" ht="12.75" customHeight="1" x14ac:dyDescent="0.2">
      <c r="A369" s="11"/>
      <c r="C369" s="11"/>
      <c r="D369" s="10"/>
      <c r="AR369" s="10"/>
      <c r="AS369" s="10"/>
    </row>
    <row r="370" spans="1:45" s="17" customFormat="1" ht="12.75" customHeight="1" x14ac:dyDescent="0.2">
      <c r="A370" s="11"/>
      <c r="C370" s="11"/>
      <c r="D370" s="10"/>
      <c r="AR370" s="10"/>
      <c r="AS370" s="10"/>
    </row>
    <row r="371" spans="1:45" s="17" customFormat="1" ht="12.75" customHeight="1" x14ac:dyDescent="0.2">
      <c r="A371" s="11"/>
      <c r="C371" s="11"/>
      <c r="D371" s="10"/>
      <c r="AR371" s="10"/>
      <c r="AS371" s="10"/>
    </row>
    <row r="372" spans="1:45" s="17" customFormat="1" ht="12.75" customHeight="1" x14ac:dyDescent="0.2">
      <c r="A372" s="11"/>
      <c r="C372" s="11"/>
      <c r="D372" s="10"/>
      <c r="AR372" s="10"/>
      <c r="AS372" s="10"/>
    </row>
    <row r="373" spans="1:45" s="17" customFormat="1" ht="12.75" customHeight="1" x14ac:dyDescent="0.2">
      <c r="A373" s="11"/>
      <c r="C373" s="11"/>
      <c r="D373" s="10"/>
      <c r="AR373" s="10"/>
      <c r="AS373" s="10"/>
    </row>
    <row r="374" spans="1:45" s="17" customFormat="1" ht="12.75" customHeight="1" x14ac:dyDescent="0.2">
      <c r="A374" s="11"/>
      <c r="C374" s="11"/>
      <c r="D374" s="10"/>
      <c r="AR374" s="10"/>
      <c r="AS374" s="10"/>
    </row>
    <row r="375" spans="1:45" s="17" customFormat="1" ht="12.75" customHeight="1" x14ac:dyDescent="0.2">
      <c r="A375" s="11"/>
      <c r="C375" s="11"/>
      <c r="D375" s="10"/>
      <c r="AR375" s="10"/>
      <c r="AS375" s="10"/>
    </row>
    <row r="376" spans="1:45" s="17" customFormat="1" ht="12.75" customHeight="1" x14ac:dyDescent="0.2">
      <c r="A376" s="11"/>
      <c r="C376" s="11"/>
      <c r="D376" s="10"/>
      <c r="AR376" s="10"/>
      <c r="AS376" s="10"/>
    </row>
    <row r="377" spans="1:45" s="17" customFormat="1" ht="12.75" customHeight="1" x14ac:dyDescent="0.2">
      <c r="A377" s="11"/>
      <c r="C377" s="11"/>
      <c r="D377" s="10"/>
      <c r="AR377" s="10"/>
      <c r="AS377" s="10"/>
    </row>
    <row r="378" spans="1:45" s="17" customFormat="1" ht="12.75" customHeight="1" x14ac:dyDescent="0.2">
      <c r="A378" s="11"/>
      <c r="C378" s="11"/>
      <c r="D378" s="10"/>
      <c r="AR378" s="10"/>
      <c r="AS378" s="10"/>
    </row>
    <row r="379" spans="1:45" s="17" customFormat="1" ht="12.75" customHeight="1" x14ac:dyDescent="0.2">
      <c r="A379" s="11"/>
      <c r="C379" s="11"/>
      <c r="D379" s="10"/>
      <c r="AR379" s="10"/>
      <c r="AS379" s="10"/>
    </row>
    <row r="380" spans="1:45" s="17" customFormat="1" ht="12.75" customHeight="1" x14ac:dyDescent="0.2">
      <c r="A380" s="11"/>
      <c r="C380" s="11"/>
      <c r="D380" s="10"/>
      <c r="AR380" s="10"/>
      <c r="AS380" s="10"/>
    </row>
    <row r="381" spans="1:45" s="17" customFormat="1" ht="12.75" customHeight="1" x14ac:dyDescent="0.2">
      <c r="A381" s="11"/>
      <c r="C381" s="11"/>
      <c r="D381" s="10"/>
      <c r="AR381" s="10"/>
      <c r="AS381" s="10"/>
    </row>
    <row r="382" spans="1:45" s="17" customFormat="1" ht="12.75" customHeight="1" x14ac:dyDescent="0.2">
      <c r="A382" s="11"/>
      <c r="C382" s="11"/>
      <c r="D382" s="10"/>
      <c r="AR382" s="10"/>
      <c r="AS382" s="10"/>
    </row>
    <row r="383" spans="1:45" s="17" customFormat="1" ht="12.75" customHeight="1" x14ac:dyDescent="0.2">
      <c r="A383" s="11"/>
      <c r="C383" s="11"/>
      <c r="D383" s="10"/>
      <c r="AR383" s="10"/>
      <c r="AS383" s="10"/>
    </row>
    <row r="384" spans="1:45" s="17" customFormat="1" ht="12.75" customHeight="1" x14ac:dyDescent="0.2">
      <c r="A384" s="11"/>
      <c r="C384" s="11"/>
      <c r="D384" s="10"/>
      <c r="AR384" s="10"/>
      <c r="AS384" s="10"/>
    </row>
    <row r="385" spans="1:45" s="17" customFormat="1" ht="12.75" customHeight="1" x14ac:dyDescent="0.2">
      <c r="A385" s="11"/>
      <c r="C385" s="11"/>
      <c r="D385" s="10"/>
      <c r="AR385" s="10"/>
      <c r="AS385" s="10"/>
    </row>
    <row r="386" spans="1:45" s="17" customFormat="1" ht="12.75" customHeight="1" x14ac:dyDescent="0.2">
      <c r="A386" s="11"/>
      <c r="C386" s="11"/>
      <c r="D386" s="10"/>
      <c r="AR386" s="10"/>
      <c r="AS386" s="10"/>
    </row>
    <row r="387" spans="1:45" s="17" customFormat="1" ht="12.75" customHeight="1" x14ac:dyDescent="0.2">
      <c r="A387" s="11"/>
      <c r="C387" s="11"/>
      <c r="D387" s="10"/>
      <c r="AR387" s="10"/>
      <c r="AS387" s="10"/>
    </row>
    <row r="388" spans="1:45" s="17" customFormat="1" ht="12.75" customHeight="1" x14ac:dyDescent="0.2">
      <c r="A388" s="11"/>
      <c r="C388" s="11"/>
      <c r="D388" s="10"/>
      <c r="AR388" s="10"/>
      <c r="AS388" s="10"/>
    </row>
    <row r="389" spans="1:45" s="17" customFormat="1" ht="12.75" customHeight="1" x14ac:dyDescent="0.2">
      <c r="A389" s="11"/>
      <c r="C389" s="11"/>
      <c r="D389" s="10"/>
      <c r="AR389" s="10"/>
      <c r="AS389" s="10"/>
    </row>
    <row r="390" spans="1:45" s="17" customFormat="1" ht="12.75" customHeight="1" x14ac:dyDescent="0.2">
      <c r="A390" s="11"/>
      <c r="C390" s="11"/>
      <c r="D390" s="10"/>
      <c r="AR390" s="10"/>
      <c r="AS390" s="10"/>
    </row>
    <row r="391" spans="1:45" s="17" customFormat="1" ht="12.75" customHeight="1" x14ac:dyDescent="0.2">
      <c r="A391" s="11"/>
      <c r="C391" s="11"/>
      <c r="D391" s="10"/>
      <c r="AR391" s="10"/>
      <c r="AS391" s="10"/>
    </row>
    <row r="392" spans="1:45" s="17" customFormat="1" ht="12.75" customHeight="1" x14ac:dyDescent="0.2">
      <c r="A392" s="11"/>
      <c r="C392" s="11"/>
      <c r="D392" s="10"/>
      <c r="AR392" s="10"/>
      <c r="AS392" s="10"/>
    </row>
    <row r="393" spans="1:45" s="17" customFormat="1" ht="12.75" customHeight="1" x14ac:dyDescent="0.2">
      <c r="A393" s="11"/>
      <c r="C393" s="11"/>
      <c r="D393" s="10"/>
      <c r="AR393" s="10"/>
      <c r="AS393" s="10"/>
    </row>
    <row r="394" spans="1:45" s="17" customFormat="1" ht="12.75" customHeight="1" x14ac:dyDescent="0.2">
      <c r="A394" s="11"/>
      <c r="C394" s="11"/>
      <c r="D394" s="10"/>
      <c r="AR394" s="10"/>
      <c r="AS394" s="10"/>
    </row>
    <row r="395" spans="1:45" s="17" customFormat="1" ht="12.75" customHeight="1" x14ac:dyDescent="0.2">
      <c r="A395" s="11"/>
      <c r="C395" s="11"/>
      <c r="D395" s="10"/>
      <c r="AR395" s="10"/>
      <c r="AS395" s="10"/>
    </row>
    <row r="396" spans="1:45" s="17" customFormat="1" ht="12.75" customHeight="1" x14ac:dyDescent="0.2">
      <c r="A396" s="11"/>
      <c r="C396" s="11"/>
      <c r="D396" s="10"/>
      <c r="AR396" s="10"/>
      <c r="AS396" s="10"/>
    </row>
    <row r="397" spans="1:45" s="17" customFormat="1" ht="12.75" customHeight="1" x14ac:dyDescent="0.2">
      <c r="A397" s="11"/>
      <c r="C397" s="11"/>
      <c r="D397" s="10"/>
      <c r="AR397" s="10"/>
      <c r="AS397" s="10"/>
    </row>
    <row r="398" spans="1:45" s="17" customFormat="1" ht="12.75" customHeight="1" x14ac:dyDescent="0.2">
      <c r="A398" s="11"/>
      <c r="C398" s="11"/>
      <c r="D398" s="10"/>
      <c r="AR398" s="10"/>
      <c r="AS398" s="10"/>
    </row>
    <row r="399" spans="1:45" s="17" customFormat="1" ht="12.75" customHeight="1" x14ac:dyDescent="0.2">
      <c r="A399" s="11"/>
      <c r="C399" s="11"/>
      <c r="D399" s="10"/>
      <c r="AR399" s="10"/>
      <c r="AS399" s="10"/>
    </row>
    <row r="400" spans="1:45" s="17" customFormat="1" ht="12.75" customHeight="1" x14ac:dyDescent="0.2">
      <c r="A400" s="11"/>
      <c r="C400" s="11"/>
      <c r="D400" s="10"/>
      <c r="AR400" s="10"/>
      <c r="AS400" s="10"/>
    </row>
    <row r="401" spans="1:45" s="17" customFormat="1" ht="12.75" customHeight="1" x14ac:dyDescent="0.2">
      <c r="A401" s="11"/>
      <c r="C401" s="11"/>
      <c r="D401" s="10"/>
      <c r="AR401" s="10"/>
      <c r="AS401" s="10"/>
    </row>
    <row r="402" spans="1:45" s="17" customFormat="1" ht="12.75" customHeight="1" x14ac:dyDescent="0.2">
      <c r="A402" s="11"/>
      <c r="C402" s="11"/>
      <c r="D402" s="10"/>
      <c r="AR402" s="10"/>
      <c r="AS402" s="10"/>
    </row>
    <row r="403" spans="1:45" s="17" customFormat="1" ht="12.75" customHeight="1" x14ac:dyDescent="0.2">
      <c r="A403" s="11"/>
      <c r="C403" s="11"/>
      <c r="D403" s="10"/>
      <c r="AR403" s="10"/>
      <c r="AS403" s="10"/>
    </row>
    <row r="404" spans="1:45" s="17" customFormat="1" ht="12.75" customHeight="1" x14ac:dyDescent="0.2">
      <c r="A404" s="11"/>
      <c r="C404" s="11"/>
      <c r="D404" s="10"/>
      <c r="AR404" s="10"/>
      <c r="AS404" s="10"/>
    </row>
    <row r="405" spans="1:45" s="17" customFormat="1" ht="12.75" customHeight="1" x14ac:dyDescent="0.2">
      <c r="A405" s="11"/>
      <c r="C405" s="11"/>
      <c r="D405" s="10"/>
      <c r="AR405" s="10"/>
      <c r="AS405" s="10"/>
    </row>
    <row r="406" spans="1:45" s="17" customFormat="1" ht="12.75" customHeight="1" x14ac:dyDescent="0.2">
      <c r="A406" s="11"/>
      <c r="C406" s="11"/>
      <c r="D406" s="10"/>
      <c r="AR406" s="10"/>
      <c r="AS406" s="10"/>
    </row>
    <row r="407" spans="1:45" s="17" customFormat="1" ht="12.75" customHeight="1" x14ac:dyDescent="0.2">
      <c r="A407" s="11"/>
      <c r="C407" s="11"/>
      <c r="D407" s="10"/>
      <c r="AR407" s="10"/>
      <c r="AS407" s="10"/>
    </row>
    <row r="408" spans="1:45" s="17" customFormat="1" ht="12.75" customHeight="1" x14ac:dyDescent="0.2">
      <c r="A408" s="11"/>
      <c r="C408" s="11"/>
      <c r="D408" s="10"/>
      <c r="AR408" s="10"/>
      <c r="AS408" s="10"/>
    </row>
    <row r="409" spans="1:45" s="17" customFormat="1" ht="12.75" customHeight="1" x14ac:dyDescent="0.2">
      <c r="A409" s="11"/>
      <c r="C409" s="11"/>
      <c r="D409" s="10"/>
      <c r="AR409" s="10"/>
      <c r="AS409" s="10"/>
    </row>
    <row r="410" spans="1:45" s="17" customFormat="1" ht="12.75" customHeight="1" x14ac:dyDescent="0.2">
      <c r="A410" s="11"/>
      <c r="C410" s="11"/>
      <c r="D410" s="10"/>
      <c r="AR410" s="10"/>
      <c r="AS410" s="10"/>
    </row>
    <row r="411" spans="1:45" s="17" customFormat="1" ht="12.75" customHeight="1" x14ac:dyDescent="0.2">
      <c r="A411" s="11"/>
      <c r="C411" s="11"/>
      <c r="D411" s="10"/>
      <c r="AR411" s="10"/>
      <c r="AS411" s="10"/>
    </row>
    <row r="412" spans="1:45" s="17" customFormat="1" ht="12.75" customHeight="1" x14ac:dyDescent="0.2">
      <c r="A412" s="11"/>
      <c r="C412" s="11"/>
      <c r="D412" s="10"/>
      <c r="AR412" s="10"/>
      <c r="AS412" s="10"/>
    </row>
    <row r="413" spans="1:45" s="17" customFormat="1" ht="12.75" customHeight="1" x14ac:dyDescent="0.2">
      <c r="A413" s="11"/>
      <c r="C413" s="11"/>
      <c r="D413" s="10"/>
      <c r="AR413" s="10"/>
      <c r="AS413" s="10"/>
    </row>
    <row r="414" spans="1:45" s="17" customFormat="1" ht="12.75" customHeight="1" x14ac:dyDescent="0.2">
      <c r="A414" s="11"/>
      <c r="C414" s="11"/>
      <c r="D414" s="10"/>
      <c r="AR414" s="10"/>
      <c r="AS414" s="10"/>
    </row>
    <row r="415" spans="1:45" s="17" customFormat="1" ht="12.75" customHeight="1" x14ac:dyDescent="0.2">
      <c r="A415" s="11"/>
      <c r="C415" s="11"/>
      <c r="D415" s="10"/>
      <c r="AR415" s="10"/>
      <c r="AS415" s="10"/>
    </row>
    <row r="416" spans="1:45" s="17" customFormat="1" ht="12.75" customHeight="1" x14ac:dyDescent="0.2">
      <c r="A416" s="11"/>
      <c r="C416" s="11"/>
      <c r="D416" s="10"/>
      <c r="AR416" s="10"/>
      <c r="AS416" s="10"/>
    </row>
    <row r="417" spans="1:45" s="17" customFormat="1" ht="12.75" customHeight="1" x14ac:dyDescent="0.2">
      <c r="A417" s="11"/>
      <c r="C417" s="11"/>
      <c r="D417" s="10"/>
      <c r="AR417" s="10"/>
      <c r="AS417" s="10"/>
    </row>
    <row r="418" spans="1:45" s="17" customFormat="1" ht="12.75" customHeight="1" x14ac:dyDescent="0.2">
      <c r="A418" s="11"/>
      <c r="C418" s="11"/>
      <c r="D418" s="10"/>
      <c r="AR418" s="10"/>
      <c r="AS418" s="10"/>
    </row>
    <row r="419" spans="1:45" s="17" customFormat="1" ht="12.75" customHeight="1" x14ac:dyDescent="0.2">
      <c r="A419" s="11"/>
      <c r="C419" s="11"/>
      <c r="D419" s="10"/>
      <c r="AR419" s="10"/>
      <c r="AS419" s="10"/>
    </row>
    <row r="420" spans="1:45" s="17" customFormat="1" ht="12.75" customHeight="1" x14ac:dyDescent="0.2">
      <c r="A420" s="11"/>
      <c r="C420" s="11"/>
      <c r="D420" s="10"/>
      <c r="AR420" s="10"/>
      <c r="AS420" s="10"/>
    </row>
    <row r="421" spans="1:45" s="17" customFormat="1" ht="12.75" customHeight="1" x14ac:dyDescent="0.2">
      <c r="A421" s="11"/>
      <c r="C421" s="11"/>
      <c r="D421" s="10"/>
      <c r="AR421" s="10"/>
      <c r="AS421" s="10"/>
    </row>
    <row r="422" spans="1:45" s="17" customFormat="1" ht="12.75" customHeight="1" x14ac:dyDescent="0.2">
      <c r="A422" s="11"/>
      <c r="C422" s="11"/>
      <c r="D422" s="10"/>
      <c r="AR422" s="10"/>
      <c r="AS422" s="10"/>
    </row>
    <row r="423" spans="1:45" s="17" customFormat="1" ht="12.75" customHeight="1" x14ac:dyDescent="0.2">
      <c r="A423" s="11"/>
      <c r="C423" s="11"/>
      <c r="D423" s="10"/>
      <c r="AR423" s="10"/>
      <c r="AS423" s="10"/>
    </row>
    <row r="424" spans="1:45" s="17" customFormat="1" ht="12.75" customHeight="1" x14ac:dyDescent="0.2">
      <c r="A424" s="11"/>
      <c r="C424" s="11"/>
      <c r="D424" s="10"/>
      <c r="AR424" s="10"/>
      <c r="AS424" s="10"/>
    </row>
    <row r="425" spans="1:45" s="17" customFormat="1" ht="12.75" customHeight="1" x14ac:dyDescent="0.2">
      <c r="A425" s="11"/>
      <c r="C425" s="11"/>
      <c r="D425" s="10"/>
      <c r="AR425" s="10"/>
      <c r="AS425" s="10"/>
    </row>
    <row r="426" spans="1:45" s="17" customFormat="1" ht="12.75" customHeight="1" x14ac:dyDescent="0.2">
      <c r="A426" s="11"/>
      <c r="C426" s="11"/>
      <c r="D426" s="10"/>
      <c r="AR426" s="10"/>
      <c r="AS426" s="10"/>
    </row>
    <row r="427" spans="1:45" s="17" customFormat="1" ht="12.75" customHeight="1" x14ac:dyDescent="0.2">
      <c r="A427" s="11"/>
      <c r="C427" s="11"/>
      <c r="D427" s="10"/>
      <c r="AR427" s="10"/>
      <c r="AS427" s="10"/>
    </row>
    <row r="428" spans="1:45" s="17" customFormat="1" ht="12.75" customHeight="1" x14ac:dyDescent="0.2">
      <c r="A428" s="11"/>
      <c r="C428" s="11"/>
      <c r="D428" s="10"/>
      <c r="AR428" s="10"/>
      <c r="AS428" s="10"/>
    </row>
    <row r="429" spans="1:45" s="17" customFormat="1" ht="12.75" customHeight="1" x14ac:dyDescent="0.2">
      <c r="A429" s="11"/>
      <c r="C429" s="11"/>
      <c r="D429" s="10"/>
      <c r="AR429" s="10"/>
      <c r="AS429" s="10"/>
    </row>
    <row r="430" spans="1:45" s="17" customFormat="1" ht="12.75" customHeight="1" x14ac:dyDescent="0.2">
      <c r="A430" s="11"/>
      <c r="C430" s="11"/>
      <c r="D430" s="10"/>
      <c r="AR430" s="10"/>
      <c r="AS430" s="10"/>
    </row>
    <row r="431" spans="1:45" s="17" customFormat="1" ht="12.75" customHeight="1" x14ac:dyDescent="0.2">
      <c r="A431" s="11"/>
      <c r="C431" s="11"/>
      <c r="D431" s="10"/>
      <c r="AR431" s="10"/>
      <c r="AS431" s="10"/>
    </row>
    <row r="432" spans="1:45" s="17" customFormat="1" ht="12.75" customHeight="1" x14ac:dyDescent="0.2">
      <c r="A432" s="11"/>
      <c r="C432" s="11"/>
      <c r="D432" s="10"/>
      <c r="AR432" s="10"/>
      <c r="AS432" s="10"/>
    </row>
    <row r="433" spans="1:45" s="17" customFormat="1" ht="12.75" customHeight="1" x14ac:dyDescent="0.2">
      <c r="A433" s="11"/>
      <c r="C433" s="11"/>
      <c r="D433" s="10"/>
      <c r="AR433" s="10"/>
      <c r="AS433" s="10"/>
    </row>
    <row r="434" spans="1:45" s="17" customFormat="1" ht="12.75" customHeight="1" x14ac:dyDescent="0.2">
      <c r="A434" s="11"/>
      <c r="C434" s="11"/>
      <c r="D434" s="10"/>
      <c r="AR434" s="10"/>
      <c r="AS434" s="10"/>
    </row>
    <row r="435" spans="1:45" s="17" customFormat="1" ht="12.75" customHeight="1" x14ac:dyDescent="0.2">
      <c r="A435" s="11"/>
      <c r="C435" s="11"/>
      <c r="D435" s="10"/>
      <c r="AR435" s="10"/>
      <c r="AS435" s="10"/>
    </row>
    <row r="436" spans="1:45" s="17" customFormat="1" ht="12.75" customHeight="1" x14ac:dyDescent="0.2">
      <c r="A436" s="11"/>
      <c r="C436" s="11"/>
      <c r="D436" s="10"/>
      <c r="AR436" s="10"/>
      <c r="AS436" s="10"/>
    </row>
    <row r="437" spans="1:45" s="17" customFormat="1" ht="12.75" customHeight="1" x14ac:dyDescent="0.2">
      <c r="A437" s="11"/>
      <c r="C437" s="11"/>
      <c r="D437" s="10"/>
      <c r="AR437" s="10"/>
      <c r="AS437" s="10"/>
    </row>
    <row r="438" spans="1:45" s="17" customFormat="1" ht="12.75" customHeight="1" x14ac:dyDescent="0.2">
      <c r="A438" s="11"/>
      <c r="C438" s="11"/>
      <c r="D438" s="10"/>
      <c r="AR438" s="10"/>
      <c r="AS438" s="10"/>
    </row>
    <row r="439" spans="1:45" s="17" customFormat="1" ht="12.75" customHeight="1" x14ac:dyDescent="0.2">
      <c r="A439" s="11"/>
      <c r="C439" s="11"/>
      <c r="D439" s="10"/>
      <c r="AR439" s="10"/>
      <c r="AS439" s="10"/>
    </row>
    <row r="440" spans="1:45" s="17" customFormat="1" ht="12.75" customHeight="1" x14ac:dyDescent="0.2">
      <c r="A440" s="11"/>
      <c r="C440" s="11"/>
      <c r="D440" s="10"/>
      <c r="AR440" s="10"/>
      <c r="AS440" s="10"/>
    </row>
    <row r="441" spans="1:45" s="17" customFormat="1" ht="12.75" customHeight="1" x14ac:dyDescent="0.2">
      <c r="A441" s="11"/>
      <c r="C441" s="11"/>
      <c r="D441" s="10"/>
      <c r="AR441" s="10"/>
      <c r="AS441" s="10"/>
    </row>
    <row r="442" spans="1:45" s="17" customFormat="1" ht="12.75" customHeight="1" x14ac:dyDescent="0.2">
      <c r="A442" s="11"/>
      <c r="C442" s="11"/>
      <c r="D442" s="10"/>
      <c r="AR442" s="10"/>
      <c r="AS442" s="10"/>
    </row>
    <row r="443" spans="1:45" s="17" customFormat="1" ht="12.75" customHeight="1" x14ac:dyDescent="0.2">
      <c r="A443" s="11"/>
      <c r="C443" s="11"/>
      <c r="D443" s="10"/>
      <c r="AR443" s="10"/>
      <c r="AS443" s="10"/>
    </row>
    <row r="444" spans="1:45" s="17" customFormat="1" ht="12.75" customHeight="1" x14ac:dyDescent="0.2">
      <c r="A444" s="11"/>
      <c r="C444" s="11"/>
      <c r="D444" s="10"/>
      <c r="AR444" s="10"/>
      <c r="AS444" s="10"/>
    </row>
    <row r="445" spans="1:45" s="17" customFormat="1" ht="12.75" customHeight="1" x14ac:dyDescent="0.2">
      <c r="A445" s="11"/>
      <c r="C445" s="11"/>
      <c r="D445" s="10"/>
      <c r="AR445" s="10"/>
      <c r="AS445" s="10"/>
    </row>
    <row r="446" spans="1:45" s="17" customFormat="1" ht="12.75" customHeight="1" x14ac:dyDescent="0.2">
      <c r="A446" s="11"/>
      <c r="C446" s="11"/>
      <c r="D446" s="10"/>
      <c r="AR446" s="10"/>
      <c r="AS446" s="10"/>
    </row>
    <row r="447" spans="1:45" s="17" customFormat="1" ht="12.75" customHeight="1" x14ac:dyDescent="0.2">
      <c r="A447" s="11"/>
      <c r="C447" s="11"/>
      <c r="D447" s="10"/>
      <c r="AR447" s="10"/>
      <c r="AS447" s="10"/>
    </row>
    <row r="448" spans="1:45" s="17" customFormat="1" ht="12.75" customHeight="1" x14ac:dyDescent="0.2">
      <c r="A448" s="11"/>
      <c r="C448" s="11"/>
      <c r="D448" s="10"/>
      <c r="AR448" s="10"/>
      <c r="AS448" s="10"/>
    </row>
    <row r="449" spans="1:45" s="17" customFormat="1" ht="12.75" customHeight="1" x14ac:dyDescent="0.2">
      <c r="A449" s="11"/>
      <c r="C449" s="11"/>
      <c r="D449" s="10"/>
      <c r="AR449" s="10"/>
      <c r="AS449" s="10"/>
    </row>
    <row r="450" spans="1:45" s="17" customFormat="1" ht="12.75" customHeight="1" x14ac:dyDescent="0.2">
      <c r="A450" s="11"/>
      <c r="C450" s="11"/>
      <c r="D450" s="10"/>
      <c r="AR450" s="10"/>
      <c r="AS450" s="10"/>
    </row>
    <row r="451" spans="1:45" s="17" customFormat="1" ht="12.75" customHeight="1" x14ac:dyDescent="0.2">
      <c r="A451" s="11"/>
      <c r="C451" s="11"/>
      <c r="D451" s="10"/>
      <c r="AR451" s="10"/>
      <c r="AS451" s="10"/>
    </row>
    <row r="452" spans="1:45" s="17" customFormat="1" ht="12.75" customHeight="1" x14ac:dyDescent="0.2">
      <c r="A452" s="11"/>
      <c r="C452" s="11"/>
      <c r="D452" s="10"/>
      <c r="AR452" s="10"/>
      <c r="AS452" s="10"/>
    </row>
    <row r="453" spans="1:45" s="17" customFormat="1" ht="12.75" customHeight="1" x14ac:dyDescent="0.2">
      <c r="A453" s="11"/>
      <c r="C453" s="11"/>
      <c r="D453" s="10"/>
      <c r="AR453" s="10"/>
      <c r="AS453" s="10"/>
    </row>
    <row r="454" spans="1:45" s="17" customFormat="1" ht="12.75" customHeight="1" x14ac:dyDescent="0.2">
      <c r="A454" s="11"/>
      <c r="C454" s="11"/>
      <c r="D454" s="10"/>
      <c r="AR454" s="10"/>
      <c r="AS454" s="10"/>
    </row>
    <row r="455" spans="1:45" s="17" customFormat="1" ht="12.75" customHeight="1" x14ac:dyDescent="0.2">
      <c r="A455" s="11"/>
      <c r="C455" s="11"/>
      <c r="D455" s="10"/>
      <c r="AR455" s="10"/>
      <c r="AS455" s="10"/>
    </row>
    <row r="456" spans="1:45" s="17" customFormat="1" ht="12.75" customHeight="1" x14ac:dyDescent="0.2">
      <c r="A456" s="11"/>
      <c r="C456" s="11"/>
      <c r="D456" s="10"/>
      <c r="AR456" s="10"/>
      <c r="AS456" s="10"/>
    </row>
    <row r="457" spans="1:45" s="17" customFormat="1" ht="12.75" customHeight="1" x14ac:dyDescent="0.2">
      <c r="A457" s="11"/>
      <c r="C457" s="11"/>
      <c r="D457" s="10"/>
      <c r="AR457" s="10"/>
      <c r="AS457" s="10"/>
    </row>
    <row r="458" spans="1:45" s="17" customFormat="1" ht="12.75" customHeight="1" x14ac:dyDescent="0.2">
      <c r="A458" s="11"/>
      <c r="C458" s="11"/>
      <c r="D458" s="10"/>
      <c r="AR458" s="10"/>
      <c r="AS458" s="10"/>
    </row>
    <row r="459" spans="1:45" s="17" customFormat="1" ht="12.75" customHeight="1" x14ac:dyDescent="0.2">
      <c r="A459" s="11"/>
      <c r="C459" s="11"/>
      <c r="D459" s="10"/>
      <c r="AR459" s="10"/>
      <c r="AS459" s="10"/>
    </row>
    <row r="460" spans="1:45" s="17" customFormat="1" ht="12.75" customHeight="1" x14ac:dyDescent="0.2">
      <c r="A460" s="11"/>
      <c r="C460" s="11"/>
      <c r="D460" s="10"/>
      <c r="AR460" s="10"/>
      <c r="AS460" s="10"/>
    </row>
    <row r="461" spans="1:45" s="17" customFormat="1" ht="12.75" customHeight="1" x14ac:dyDescent="0.2">
      <c r="A461" s="11"/>
      <c r="C461" s="11"/>
      <c r="D461" s="10"/>
      <c r="AR461" s="10"/>
      <c r="AS461" s="10"/>
    </row>
    <row r="462" spans="1:45" s="17" customFormat="1" ht="12.75" customHeight="1" x14ac:dyDescent="0.2">
      <c r="A462" s="11"/>
      <c r="C462" s="11"/>
      <c r="D462" s="10"/>
      <c r="AR462" s="10"/>
      <c r="AS462" s="10"/>
    </row>
    <row r="463" spans="1:45" s="17" customFormat="1" ht="12.75" customHeight="1" x14ac:dyDescent="0.2">
      <c r="A463" s="11"/>
      <c r="C463" s="11"/>
      <c r="D463" s="10"/>
      <c r="AR463" s="10"/>
      <c r="AS463" s="10"/>
    </row>
    <row r="464" spans="1:45" s="17" customFormat="1" ht="12.75" customHeight="1" x14ac:dyDescent="0.2">
      <c r="A464" s="11"/>
      <c r="C464" s="11"/>
      <c r="D464" s="10"/>
      <c r="AR464" s="10"/>
      <c r="AS464" s="10"/>
    </row>
    <row r="465" spans="1:45" s="17" customFormat="1" ht="12.75" customHeight="1" x14ac:dyDescent="0.2">
      <c r="A465" s="11"/>
      <c r="C465" s="11"/>
      <c r="D465" s="10"/>
      <c r="AR465" s="10"/>
      <c r="AS465" s="10"/>
    </row>
    <row r="466" spans="1:45" s="17" customFormat="1" ht="12.75" customHeight="1" x14ac:dyDescent="0.2">
      <c r="A466" s="11"/>
      <c r="C466" s="11"/>
      <c r="D466" s="10"/>
      <c r="AR466" s="10"/>
      <c r="AS466" s="10"/>
    </row>
    <row r="467" spans="1:45" s="17" customFormat="1" ht="12.75" customHeight="1" x14ac:dyDescent="0.2">
      <c r="A467" s="11"/>
      <c r="C467" s="11"/>
      <c r="D467" s="10"/>
      <c r="AR467" s="10"/>
      <c r="AS467" s="10"/>
    </row>
    <row r="468" spans="1:45" s="17" customFormat="1" ht="12.75" customHeight="1" x14ac:dyDescent="0.2">
      <c r="A468" s="11"/>
      <c r="C468" s="11"/>
      <c r="D468" s="10"/>
      <c r="AR468" s="10"/>
      <c r="AS468" s="10"/>
    </row>
    <row r="469" spans="1:45" s="17" customFormat="1" ht="12.75" customHeight="1" x14ac:dyDescent="0.2">
      <c r="A469" s="11"/>
      <c r="C469" s="11"/>
      <c r="D469" s="10"/>
      <c r="AR469" s="10"/>
      <c r="AS469" s="10"/>
    </row>
    <row r="470" spans="1:45" s="17" customFormat="1" ht="12.75" customHeight="1" x14ac:dyDescent="0.2">
      <c r="A470" s="11"/>
      <c r="C470" s="11"/>
      <c r="D470" s="10"/>
      <c r="AR470" s="10"/>
      <c r="AS470" s="10"/>
    </row>
    <row r="471" spans="1:45" s="17" customFormat="1" ht="12.75" customHeight="1" x14ac:dyDescent="0.2">
      <c r="A471" s="11"/>
      <c r="C471" s="11"/>
      <c r="D471" s="10"/>
      <c r="AR471" s="10"/>
      <c r="AS471" s="10"/>
    </row>
    <row r="472" spans="1:45" s="17" customFormat="1" ht="12.75" customHeight="1" x14ac:dyDescent="0.2">
      <c r="A472" s="11"/>
      <c r="C472" s="11"/>
      <c r="D472" s="10"/>
      <c r="AR472" s="10"/>
      <c r="AS472" s="10"/>
    </row>
    <row r="473" spans="1:45" s="17" customFormat="1" ht="12.75" customHeight="1" x14ac:dyDescent="0.2">
      <c r="A473" s="11"/>
      <c r="C473" s="11"/>
      <c r="D473" s="10"/>
      <c r="AR473" s="10"/>
      <c r="AS473" s="10"/>
    </row>
    <row r="474" spans="1:45" s="17" customFormat="1" ht="12.75" customHeight="1" x14ac:dyDescent="0.2">
      <c r="A474" s="11"/>
      <c r="C474" s="11"/>
      <c r="D474" s="10"/>
      <c r="AR474" s="10"/>
      <c r="AS474" s="10"/>
    </row>
    <row r="475" spans="1:45" s="17" customFormat="1" ht="12.75" customHeight="1" x14ac:dyDescent="0.2">
      <c r="A475" s="11"/>
      <c r="C475" s="11"/>
      <c r="D475" s="10"/>
      <c r="AR475" s="10"/>
      <c r="AS475" s="10"/>
    </row>
    <row r="476" spans="1:45" s="17" customFormat="1" ht="12.75" customHeight="1" x14ac:dyDescent="0.2">
      <c r="A476" s="11"/>
      <c r="C476" s="11"/>
      <c r="D476" s="10"/>
      <c r="AR476" s="10"/>
      <c r="AS476" s="10"/>
    </row>
    <row r="477" spans="1:45" s="17" customFormat="1" ht="12.75" customHeight="1" x14ac:dyDescent="0.2">
      <c r="A477" s="11"/>
      <c r="C477" s="11"/>
      <c r="D477" s="10"/>
      <c r="AR477" s="10"/>
      <c r="AS477" s="10"/>
    </row>
    <row r="478" spans="1:45" s="17" customFormat="1" ht="12.75" customHeight="1" x14ac:dyDescent="0.2">
      <c r="A478" s="11"/>
      <c r="C478" s="11"/>
      <c r="D478" s="10"/>
      <c r="AR478" s="10"/>
      <c r="AS478" s="10"/>
    </row>
    <row r="479" spans="1:45" s="17" customFormat="1" ht="12.75" customHeight="1" x14ac:dyDescent="0.2">
      <c r="A479" s="11"/>
      <c r="C479" s="11"/>
      <c r="D479" s="10"/>
      <c r="AR479" s="10"/>
      <c r="AS479" s="10"/>
    </row>
    <row r="480" spans="1:45" s="17" customFormat="1" ht="12.75" customHeight="1" x14ac:dyDescent="0.2">
      <c r="A480" s="11"/>
      <c r="C480" s="11"/>
      <c r="D480" s="10"/>
      <c r="AR480" s="10"/>
      <c r="AS480" s="10"/>
    </row>
    <row r="481" spans="1:45" s="17" customFormat="1" ht="12.75" customHeight="1" x14ac:dyDescent="0.2">
      <c r="A481" s="11"/>
      <c r="C481" s="11"/>
      <c r="D481" s="10"/>
      <c r="AR481" s="10"/>
      <c r="AS481" s="10"/>
    </row>
    <row r="482" spans="1:45" s="17" customFormat="1" ht="12.75" customHeight="1" x14ac:dyDescent="0.2">
      <c r="A482" s="11"/>
      <c r="C482" s="11"/>
      <c r="D482" s="10"/>
      <c r="AR482" s="10"/>
      <c r="AS482" s="10"/>
    </row>
    <row r="483" spans="1:45" s="17" customFormat="1" ht="12.75" customHeight="1" x14ac:dyDescent="0.2">
      <c r="A483" s="11"/>
      <c r="C483" s="11"/>
      <c r="D483" s="10"/>
      <c r="AR483" s="10"/>
      <c r="AS483" s="10"/>
    </row>
    <row r="484" spans="1:45" s="17" customFormat="1" ht="12.75" customHeight="1" x14ac:dyDescent="0.2">
      <c r="A484" s="11"/>
      <c r="C484" s="11"/>
      <c r="D484" s="10"/>
      <c r="AR484" s="10"/>
      <c r="AS484" s="10"/>
    </row>
    <row r="485" spans="1:45" s="17" customFormat="1" ht="12.75" customHeight="1" x14ac:dyDescent="0.2">
      <c r="A485" s="11"/>
      <c r="C485" s="11"/>
      <c r="D485" s="10"/>
      <c r="AR485" s="10"/>
      <c r="AS485" s="10"/>
    </row>
    <row r="486" spans="1:45" s="17" customFormat="1" ht="12.75" customHeight="1" x14ac:dyDescent="0.2">
      <c r="A486" s="11"/>
      <c r="C486" s="11"/>
      <c r="D486" s="10"/>
      <c r="AR486" s="10"/>
      <c r="AS486" s="10"/>
    </row>
    <row r="487" spans="1:45" s="17" customFormat="1" ht="12.75" customHeight="1" x14ac:dyDescent="0.2">
      <c r="A487" s="11"/>
      <c r="C487" s="11"/>
      <c r="D487" s="10"/>
      <c r="AR487" s="10"/>
      <c r="AS487" s="10"/>
    </row>
    <row r="488" spans="1:45" s="17" customFormat="1" ht="12.75" customHeight="1" x14ac:dyDescent="0.2">
      <c r="A488" s="11"/>
      <c r="C488" s="11"/>
      <c r="D488" s="10"/>
      <c r="AR488" s="10"/>
      <c r="AS488" s="10"/>
    </row>
    <row r="489" spans="1:45" s="17" customFormat="1" ht="12.75" customHeight="1" x14ac:dyDescent="0.2">
      <c r="A489" s="11"/>
      <c r="C489" s="11"/>
      <c r="D489" s="10"/>
      <c r="AR489" s="10"/>
      <c r="AS489" s="10"/>
    </row>
    <row r="490" spans="1:45" s="17" customFormat="1" ht="12.75" customHeight="1" x14ac:dyDescent="0.2">
      <c r="A490" s="11"/>
      <c r="C490" s="11"/>
      <c r="D490" s="10"/>
      <c r="AR490" s="10"/>
      <c r="AS490" s="10"/>
    </row>
    <row r="491" spans="1:45" s="17" customFormat="1" ht="12.75" customHeight="1" x14ac:dyDescent="0.2">
      <c r="A491" s="11"/>
      <c r="C491" s="11"/>
      <c r="D491" s="10"/>
      <c r="AR491" s="10"/>
      <c r="AS491" s="10"/>
    </row>
    <row r="492" spans="1:45" s="17" customFormat="1" ht="12.75" customHeight="1" x14ac:dyDescent="0.2">
      <c r="A492" s="11"/>
      <c r="C492" s="11"/>
      <c r="D492" s="10"/>
      <c r="AR492" s="10"/>
      <c r="AS492" s="10"/>
    </row>
    <row r="493" spans="1:45" s="17" customFormat="1" ht="12.75" customHeight="1" x14ac:dyDescent="0.2">
      <c r="A493" s="11"/>
      <c r="C493" s="11"/>
      <c r="D493" s="10"/>
      <c r="AR493" s="10"/>
      <c r="AS493" s="10"/>
    </row>
    <row r="494" spans="1:45" s="17" customFormat="1" ht="12.75" customHeight="1" x14ac:dyDescent="0.2">
      <c r="A494" s="11"/>
      <c r="C494" s="11"/>
      <c r="D494" s="10"/>
      <c r="AR494" s="10"/>
      <c r="AS494" s="10"/>
    </row>
    <row r="495" spans="1:45" s="17" customFormat="1" ht="12.75" customHeight="1" x14ac:dyDescent="0.2">
      <c r="A495" s="11"/>
      <c r="C495" s="11"/>
      <c r="D495" s="10"/>
      <c r="AR495" s="10"/>
      <c r="AS495" s="10"/>
    </row>
    <row r="496" spans="1:45" s="17" customFormat="1" ht="12.75" customHeight="1" x14ac:dyDescent="0.2">
      <c r="A496" s="11"/>
      <c r="C496" s="11"/>
      <c r="D496" s="10"/>
      <c r="AR496" s="10"/>
      <c r="AS496" s="10"/>
    </row>
    <row r="497" spans="1:45" s="17" customFormat="1" ht="12.75" customHeight="1" x14ac:dyDescent="0.2">
      <c r="A497" s="11"/>
      <c r="C497" s="11"/>
      <c r="D497" s="10"/>
      <c r="AR497" s="10"/>
      <c r="AS497" s="10"/>
    </row>
    <row r="498" spans="1:45" s="17" customFormat="1" ht="12.75" customHeight="1" x14ac:dyDescent="0.2">
      <c r="A498" s="11"/>
      <c r="C498" s="11"/>
      <c r="D498" s="10"/>
      <c r="AR498" s="10"/>
      <c r="AS498" s="10"/>
    </row>
    <row r="499" spans="1:45" s="17" customFormat="1" ht="12.75" customHeight="1" x14ac:dyDescent="0.2">
      <c r="A499" s="11"/>
      <c r="C499" s="11"/>
      <c r="D499" s="10"/>
      <c r="AR499" s="10"/>
      <c r="AS499" s="10"/>
    </row>
    <row r="500" spans="1:45" s="17" customFormat="1" ht="12.75" customHeight="1" x14ac:dyDescent="0.2">
      <c r="A500" s="11"/>
      <c r="C500" s="11"/>
      <c r="D500" s="10"/>
      <c r="AR500" s="10"/>
      <c r="AS500" s="10"/>
    </row>
    <row r="501" spans="1:45" s="17" customFormat="1" ht="12.75" customHeight="1" x14ac:dyDescent="0.2">
      <c r="A501" s="11"/>
      <c r="C501" s="11"/>
      <c r="D501" s="10"/>
      <c r="AR501" s="10"/>
      <c r="AS501" s="10"/>
    </row>
    <row r="502" spans="1:45" s="17" customFormat="1" ht="12.75" customHeight="1" x14ac:dyDescent="0.2">
      <c r="A502" s="11"/>
      <c r="C502" s="11"/>
      <c r="D502" s="10"/>
      <c r="AR502" s="10"/>
      <c r="AS502" s="10"/>
    </row>
    <row r="503" spans="1:45" s="17" customFormat="1" ht="12.75" customHeight="1" x14ac:dyDescent="0.2">
      <c r="A503" s="11"/>
      <c r="C503" s="11"/>
      <c r="D503" s="10"/>
      <c r="AR503" s="10"/>
      <c r="AS503" s="10"/>
    </row>
    <row r="504" spans="1:45" s="17" customFormat="1" ht="12.75" customHeight="1" x14ac:dyDescent="0.2">
      <c r="A504" s="11"/>
      <c r="C504" s="11"/>
      <c r="D504" s="10"/>
      <c r="AR504" s="10"/>
      <c r="AS504" s="10"/>
    </row>
    <row r="505" spans="1:45" s="17" customFormat="1" ht="12.75" customHeight="1" x14ac:dyDescent="0.2">
      <c r="A505" s="11"/>
      <c r="C505" s="11"/>
      <c r="D505" s="10"/>
      <c r="AR505" s="10"/>
      <c r="AS505" s="10"/>
    </row>
    <row r="506" spans="1:45" s="17" customFormat="1" ht="12.75" customHeight="1" x14ac:dyDescent="0.2">
      <c r="A506" s="11"/>
      <c r="C506" s="11"/>
      <c r="D506" s="10"/>
      <c r="AR506" s="10"/>
      <c r="AS506" s="10"/>
    </row>
    <row r="507" spans="1:45" s="17" customFormat="1" ht="12.75" customHeight="1" x14ac:dyDescent="0.2">
      <c r="A507" s="11"/>
      <c r="C507" s="11"/>
      <c r="D507" s="10"/>
      <c r="AR507" s="10"/>
      <c r="AS507" s="10"/>
    </row>
    <row r="508" spans="1:45" s="17" customFormat="1" ht="12.75" customHeight="1" x14ac:dyDescent="0.2">
      <c r="A508" s="11"/>
      <c r="C508" s="11"/>
      <c r="D508" s="10"/>
      <c r="AR508" s="10"/>
      <c r="AS508" s="10"/>
    </row>
    <row r="509" spans="1:45" s="17" customFormat="1" ht="12.75" customHeight="1" x14ac:dyDescent="0.2">
      <c r="A509" s="11"/>
      <c r="C509" s="11"/>
      <c r="D509" s="10"/>
      <c r="AR509" s="10"/>
      <c r="AS509" s="10"/>
    </row>
    <row r="510" spans="1:45" s="17" customFormat="1" ht="12.75" customHeight="1" x14ac:dyDescent="0.2">
      <c r="A510" s="11"/>
      <c r="C510" s="11"/>
      <c r="D510" s="10"/>
      <c r="AR510" s="10"/>
      <c r="AS510" s="10"/>
    </row>
    <row r="511" spans="1:45" s="17" customFormat="1" ht="12.75" customHeight="1" x14ac:dyDescent="0.2">
      <c r="A511" s="11"/>
      <c r="C511" s="11"/>
      <c r="D511" s="10"/>
      <c r="AR511" s="10"/>
      <c r="AS511" s="10"/>
    </row>
    <row r="512" spans="1:45" s="17" customFormat="1" ht="12.75" customHeight="1" x14ac:dyDescent="0.2">
      <c r="A512" s="11"/>
      <c r="C512" s="11"/>
      <c r="D512" s="10"/>
      <c r="AR512" s="10"/>
      <c r="AS512" s="10"/>
    </row>
    <row r="513" spans="1:45" s="17" customFormat="1" ht="12.75" customHeight="1" x14ac:dyDescent="0.2">
      <c r="A513" s="11"/>
      <c r="C513" s="11"/>
      <c r="D513" s="10"/>
      <c r="AR513" s="10"/>
      <c r="AS513" s="10"/>
    </row>
    <row r="514" spans="1:45" s="17" customFormat="1" ht="12.75" customHeight="1" x14ac:dyDescent="0.2">
      <c r="A514" s="11"/>
      <c r="C514" s="11"/>
      <c r="D514" s="10"/>
      <c r="AR514" s="10"/>
      <c r="AS514" s="10"/>
    </row>
    <row r="515" spans="1:45" s="17" customFormat="1" ht="12.75" customHeight="1" x14ac:dyDescent="0.2">
      <c r="A515" s="11"/>
      <c r="C515" s="11"/>
      <c r="D515" s="10"/>
      <c r="AR515" s="10"/>
      <c r="AS515" s="10"/>
    </row>
    <row r="516" spans="1:45" s="17" customFormat="1" ht="12.75" customHeight="1" x14ac:dyDescent="0.2">
      <c r="A516" s="11"/>
      <c r="C516" s="11"/>
      <c r="D516" s="10"/>
      <c r="AR516" s="10"/>
      <c r="AS516" s="10"/>
    </row>
    <row r="517" spans="1:45" s="17" customFormat="1" ht="12.75" customHeight="1" x14ac:dyDescent="0.2">
      <c r="A517" s="11"/>
      <c r="C517" s="11"/>
      <c r="D517" s="10"/>
      <c r="AR517" s="10"/>
      <c r="AS517" s="10"/>
    </row>
    <row r="518" spans="1:45" s="17" customFormat="1" ht="12.75" customHeight="1" x14ac:dyDescent="0.2">
      <c r="A518" s="11"/>
      <c r="C518" s="11"/>
      <c r="D518" s="10"/>
      <c r="AR518" s="10"/>
      <c r="AS518" s="10"/>
    </row>
    <row r="519" spans="1:45" s="17" customFormat="1" ht="12.75" customHeight="1" x14ac:dyDescent="0.2">
      <c r="A519" s="11"/>
      <c r="C519" s="11"/>
      <c r="D519" s="10"/>
      <c r="AR519" s="10"/>
      <c r="AS519" s="10"/>
    </row>
    <row r="520" spans="1:45" s="17" customFormat="1" ht="12.75" customHeight="1" x14ac:dyDescent="0.2">
      <c r="A520" s="11"/>
      <c r="C520" s="11"/>
      <c r="D520" s="10"/>
      <c r="AR520" s="10"/>
      <c r="AS520" s="10"/>
    </row>
    <row r="521" spans="1:45" s="17" customFormat="1" ht="12.75" customHeight="1" x14ac:dyDescent="0.2">
      <c r="A521" s="11"/>
      <c r="C521" s="11"/>
      <c r="D521" s="10"/>
      <c r="AR521" s="10"/>
      <c r="AS521" s="10"/>
    </row>
    <row r="522" spans="1:45" s="17" customFormat="1" ht="12.75" customHeight="1" x14ac:dyDescent="0.2">
      <c r="A522" s="11"/>
      <c r="C522" s="11"/>
      <c r="D522" s="10"/>
      <c r="AR522" s="10"/>
      <c r="AS522" s="10"/>
    </row>
    <row r="523" spans="1:45" s="17" customFormat="1" ht="12.75" customHeight="1" x14ac:dyDescent="0.2">
      <c r="A523" s="11"/>
      <c r="C523" s="11"/>
      <c r="D523" s="10"/>
      <c r="AR523" s="10"/>
      <c r="AS523" s="10"/>
    </row>
    <row r="524" spans="1:45" s="17" customFormat="1" ht="12.75" customHeight="1" x14ac:dyDescent="0.2">
      <c r="A524" s="11"/>
      <c r="C524" s="11"/>
      <c r="D524" s="10"/>
      <c r="AR524" s="10"/>
      <c r="AS524" s="10"/>
    </row>
    <row r="525" spans="1:45" s="17" customFormat="1" ht="12.75" customHeight="1" x14ac:dyDescent="0.2">
      <c r="A525" s="11"/>
      <c r="C525" s="11"/>
      <c r="D525" s="10"/>
      <c r="AR525" s="10"/>
      <c r="AS525" s="10"/>
    </row>
    <row r="526" spans="1:45" s="17" customFormat="1" ht="12.75" customHeight="1" x14ac:dyDescent="0.2">
      <c r="A526" s="11"/>
      <c r="C526" s="11"/>
      <c r="D526" s="10"/>
      <c r="AR526" s="10"/>
      <c r="AS526" s="10"/>
    </row>
    <row r="527" spans="1:45" s="17" customFormat="1" ht="12.75" customHeight="1" x14ac:dyDescent="0.2">
      <c r="A527" s="11"/>
      <c r="C527" s="11"/>
      <c r="D527" s="10"/>
      <c r="AR527" s="10"/>
      <c r="AS527" s="10"/>
    </row>
    <row r="528" spans="1:45" s="17" customFormat="1" ht="12.75" customHeight="1" x14ac:dyDescent="0.2">
      <c r="A528" s="11"/>
      <c r="C528" s="11"/>
      <c r="D528" s="10"/>
      <c r="AR528" s="10"/>
      <c r="AS528" s="10"/>
    </row>
    <row r="529" spans="1:45" s="17" customFormat="1" ht="12.75" customHeight="1" x14ac:dyDescent="0.2">
      <c r="A529" s="11"/>
      <c r="C529" s="11"/>
      <c r="D529" s="10"/>
      <c r="AR529" s="10"/>
      <c r="AS529" s="10"/>
    </row>
    <row r="530" spans="1:45" s="17" customFormat="1" ht="12.75" customHeight="1" x14ac:dyDescent="0.2">
      <c r="A530" s="11"/>
      <c r="C530" s="11"/>
      <c r="D530" s="10"/>
      <c r="AR530" s="10"/>
      <c r="AS530" s="10"/>
    </row>
    <row r="531" spans="1:45" s="17" customFormat="1" ht="12.75" customHeight="1" x14ac:dyDescent="0.2">
      <c r="A531" s="11"/>
      <c r="C531" s="11"/>
      <c r="D531" s="10"/>
      <c r="AR531" s="10"/>
      <c r="AS531" s="10"/>
    </row>
    <row r="532" spans="1:45" s="17" customFormat="1" ht="12.75" customHeight="1" x14ac:dyDescent="0.2">
      <c r="A532" s="11"/>
      <c r="C532" s="11"/>
      <c r="D532" s="10"/>
      <c r="AR532" s="10"/>
      <c r="AS532" s="10"/>
    </row>
    <row r="533" spans="1:45" s="17" customFormat="1" ht="12.75" customHeight="1" x14ac:dyDescent="0.2">
      <c r="A533" s="11"/>
      <c r="C533" s="11"/>
      <c r="D533" s="10"/>
      <c r="AR533" s="10"/>
      <c r="AS533" s="10"/>
    </row>
    <row r="534" spans="1:45" s="17" customFormat="1" ht="12.75" customHeight="1" x14ac:dyDescent="0.2">
      <c r="A534" s="11"/>
      <c r="C534" s="11"/>
      <c r="D534" s="10"/>
      <c r="AR534" s="10"/>
      <c r="AS534" s="10"/>
    </row>
    <row r="535" spans="1:45" s="17" customFormat="1" ht="12.75" customHeight="1" x14ac:dyDescent="0.2">
      <c r="A535" s="11"/>
      <c r="C535" s="11"/>
      <c r="D535" s="10"/>
      <c r="AR535" s="10"/>
      <c r="AS535" s="10"/>
    </row>
    <row r="536" spans="1:45" s="17" customFormat="1" ht="12.75" customHeight="1" x14ac:dyDescent="0.2">
      <c r="A536" s="11"/>
      <c r="C536" s="11"/>
      <c r="D536" s="10"/>
      <c r="AR536" s="10"/>
      <c r="AS536" s="10"/>
    </row>
    <row r="537" spans="1:45" s="17" customFormat="1" ht="12.75" customHeight="1" x14ac:dyDescent="0.2">
      <c r="A537" s="11"/>
      <c r="C537" s="11"/>
      <c r="D537" s="10"/>
      <c r="AR537" s="10"/>
      <c r="AS537" s="10"/>
    </row>
    <row r="538" spans="1:45" s="17" customFormat="1" ht="12.75" customHeight="1" x14ac:dyDescent="0.2">
      <c r="A538" s="11"/>
      <c r="C538" s="11"/>
      <c r="D538" s="10"/>
      <c r="AR538" s="10"/>
      <c r="AS538" s="10"/>
    </row>
    <row r="539" spans="1:45" s="17" customFormat="1" ht="12.75" customHeight="1" x14ac:dyDescent="0.2">
      <c r="A539" s="11"/>
      <c r="C539" s="11"/>
      <c r="D539" s="10"/>
      <c r="AR539" s="10"/>
      <c r="AS539" s="10"/>
    </row>
    <row r="540" spans="1:45" s="17" customFormat="1" ht="12.75" customHeight="1" x14ac:dyDescent="0.2">
      <c r="A540" s="11"/>
      <c r="C540" s="11"/>
      <c r="D540" s="10"/>
      <c r="AR540" s="10"/>
      <c r="AS540" s="10"/>
    </row>
    <row r="541" spans="1:45" s="17" customFormat="1" ht="12.75" customHeight="1" x14ac:dyDescent="0.2">
      <c r="A541" s="11"/>
      <c r="C541" s="11"/>
      <c r="D541" s="10"/>
      <c r="AR541" s="10"/>
      <c r="AS541" s="10"/>
    </row>
    <row r="542" spans="1:45" s="17" customFormat="1" ht="12.75" customHeight="1" x14ac:dyDescent="0.2">
      <c r="A542" s="11"/>
      <c r="C542" s="11"/>
      <c r="D542" s="10"/>
      <c r="AR542" s="10"/>
      <c r="AS542" s="10"/>
    </row>
    <row r="543" spans="1:45" s="17" customFormat="1" ht="12.75" customHeight="1" x14ac:dyDescent="0.2">
      <c r="A543" s="11"/>
      <c r="C543" s="11"/>
      <c r="D543" s="10"/>
      <c r="AR543" s="10"/>
      <c r="AS543" s="10"/>
    </row>
    <row r="544" spans="1:45" s="17" customFormat="1" ht="12.75" customHeight="1" x14ac:dyDescent="0.2">
      <c r="A544" s="11"/>
      <c r="C544" s="11"/>
      <c r="D544" s="10"/>
      <c r="AR544" s="10"/>
      <c r="AS544" s="10"/>
    </row>
    <row r="545" spans="1:45" s="17" customFormat="1" ht="12.75" customHeight="1" x14ac:dyDescent="0.2">
      <c r="A545" s="11"/>
      <c r="C545" s="11"/>
      <c r="D545" s="10"/>
      <c r="AR545" s="10"/>
      <c r="AS545" s="10"/>
    </row>
    <row r="546" spans="1:45" s="17" customFormat="1" ht="12.75" customHeight="1" x14ac:dyDescent="0.2">
      <c r="A546" s="11"/>
      <c r="C546" s="11"/>
      <c r="D546" s="10"/>
      <c r="AR546" s="10"/>
      <c r="AS546" s="10"/>
    </row>
    <row r="547" spans="1:45" s="17" customFormat="1" ht="12.75" customHeight="1" x14ac:dyDescent="0.2">
      <c r="A547" s="11"/>
      <c r="C547" s="11"/>
      <c r="D547" s="10"/>
      <c r="AR547" s="10"/>
      <c r="AS547" s="10"/>
    </row>
    <row r="548" spans="1:45" s="17" customFormat="1" ht="12.75" customHeight="1" x14ac:dyDescent="0.2">
      <c r="A548" s="11"/>
      <c r="C548" s="11"/>
      <c r="D548" s="10"/>
      <c r="AR548" s="10"/>
      <c r="AS548" s="10"/>
    </row>
    <row r="549" spans="1:45" s="17" customFormat="1" ht="12.75" customHeight="1" x14ac:dyDescent="0.2">
      <c r="A549" s="11"/>
      <c r="C549" s="11"/>
      <c r="D549" s="10"/>
      <c r="AR549" s="10"/>
      <c r="AS549" s="10"/>
    </row>
    <row r="550" spans="1:45" s="17" customFormat="1" ht="12.75" customHeight="1" x14ac:dyDescent="0.2">
      <c r="A550" s="11"/>
      <c r="C550" s="11"/>
      <c r="D550" s="10"/>
      <c r="AR550" s="10"/>
      <c r="AS550" s="10"/>
    </row>
    <row r="551" spans="1:45" s="17" customFormat="1" ht="12.75" customHeight="1" x14ac:dyDescent="0.2">
      <c r="A551" s="11"/>
      <c r="C551" s="11"/>
      <c r="D551" s="10"/>
      <c r="AR551" s="10"/>
      <c r="AS551" s="10"/>
    </row>
    <row r="552" spans="1:45" s="17" customFormat="1" ht="12.75" customHeight="1" x14ac:dyDescent="0.2">
      <c r="A552" s="11"/>
      <c r="C552" s="11"/>
      <c r="D552" s="10"/>
      <c r="AR552" s="10"/>
      <c r="AS552" s="10"/>
    </row>
    <row r="553" spans="1:45" s="17" customFormat="1" ht="12.75" customHeight="1" x14ac:dyDescent="0.2">
      <c r="A553" s="11"/>
      <c r="C553" s="11"/>
      <c r="D553" s="10"/>
      <c r="AR553" s="10"/>
      <c r="AS553" s="10"/>
    </row>
    <row r="554" spans="1:45" s="17" customFormat="1" ht="12.75" customHeight="1" x14ac:dyDescent="0.2">
      <c r="A554" s="11"/>
      <c r="C554" s="11"/>
      <c r="D554" s="10"/>
      <c r="AR554" s="10"/>
      <c r="AS554" s="10"/>
    </row>
    <row r="555" spans="1:45" s="17" customFormat="1" ht="12.75" customHeight="1" x14ac:dyDescent="0.2">
      <c r="A555" s="11"/>
      <c r="C555" s="11"/>
      <c r="D555" s="10"/>
      <c r="AR555" s="10"/>
      <c r="AS555" s="10"/>
    </row>
    <row r="556" spans="1:45" s="17" customFormat="1" ht="12.75" customHeight="1" x14ac:dyDescent="0.2">
      <c r="A556" s="11"/>
      <c r="C556" s="11"/>
      <c r="D556" s="10"/>
      <c r="AR556" s="10"/>
      <c r="AS556" s="10"/>
    </row>
    <row r="557" spans="1:45" s="17" customFormat="1" ht="12.75" customHeight="1" x14ac:dyDescent="0.2">
      <c r="A557" s="11"/>
      <c r="C557" s="11"/>
      <c r="D557" s="10"/>
      <c r="AR557" s="10"/>
      <c r="AS557" s="10"/>
    </row>
    <row r="558" spans="1:45" s="17" customFormat="1" ht="12.75" customHeight="1" x14ac:dyDescent="0.2">
      <c r="A558" s="11"/>
      <c r="C558" s="11"/>
      <c r="D558" s="10"/>
      <c r="AR558" s="10"/>
      <c r="AS558" s="10"/>
    </row>
    <row r="559" spans="1:45" s="17" customFormat="1" ht="12.75" customHeight="1" x14ac:dyDescent="0.2">
      <c r="A559" s="11"/>
      <c r="C559" s="11"/>
      <c r="D559" s="10"/>
      <c r="AR559" s="10"/>
      <c r="AS559" s="10"/>
    </row>
    <row r="560" spans="1:45" s="17" customFormat="1" ht="12.75" customHeight="1" x14ac:dyDescent="0.2">
      <c r="A560" s="11"/>
      <c r="C560" s="11"/>
      <c r="D560" s="10"/>
      <c r="AR560" s="10"/>
      <c r="AS560" s="10"/>
    </row>
    <row r="561" spans="1:45" s="17" customFormat="1" ht="12.75" customHeight="1" x14ac:dyDescent="0.2">
      <c r="A561" s="11"/>
      <c r="C561" s="11"/>
      <c r="D561" s="10"/>
      <c r="AR561" s="10"/>
      <c r="AS561" s="10"/>
    </row>
    <row r="562" spans="1:45" s="17" customFormat="1" ht="12.75" customHeight="1" x14ac:dyDescent="0.2">
      <c r="A562" s="11"/>
      <c r="C562" s="11"/>
      <c r="D562" s="10"/>
      <c r="AR562" s="10"/>
      <c r="AS562" s="10"/>
    </row>
    <row r="563" spans="1:45" s="17" customFormat="1" ht="12.75" customHeight="1" x14ac:dyDescent="0.2">
      <c r="A563" s="11"/>
      <c r="C563" s="11"/>
      <c r="D563" s="10"/>
      <c r="AR563" s="10"/>
      <c r="AS563" s="10"/>
    </row>
    <row r="564" spans="1:45" s="17" customFormat="1" ht="12.75" customHeight="1" x14ac:dyDescent="0.2">
      <c r="A564" s="11"/>
      <c r="C564" s="11"/>
      <c r="D564" s="10"/>
      <c r="AR564" s="10"/>
      <c r="AS564" s="10"/>
    </row>
    <row r="565" spans="1:45" s="17" customFormat="1" ht="12.75" customHeight="1" x14ac:dyDescent="0.2">
      <c r="A565" s="11"/>
      <c r="C565" s="11"/>
      <c r="D565" s="10"/>
      <c r="AR565" s="10"/>
      <c r="AS565" s="10"/>
    </row>
    <row r="566" spans="1:45" s="17" customFormat="1" ht="12.75" customHeight="1" x14ac:dyDescent="0.2">
      <c r="A566" s="11"/>
      <c r="C566" s="11"/>
      <c r="D566" s="10"/>
      <c r="AR566" s="10"/>
      <c r="AS566" s="10"/>
    </row>
    <row r="567" spans="1:45" s="17" customFormat="1" ht="12.75" customHeight="1" x14ac:dyDescent="0.2">
      <c r="A567" s="11"/>
      <c r="C567" s="11"/>
      <c r="D567" s="10"/>
      <c r="AR567" s="10"/>
      <c r="AS567" s="10"/>
    </row>
    <row r="568" spans="1:45" s="17" customFormat="1" ht="12.75" customHeight="1" x14ac:dyDescent="0.2">
      <c r="A568" s="11"/>
      <c r="C568" s="11"/>
      <c r="D568" s="10"/>
      <c r="AR568" s="10"/>
      <c r="AS568" s="10"/>
    </row>
    <row r="569" spans="1:45" s="17" customFormat="1" ht="12.75" customHeight="1" x14ac:dyDescent="0.2">
      <c r="A569" s="11"/>
      <c r="C569" s="11"/>
      <c r="D569" s="10"/>
      <c r="AR569" s="10"/>
      <c r="AS569" s="10"/>
    </row>
    <row r="570" spans="1:45" s="17" customFormat="1" ht="12.75" customHeight="1" x14ac:dyDescent="0.2">
      <c r="A570" s="11"/>
      <c r="C570" s="11"/>
      <c r="D570" s="10"/>
      <c r="AR570" s="10"/>
      <c r="AS570" s="10"/>
    </row>
    <row r="571" spans="1:45" s="17" customFormat="1" ht="12.75" customHeight="1" x14ac:dyDescent="0.2">
      <c r="A571" s="11"/>
      <c r="C571" s="11"/>
      <c r="D571" s="10"/>
      <c r="AR571" s="10"/>
      <c r="AS571" s="10"/>
    </row>
    <row r="572" spans="1:45" s="17" customFormat="1" ht="12.75" customHeight="1" x14ac:dyDescent="0.2">
      <c r="A572" s="11"/>
      <c r="C572" s="11"/>
      <c r="D572" s="10"/>
      <c r="AR572" s="10"/>
      <c r="AS572" s="10"/>
    </row>
    <row r="573" spans="1:45" s="17" customFormat="1" ht="12.75" customHeight="1" x14ac:dyDescent="0.2">
      <c r="A573" s="11"/>
      <c r="C573" s="11"/>
      <c r="D573" s="10"/>
      <c r="AR573" s="10"/>
      <c r="AS573" s="10"/>
    </row>
    <row r="574" spans="1:45" s="17" customFormat="1" ht="12.75" customHeight="1" x14ac:dyDescent="0.2">
      <c r="A574" s="11"/>
      <c r="C574" s="11"/>
      <c r="D574" s="10"/>
      <c r="AR574" s="10"/>
      <c r="AS574" s="10"/>
    </row>
    <row r="575" spans="1:45" s="17" customFormat="1" ht="12.75" customHeight="1" x14ac:dyDescent="0.2">
      <c r="A575" s="11"/>
      <c r="C575" s="11"/>
      <c r="D575" s="10"/>
      <c r="AR575" s="10"/>
      <c r="AS575" s="10"/>
    </row>
    <row r="576" spans="1:45" s="17" customFormat="1" ht="12.75" customHeight="1" x14ac:dyDescent="0.2">
      <c r="A576" s="11"/>
      <c r="C576" s="11"/>
      <c r="D576" s="10"/>
      <c r="AR576" s="10"/>
      <c r="AS576" s="10"/>
    </row>
    <row r="577" spans="1:45" s="17" customFormat="1" ht="12.75" customHeight="1" x14ac:dyDescent="0.2">
      <c r="A577" s="11"/>
      <c r="C577" s="11"/>
      <c r="D577" s="10"/>
      <c r="AR577" s="10"/>
      <c r="AS577" s="10"/>
    </row>
    <row r="578" spans="1:45" s="17" customFormat="1" ht="12.75" customHeight="1" x14ac:dyDescent="0.2">
      <c r="A578" s="11"/>
      <c r="C578" s="11"/>
      <c r="D578" s="10"/>
      <c r="AR578" s="10"/>
      <c r="AS578" s="10"/>
    </row>
    <row r="579" spans="1:45" s="17" customFormat="1" ht="12.75" customHeight="1" x14ac:dyDescent="0.2">
      <c r="A579" s="11"/>
      <c r="C579" s="11"/>
      <c r="D579" s="10"/>
      <c r="AR579" s="10"/>
      <c r="AS579" s="10"/>
    </row>
    <row r="580" spans="1:45" s="17" customFormat="1" ht="12.75" customHeight="1" x14ac:dyDescent="0.2">
      <c r="A580" s="11"/>
      <c r="C580" s="11"/>
      <c r="D580" s="10"/>
      <c r="AR580" s="10"/>
      <c r="AS580" s="10"/>
    </row>
    <row r="581" spans="1:45" s="17" customFormat="1" ht="12.75" customHeight="1" x14ac:dyDescent="0.2">
      <c r="A581" s="11"/>
      <c r="C581" s="11"/>
      <c r="D581" s="10"/>
      <c r="AR581" s="10"/>
      <c r="AS581" s="10"/>
    </row>
    <row r="582" spans="1:45" s="17" customFormat="1" ht="12.75" customHeight="1" x14ac:dyDescent="0.2">
      <c r="A582" s="11"/>
      <c r="C582" s="11"/>
      <c r="D582" s="10"/>
      <c r="AR582" s="10"/>
      <c r="AS582" s="10"/>
    </row>
    <row r="583" spans="1:45" s="17" customFormat="1" ht="12.75" customHeight="1" x14ac:dyDescent="0.2">
      <c r="A583" s="11"/>
      <c r="C583" s="11"/>
      <c r="D583" s="10"/>
      <c r="AR583" s="10"/>
      <c r="AS583" s="10"/>
    </row>
    <row r="584" spans="1:45" s="17" customFormat="1" ht="12.75" customHeight="1" x14ac:dyDescent="0.2">
      <c r="A584" s="11"/>
      <c r="C584" s="11"/>
      <c r="D584" s="10"/>
      <c r="AR584" s="10"/>
      <c r="AS584" s="10"/>
    </row>
    <row r="585" spans="1:45" s="17" customFormat="1" ht="12.75" customHeight="1" x14ac:dyDescent="0.2">
      <c r="A585" s="11"/>
      <c r="C585" s="11"/>
      <c r="D585" s="10"/>
      <c r="AR585" s="10"/>
      <c r="AS585" s="10"/>
    </row>
    <row r="586" spans="1:45" s="17" customFormat="1" ht="12.75" customHeight="1" x14ac:dyDescent="0.2">
      <c r="A586" s="11"/>
      <c r="C586" s="11"/>
      <c r="D586" s="10"/>
      <c r="AR586" s="10"/>
      <c r="AS586" s="10"/>
    </row>
    <row r="587" spans="1:45" s="17" customFormat="1" ht="12.75" customHeight="1" x14ac:dyDescent="0.2">
      <c r="A587" s="11"/>
      <c r="C587" s="11"/>
      <c r="D587" s="10"/>
      <c r="AR587" s="10"/>
      <c r="AS587" s="10"/>
    </row>
    <row r="588" spans="1:45" s="17" customFormat="1" ht="12.75" customHeight="1" x14ac:dyDescent="0.2">
      <c r="A588" s="11"/>
      <c r="C588" s="11"/>
      <c r="D588" s="10"/>
      <c r="AR588" s="10"/>
      <c r="AS588" s="10"/>
    </row>
    <row r="589" spans="1:45" s="17" customFormat="1" ht="12.75" customHeight="1" x14ac:dyDescent="0.2">
      <c r="A589" s="11"/>
      <c r="C589" s="11"/>
      <c r="D589" s="10"/>
      <c r="AR589" s="10"/>
      <c r="AS589" s="10"/>
    </row>
    <row r="590" spans="1:45" s="17" customFormat="1" ht="12.75" customHeight="1" x14ac:dyDescent="0.2">
      <c r="A590" s="11"/>
      <c r="C590" s="11"/>
      <c r="D590" s="10"/>
      <c r="AR590" s="10"/>
      <c r="AS590" s="10"/>
    </row>
    <row r="591" spans="1:45" s="17" customFormat="1" ht="12.75" customHeight="1" x14ac:dyDescent="0.2">
      <c r="A591" s="11"/>
      <c r="C591" s="11"/>
      <c r="D591" s="10"/>
      <c r="AR591" s="10"/>
      <c r="AS591" s="10"/>
    </row>
    <row r="592" spans="1:45" s="17" customFormat="1" ht="12.75" customHeight="1" x14ac:dyDescent="0.2">
      <c r="A592" s="11"/>
      <c r="C592" s="11"/>
      <c r="D592" s="10"/>
      <c r="AR592" s="10"/>
      <c r="AS592" s="10"/>
    </row>
    <row r="593" spans="1:45" s="17" customFormat="1" ht="12.75" customHeight="1" x14ac:dyDescent="0.2">
      <c r="A593" s="11"/>
      <c r="C593" s="11"/>
      <c r="D593" s="10"/>
      <c r="AR593" s="10"/>
      <c r="AS593" s="10"/>
    </row>
    <row r="594" spans="1:45" s="17" customFormat="1" ht="12.75" customHeight="1" x14ac:dyDescent="0.2">
      <c r="A594" s="11"/>
      <c r="C594" s="11"/>
      <c r="D594" s="10"/>
      <c r="AR594" s="10"/>
      <c r="AS594" s="10"/>
    </row>
    <row r="595" spans="1:45" s="17" customFormat="1" ht="12.75" customHeight="1" x14ac:dyDescent="0.2">
      <c r="A595" s="11"/>
      <c r="C595" s="11"/>
      <c r="D595" s="10"/>
      <c r="AR595" s="10"/>
      <c r="AS595" s="10"/>
    </row>
    <row r="596" spans="1:45" s="17" customFormat="1" ht="12.75" customHeight="1" x14ac:dyDescent="0.2">
      <c r="A596" s="11"/>
      <c r="C596" s="11"/>
      <c r="D596" s="10"/>
      <c r="AR596" s="10"/>
      <c r="AS596" s="10"/>
    </row>
    <row r="597" spans="1:45" s="17" customFormat="1" ht="12.75" customHeight="1" x14ac:dyDescent="0.2">
      <c r="A597" s="11"/>
      <c r="C597" s="11"/>
      <c r="D597" s="10"/>
      <c r="AR597" s="10"/>
      <c r="AS597" s="10"/>
    </row>
    <row r="598" spans="1:45" s="17" customFormat="1" ht="12.75" customHeight="1" x14ac:dyDescent="0.2">
      <c r="A598" s="11"/>
      <c r="C598" s="11"/>
      <c r="D598" s="10"/>
      <c r="AR598" s="10"/>
      <c r="AS598" s="10"/>
    </row>
    <row r="599" spans="1:45" s="17" customFormat="1" ht="12.75" customHeight="1" x14ac:dyDescent="0.2">
      <c r="A599" s="11"/>
      <c r="C599" s="11"/>
      <c r="D599" s="10"/>
      <c r="AR599" s="10"/>
      <c r="AS599" s="10"/>
    </row>
    <row r="600" spans="1:45" s="17" customFormat="1" ht="12.75" customHeight="1" x14ac:dyDescent="0.2">
      <c r="A600" s="11"/>
      <c r="C600" s="11"/>
      <c r="D600" s="10"/>
      <c r="AR600" s="10"/>
      <c r="AS600" s="10"/>
    </row>
    <row r="601" spans="1:45" s="17" customFormat="1" ht="12.75" customHeight="1" x14ac:dyDescent="0.2">
      <c r="A601" s="11"/>
      <c r="C601" s="11"/>
      <c r="D601" s="10"/>
      <c r="AR601" s="10"/>
      <c r="AS601" s="10"/>
    </row>
    <row r="602" spans="1:45" s="17" customFormat="1" ht="12.75" customHeight="1" x14ac:dyDescent="0.2">
      <c r="A602" s="11"/>
      <c r="C602" s="11"/>
      <c r="D602" s="10"/>
      <c r="AR602" s="10"/>
      <c r="AS602" s="10"/>
    </row>
    <row r="603" spans="1:45" s="17" customFormat="1" ht="12.75" customHeight="1" x14ac:dyDescent="0.2">
      <c r="A603" s="11"/>
      <c r="C603" s="11"/>
      <c r="D603" s="10"/>
      <c r="AR603" s="10"/>
      <c r="AS603" s="10"/>
    </row>
    <row r="604" spans="1:45" s="17" customFormat="1" ht="12.75" customHeight="1" x14ac:dyDescent="0.2">
      <c r="A604" s="11"/>
      <c r="C604" s="11"/>
      <c r="D604" s="10"/>
      <c r="AR604" s="10"/>
      <c r="AS604" s="10"/>
    </row>
    <row r="605" spans="1:45" s="17" customFormat="1" ht="12.75" customHeight="1" x14ac:dyDescent="0.2">
      <c r="A605" s="11"/>
      <c r="C605" s="11"/>
      <c r="D605" s="10"/>
      <c r="AR605" s="10"/>
      <c r="AS605" s="10"/>
    </row>
    <row r="606" spans="1:45" s="17" customFormat="1" ht="12.75" customHeight="1" x14ac:dyDescent="0.2">
      <c r="A606" s="11"/>
      <c r="C606" s="11"/>
      <c r="D606" s="10"/>
      <c r="AR606" s="10"/>
      <c r="AS606" s="10"/>
    </row>
    <row r="607" spans="1:45" s="17" customFormat="1" ht="12.75" customHeight="1" x14ac:dyDescent="0.2">
      <c r="A607" s="11"/>
      <c r="C607" s="11"/>
      <c r="D607" s="10"/>
      <c r="AR607" s="10"/>
      <c r="AS607" s="10"/>
    </row>
    <row r="608" spans="1:45" s="17" customFormat="1" ht="12.75" customHeight="1" x14ac:dyDescent="0.2">
      <c r="A608" s="11"/>
      <c r="C608" s="11"/>
      <c r="D608" s="10"/>
      <c r="AR608" s="10"/>
      <c r="AS608" s="10"/>
    </row>
    <row r="609" spans="1:45" s="17" customFormat="1" ht="12.75" customHeight="1" x14ac:dyDescent="0.2">
      <c r="A609" s="11"/>
      <c r="C609" s="11"/>
      <c r="D609" s="10"/>
      <c r="AR609" s="10"/>
      <c r="AS609" s="10"/>
    </row>
    <row r="610" spans="1:45" s="17" customFormat="1" ht="12.75" customHeight="1" x14ac:dyDescent="0.2">
      <c r="A610" s="11"/>
      <c r="C610" s="11"/>
      <c r="D610" s="10"/>
      <c r="AR610" s="10"/>
      <c r="AS610" s="10"/>
    </row>
    <row r="611" spans="1:45" s="17" customFormat="1" ht="12.75" customHeight="1" x14ac:dyDescent="0.2">
      <c r="A611" s="11"/>
      <c r="C611" s="11"/>
      <c r="D611" s="10"/>
      <c r="AR611" s="10"/>
      <c r="AS611" s="10"/>
    </row>
    <row r="612" spans="1:45" s="17" customFormat="1" ht="12.75" customHeight="1" x14ac:dyDescent="0.2">
      <c r="A612" s="11"/>
      <c r="C612" s="11"/>
      <c r="D612" s="10"/>
      <c r="AR612" s="10"/>
      <c r="AS612" s="10"/>
    </row>
    <row r="613" spans="1:45" s="17" customFormat="1" ht="12.75" customHeight="1" x14ac:dyDescent="0.2">
      <c r="A613" s="11"/>
      <c r="C613" s="11"/>
      <c r="D613" s="10"/>
      <c r="AR613" s="10"/>
      <c r="AS613" s="10"/>
    </row>
    <row r="614" spans="1:45" s="17" customFormat="1" ht="12.75" customHeight="1" x14ac:dyDescent="0.2">
      <c r="A614" s="11"/>
      <c r="C614" s="11"/>
      <c r="D614" s="10"/>
      <c r="AR614" s="10"/>
      <c r="AS614" s="10"/>
    </row>
    <row r="615" spans="1:45" s="17" customFormat="1" ht="12.75" customHeight="1" x14ac:dyDescent="0.2">
      <c r="A615" s="11"/>
      <c r="C615" s="11"/>
      <c r="D615" s="10"/>
      <c r="AR615" s="10"/>
      <c r="AS615" s="10"/>
    </row>
    <row r="616" spans="1:45" s="17" customFormat="1" ht="12.75" customHeight="1" x14ac:dyDescent="0.2">
      <c r="A616" s="11"/>
      <c r="C616" s="11"/>
      <c r="D616" s="10"/>
      <c r="AR616" s="10"/>
      <c r="AS616" s="10"/>
    </row>
    <row r="617" spans="1:45" s="17" customFormat="1" ht="12.75" customHeight="1" x14ac:dyDescent="0.2">
      <c r="A617" s="11"/>
      <c r="C617" s="11"/>
      <c r="D617" s="10"/>
      <c r="AR617" s="10"/>
      <c r="AS617" s="10"/>
    </row>
    <row r="618" spans="1:45" s="17" customFormat="1" ht="12.75" customHeight="1" x14ac:dyDescent="0.2">
      <c r="A618" s="11"/>
      <c r="C618" s="11"/>
      <c r="D618" s="10"/>
      <c r="AR618" s="10"/>
      <c r="AS618" s="10"/>
    </row>
    <row r="619" spans="1:45" s="17" customFormat="1" ht="12.75" customHeight="1" x14ac:dyDescent="0.2">
      <c r="A619" s="11"/>
      <c r="C619" s="11"/>
      <c r="D619" s="10"/>
      <c r="AR619" s="10"/>
      <c r="AS619" s="10"/>
    </row>
    <row r="620" spans="1:45" s="17" customFormat="1" ht="12.75" customHeight="1" x14ac:dyDescent="0.2">
      <c r="A620" s="11"/>
      <c r="C620" s="11"/>
      <c r="D620" s="10"/>
      <c r="AR620" s="10"/>
      <c r="AS620" s="10"/>
    </row>
    <row r="621" spans="1:45" s="17" customFormat="1" ht="12.75" customHeight="1" x14ac:dyDescent="0.2">
      <c r="A621" s="11"/>
      <c r="C621" s="11"/>
      <c r="D621" s="10"/>
      <c r="AR621" s="10"/>
      <c r="AS621" s="10"/>
    </row>
    <row r="622" spans="1:45" s="17" customFormat="1" ht="12.75" customHeight="1" x14ac:dyDescent="0.2">
      <c r="A622" s="11"/>
      <c r="C622" s="11"/>
      <c r="D622" s="10"/>
      <c r="AR622" s="10"/>
      <c r="AS622" s="10"/>
    </row>
    <row r="623" spans="1:45" s="17" customFormat="1" ht="12.75" customHeight="1" x14ac:dyDescent="0.2">
      <c r="A623" s="11"/>
      <c r="C623" s="11"/>
      <c r="D623" s="10"/>
      <c r="AR623" s="10"/>
      <c r="AS623" s="10"/>
    </row>
    <row r="624" spans="1:45" s="17" customFormat="1" ht="12.75" customHeight="1" x14ac:dyDescent="0.2">
      <c r="A624" s="11"/>
      <c r="C624" s="11"/>
      <c r="D624" s="10"/>
      <c r="AR624" s="10"/>
      <c r="AS624" s="10"/>
    </row>
    <row r="625" spans="1:45" s="17" customFormat="1" ht="12.75" customHeight="1" x14ac:dyDescent="0.2">
      <c r="A625" s="11"/>
      <c r="C625" s="11"/>
      <c r="D625" s="10"/>
      <c r="AR625" s="10"/>
      <c r="AS625" s="10"/>
    </row>
    <row r="626" spans="1:45" s="17" customFormat="1" ht="12.75" customHeight="1" x14ac:dyDescent="0.2">
      <c r="A626" s="11"/>
      <c r="C626" s="11"/>
      <c r="D626" s="10"/>
      <c r="AR626" s="10"/>
      <c r="AS626" s="10"/>
    </row>
    <row r="627" spans="1:45" s="17" customFormat="1" ht="12.75" customHeight="1" x14ac:dyDescent="0.2">
      <c r="A627" s="11"/>
      <c r="C627" s="11"/>
      <c r="D627" s="10"/>
      <c r="AR627" s="10"/>
      <c r="AS627" s="10"/>
    </row>
    <row r="628" spans="1:45" s="17" customFormat="1" ht="12.75" customHeight="1" x14ac:dyDescent="0.2">
      <c r="A628" s="11"/>
      <c r="C628" s="11"/>
      <c r="D628" s="10"/>
      <c r="AR628" s="10"/>
      <c r="AS628" s="10"/>
    </row>
    <row r="629" spans="1:45" s="17" customFormat="1" ht="12.75" customHeight="1" x14ac:dyDescent="0.2">
      <c r="A629" s="11"/>
      <c r="C629" s="11"/>
      <c r="D629" s="10"/>
      <c r="AR629" s="10"/>
      <c r="AS629" s="10"/>
    </row>
    <row r="630" spans="1:45" s="17" customFormat="1" ht="12.75" customHeight="1" x14ac:dyDescent="0.2">
      <c r="A630" s="11"/>
      <c r="C630" s="11"/>
      <c r="D630" s="10"/>
      <c r="AR630" s="10"/>
      <c r="AS630" s="10"/>
    </row>
    <row r="631" spans="1:45" s="17" customFormat="1" ht="12.75" customHeight="1" x14ac:dyDescent="0.2">
      <c r="A631" s="11"/>
      <c r="C631" s="11"/>
      <c r="D631" s="10"/>
      <c r="AR631" s="10"/>
      <c r="AS631" s="10"/>
    </row>
    <row r="632" spans="1:45" s="17" customFormat="1" ht="12.75" customHeight="1" x14ac:dyDescent="0.2">
      <c r="A632" s="11"/>
      <c r="C632" s="11"/>
      <c r="D632" s="10"/>
      <c r="AR632" s="10"/>
      <c r="AS632" s="10"/>
    </row>
    <row r="633" spans="1:45" s="17" customFormat="1" ht="12.75" customHeight="1" x14ac:dyDescent="0.2">
      <c r="A633" s="11"/>
      <c r="C633" s="11"/>
      <c r="D633" s="10"/>
      <c r="AR633" s="10"/>
      <c r="AS633" s="10"/>
    </row>
    <row r="634" spans="1:45" s="17" customFormat="1" ht="12.75" customHeight="1" x14ac:dyDescent="0.2">
      <c r="A634" s="11"/>
      <c r="C634" s="11"/>
      <c r="D634" s="10"/>
      <c r="AR634" s="10"/>
      <c r="AS634" s="10"/>
    </row>
    <row r="635" spans="1:45" s="17" customFormat="1" ht="12.75" customHeight="1" x14ac:dyDescent="0.2">
      <c r="A635" s="11"/>
      <c r="C635" s="11"/>
      <c r="D635" s="10"/>
      <c r="AR635" s="10"/>
      <c r="AS635" s="10"/>
    </row>
    <row r="636" spans="1:45" s="17" customFormat="1" ht="12.75" customHeight="1" x14ac:dyDescent="0.2">
      <c r="A636" s="11"/>
      <c r="C636" s="11"/>
      <c r="D636" s="10"/>
      <c r="AR636" s="10"/>
      <c r="AS636" s="10"/>
    </row>
    <row r="637" spans="1:45" s="17" customFormat="1" ht="12.75" customHeight="1" x14ac:dyDescent="0.2">
      <c r="A637" s="11"/>
      <c r="C637" s="11"/>
      <c r="D637" s="10"/>
      <c r="AR637" s="10"/>
      <c r="AS637" s="10"/>
    </row>
    <row r="638" spans="1:45" s="17" customFormat="1" ht="12.75" customHeight="1" x14ac:dyDescent="0.2">
      <c r="A638" s="11"/>
      <c r="C638" s="11"/>
      <c r="D638" s="10"/>
      <c r="AR638" s="10"/>
      <c r="AS638" s="10"/>
    </row>
    <row r="639" spans="1:45" s="17" customFormat="1" ht="12.75" customHeight="1" x14ac:dyDescent="0.2">
      <c r="A639" s="11"/>
      <c r="C639" s="11"/>
      <c r="D639" s="10"/>
      <c r="AR639" s="10"/>
      <c r="AS639" s="10"/>
    </row>
    <row r="640" spans="1:45" s="17" customFormat="1" ht="12.75" customHeight="1" x14ac:dyDescent="0.2">
      <c r="A640" s="11"/>
      <c r="C640" s="11"/>
      <c r="D640" s="10"/>
      <c r="AR640" s="10"/>
      <c r="AS640" s="10"/>
    </row>
    <row r="641" spans="1:45" s="17" customFormat="1" ht="12.75" customHeight="1" x14ac:dyDescent="0.2">
      <c r="A641" s="11"/>
      <c r="C641" s="11"/>
      <c r="D641" s="10"/>
      <c r="AR641" s="10"/>
      <c r="AS641" s="10"/>
    </row>
    <row r="642" spans="1:45" s="17" customFormat="1" ht="12.75" customHeight="1" x14ac:dyDescent="0.2">
      <c r="A642" s="11"/>
      <c r="C642" s="11"/>
      <c r="D642" s="10"/>
      <c r="AR642" s="10"/>
      <c r="AS642" s="10"/>
    </row>
    <row r="643" spans="1:45" s="17" customFormat="1" ht="12.75" customHeight="1" x14ac:dyDescent="0.2">
      <c r="A643" s="11"/>
      <c r="C643" s="11"/>
      <c r="D643" s="10"/>
      <c r="AR643" s="10"/>
      <c r="AS643" s="10"/>
    </row>
    <row r="644" spans="1:45" s="17" customFormat="1" ht="12.75" customHeight="1" x14ac:dyDescent="0.2">
      <c r="A644" s="11"/>
      <c r="C644" s="11"/>
      <c r="D644" s="10"/>
      <c r="AR644" s="10"/>
      <c r="AS644" s="10"/>
    </row>
    <row r="645" spans="1:45" s="17" customFormat="1" ht="12.75" customHeight="1" x14ac:dyDescent="0.2">
      <c r="A645" s="11"/>
      <c r="C645" s="11"/>
      <c r="D645" s="10"/>
      <c r="AR645" s="10"/>
      <c r="AS645" s="10"/>
    </row>
    <row r="646" spans="1:45" s="17" customFormat="1" ht="12.75" customHeight="1" x14ac:dyDescent="0.2">
      <c r="A646" s="11"/>
      <c r="C646" s="11"/>
      <c r="D646" s="10"/>
      <c r="AR646" s="10"/>
      <c r="AS646" s="10"/>
    </row>
    <row r="647" spans="1:45" s="17" customFormat="1" ht="12.75" customHeight="1" x14ac:dyDescent="0.2">
      <c r="A647" s="11"/>
      <c r="C647" s="11"/>
      <c r="D647" s="10"/>
      <c r="AR647" s="10"/>
      <c r="AS647" s="10"/>
    </row>
    <row r="648" spans="1:45" s="17" customFormat="1" ht="12.75" customHeight="1" x14ac:dyDescent="0.2">
      <c r="A648" s="11"/>
      <c r="C648" s="11"/>
      <c r="D648" s="10"/>
      <c r="AR648" s="10"/>
      <c r="AS648" s="10"/>
    </row>
    <row r="649" spans="1:45" s="17" customFormat="1" ht="12.75" customHeight="1" x14ac:dyDescent="0.2">
      <c r="A649" s="11"/>
      <c r="C649" s="11"/>
      <c r="D649" s="10"/>
      <c r="AR649" s="10"/>
      <c r="AS649" s="10"/>
    </row>
    <row r="650" spans="1:45" s="17" customFormat="1" ht="12.75" customHeight="1" x14ac:dyDescent="0.2">
      <c r="A650" s="11"/>
      <c r="C650" s="11"/>
      <c r="D650" s="10"/>
      <c r="AR650" s="10"/>
      <c r="AS650" s="10"/>
    </row>
    <row r="651" spans="1:45" s="17" customFormat="1" ht="12.75" customHeight="1" x14ac:dyDescent="0.2">
      <c r="A651" s="11"/>
      <c r="C651" s="11"/>
      <c r="D651" s="10"/>
      <c r="AR651" s="10"/>
      <c r="AS651" s="10"/>
    </row>
    <row r="652" spans="1:45" s="17" customFormat="1" ht="12.75" customHeight="1" x14ac:dyDescent="0.2">
      <c r="A652" s="11"/>
      <c r="C652" s="11"/>
      <c r="D652" s="10"/>
      <c r="AR652" s="10"/>
      <c r="AS652" s="10"/>
    </row>
    <row r="653" spans="1:45" s="17" customFormat="1" ht="12.75" customHeight="1" x14ac:dyDescent="0.2">
      <c r="A653" s="11"/>
      <c r="C653" s="11"/>
      <c r="D653" s="10"/>
      <c r="AR653" s="10"/>
      <c r="AS653" s="10"/>
    </row>
    <row r="654" spans="1:45" s="17" customFormat="1" ht="12.75" customHeight="1" x14ac:dyDescent="0.2">
      <c r="A654" s="11"/>
      <c r="C654" s="11"/>
      <c r="D654" s="10"/>
      <c r="AR654" s="10"/>
      <c r="AS654" s="10"/>
    </row>
    <row r="655" spans="1:45" s="17" customFormat="1" ht="12.75" customHeight="1" x14ac:dyDescent="0.2">
      <c r="A655" s="11"/>
      <c r="C655" s="11"/>
      <c r="D655" s="10"/>
      <c r="AR655" s="10"/>
      <c r="AS655" s="10"/>
    </row>
    <row r="656" spans="1:45" s="17" customFormat="1" ht="12.75" customHeight="1" x14ac:dyDescent="0.2">
      <c r="A656" s="11"/>
      <c r="C656" s="11"/>
      <c r="D656" s="10"/>
      <c r="AR656" s="10"/>
      <c r="AS656" s="10"/>
    </row>
    <row r="657" spans="1:45" s="17" customFormat="1" ht="12.75" customHeight="1" x14ac:dyDescent="0.2">
      <c r="A657" s="11"/>
      <c r="C657" s="11"/>
      <c r="D657" s="10"/>
      <c r="AR657" s="10"/>
      <c r="AS657" s="10"/>
    </row>
    <row r="658" spans="1:45" s="17" customFormat="1" ht="12.75" customHeight="1" x14ac:dyDescent="0.2">
      <c r="A658" s="11"/>
      <c r="C658" s="11"/>
      <c r="D658" s="10"/>
      <c r="AR658" s="10"/>
      <c r="AS658" s="10"/>
    </row>
    <row r="659" spans="1:45" s="17" customFormat="1" ht="12.75" customHeight="1" x14ac:dyDescent="0.2">
      <c r="A659" s="11"/>
      <c r="C659" s="11"/>
      <c r="D659" s="10"/>
      <c r="AR659" s="10"/>
      <c r="AS659" s="10"/>
    </row>
    <row r="660" spans="1:45" s="17" customFormat="1" ht="12.75" customHeight="1" x14ac:dyDescent="0.2">
      <c r="A660" s="11"/>
      <c r="C660" s="11"/>
      <c r="D660" s="10"/>
      <c r="AR660" s="10"/>
      <c r="AS660" s="10"/>
    </row>
    <row r="661" spans="1:45" s="17" customFormat="1" ht="12.75" customHeight="1" x14ac:dyDescent="0.2">
      <c r="A661" s="11"/>
      <c r="C661" s="11"/>
      <c r="D661" s="10"/>
      <c r="AR661" s="10"/>
      <c r="AS661" s="10"/>
    </row>
    <row r="662" spans="1:45" ht="12.75" customHeight="1" x14ac:dyDescent="0.2">
      <c r="B662" s="10"/>
    </row>
    <row r="663" spans="1:45" ht="12.75" customHeight="1" x14ac:dyDescent="0.2">
      <c r="B663" s="10"/>
    </row>
  </sheetData>
  <phoneticPr fontId="4" type="noConversion"/>
  <pageMargins left="0.75" right="0.75" top="0.5" bottom="0.5" header="0" footer="0.25"/>
  <pageSetup scale="80" firstPageNumber="62" pageOrder="overThenDown" orientation="portrait" useFirstPageNumber="1" r:id="rId1"/>
  <headerFooter alignWithMargins="0">
    <oddFooter>&amp;C&amp;"Times New Roman,Regular"&amp;12&amp;P</oddFooter>
  </headerFooter>
  <rowBreaks count="4" manualBreakCount="4">
    <brk id="69" max="32" man="1"/>
    <brk id="131" max="32" man="1"/>
    <brk id="190" max="32" man="1"/>
    <brk id="251" max="32" man="1"/>
  </rowBreaks>
  <colBreaks count="1" manualBreakCount="1">
    <brk id="16" min="9" max="2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3"/>
  <sheetViews>
    <sheetView view="pageBreakPreview" zoomScale="80" zoomScaleNormal="100" zoomScaleSheetLayoutView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A4" sqref="A4"/>
    </sheetView>
  </sheetViews>
  <sheetFormatPr defaultColWidth="9.140625" defaultRowHeight="12.75" customHeight="1" x14ac:dyDescent="0.2"/>
  <cols>
    <col min="1" max="1" width="21.140625" style="110" customWidth="1"/>
    <col min="2" max="2" width="2.85546875" style="111" customWidth="1"/>
    <col min="3" max="3" width="14.42578125" style="110" customWidth="1"/>
    <col min="4" max="4" width="2.140625" style="111" customWidth="1"/>
    <col min="5" max="5" width="12.7109375" style="110" customWidth="1"/>
    <col min="6" max="6" width="2.140625" style="110" customWidth="1"/>
    <col min="7" max="7" width="13.140625" style="110" bestFit="1" customWidth="1"/>
    <col min="8" max="8" width="2.140625" style="110" customWidth="1"/>
    <col min="9" max="9" width="12.140625" style="110" customWidth="1"/>
    <col min="10" max="10" width="2.7109375" style="110" customWidth="1"/>
    <col min="11" max="11" width="12.28515625" style="110" customWidth="1"/>
    <col min="12" max="12" width="1.7109375" style="110" customWidth="1"/>
    <col min="13" max="13" width="13.7109375" style="110" customWidth="1"/>
    <col min="14" max="14" width="2.42578125" style="110" customWidth="1"/>
    <col min="15" max="15" width="13" style="110" customWidth="1"/>
    <col min="16" max="16" width="2.42578125" style="110" customWidth="1"/>
    <col min="17" max="17" width="13.28515625" style="110" customWidth="1"/>
    <col min="18" max="18" width="2.7109375" style="110" customWidth="1"/>
    <col min="19" max="19" width="14" style="112" customWidth="1"/>
    <col min="20" max="20" width="2.7109375" style="110" customWidth="1"/>
    <col min="21" max="21" width="13.5703125" style="113" bestFit="1" customWidth="1"/>
    <col min="22" max="22" width="2.7109375" style="111" customWidth="1"/>
    <col min="23" max="23" width="13.140625" style="2" bestFit="1" customWidth="1"/>
    <col min="24" max="24" width="11.7109375" style="111" bestFit="1" customWidth="1"/>
    <col min="25" max="16384" width="9.140625" style="111"/>
  </cols>
  <sheetData>
    <row r="1" spans="1:24" s="109" customFormat="1" ht="12.75" customHeight="1" x14ac:dyDescent="0.2">
      <c r="A1" s="23" t="s">
        <v>493</v>
      </c>
      <c r="C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"/>
      <c r="T1" s="24"/>
      <c r="U1" s="73"/>
      <c r="V1" s="27"/>
      <c r="W1" s="1"/>
    </row>
    <row r="2" spans="1:24" s="109" customFormat="1" ht="12.75" customHeight="1" x14ac:dyDescent="0.2">
      <c r="A2" s="23" t="s">
        <v>501</v>
      </c>
      <c r="C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2"/>
      <c r="T2" s="24"/>
      <c r="U2" s="73"/>
      <c r="V2" s="27"/>
      <c r="W2" s="1"/>
    </row>
    <row r="3" spans="1:24" s="109" customFormat="1" ht="12.75" customHeight="1" x14ac:dyDescent="0.2">
      <c r="A3" s="24" t="s">
        <v>289</v>
      </c>
      <c r="C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2"/>
      <c r="T3" s="24"/>
      <c r="U3" s="73"/>
      <c r="V3" s="27"/>
      <c r="W3" s="1"/>
    </row>
    <row r="4" spans="1:24" ht="12.75" customHeight="1" x14ac:dyDescent="0.2">
      <c r="A4" s="22" t="s">
        <v>484</v>
      </c>
    </row>
    <row r="6" spans="1:24" s="114" customFormat="1" ht="12.75" customHeight="1" x14ac:dyDescent="0.2">
      <c r="A6" s="23"/>
      <c r="C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6"/>
      <c r="T6" s="25"/>
      <c r="U6" s="37"/>
      <c r="V6" s="15"/>
      <c r="W6" s="3" t="s">
        <v>294</v>
      </c>
    </row>
    <row r="7" spans="1:24" s="114" customFormat="1" ht="12.75" customHeight="1" x14ac:dyDescent="0.2">
      <c r="A7" s="25"/>
      <c r="C7" s="25"/>
      <c r="E7" s="25" t="s">
        <v>293</v>
      </c>
      <c r="F7" s="25"/>
      <c r="G7" s="25" t="s">
        <v>326</v>
      </c>
      <c r="H7" s="25"/>
      <c r="I7" s="25" t="s">
        <v>294</v>
      </c>
      <c r="J7" s="25"/>
      <c r="K7" s="25" t="s">
        <v>292</v>
      </c>
      <c r="L7" s="25"/>
      <c r="M7" s="25" t="s">
        <v>327</v>
      </c>
      <c r="N7" s="25"/>
      <c r="O7" s="25" t="s">
        <v>328</v>
      </c>
      <c r="P7" s="25"/>
      <c r="Q7" s="25" t="s">
        <v>329</v>
      </c>
      <c r="R7" s="25"/>
      <c r="S7" s="6" t="s">
        <v>330</v>
      </c>
      <c r="T7" s="25"/>
      <c r="U7" s="6" t="s">
        <v>6</v>
      </c>
      <c r="V7" s="15"/>
      <c r="W7" s="3" t="s">
        <v>434</v>
      </c>
    </row>
    <row r="8" spans="1:24" s="115" customFormat="1" ht="12.75" customHeight="1" x14ac:dyDescent="0.2">
      <c r="A8" s="99" t="s">
        <v>8</v>
      </c>
      <c r="C8" s="99" t="s">
        <v>9</v>
      </c>
      <c r="E8" s="100" t="s">
        <v>423</v>
      </c>
      <c r="F8" s="26"/>
      <c r="G8" s="100" t="s">
        <v>299</v>
      </c>
      <c r="H8" s="26"/>
      <c r="I8" s="100" t="s">
        <v>299</v>
      </c>
      <c r="J8" s="26"/>
      <c r="K8" s="100" t="s">
        <v>297</v>
      </c>
      <c r="L8" s="26"/>
      <c r="M8" s="100" t="s">
        <v>331</v>
      </c>
      <c r="N8" s="26"/>
      <c r="O8" s="100" t="s">
        <v>332</v>
      </c>
      <c r="P8" s="26"/>
      <c r="Q8" s="100" t="s">
        <v>401</v>
      </c>
      <c r="R8" s="26"/>
      <c r="S8" s="78" t="s">
        <v>323</v>
      </c>
      <c r="T8" s="26"/>
      <c r="U8" s="78" t="s">
        <v>302</v>
      </c>
      <c r="V8" s="18"/>
      <c r="W8" s="7" t="s">
        <v>435</v>
      </c>
    </row>
    <row r="9" spans="1:24" s="115" customFormat="1" ht="12.75" customHeight="1" x14ac:dyDescent="0.2">
      <c r="A9" s="26"/>
      <c r="C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8"/>
      <c r="T9" s="26"/>
      <c r="U9" s="53"/>
      <c r="V9" s="18"/>
      <c r="W9" s="81"/>
    </row>
    <row r="10" spans="1:24" s="117" customFormat="1" ht="12.75" hidden="1" customHeight="1" x14ac:dyDescent="0.2">
      <c r="A10" s="44" t="s">
        <v>12</v>
      </c>
      <c r="B10" s="116"/>
      <c r="C10" s="44" t="s">
        <v>13</v>
      </c>
      <c r="D10" s="35"/>
      <c r="E10" s="94">
        <v>24111972</v>
      </c>
      <c r="F10" s="94"/>
      <c r="G10" s="94">
        <v>135345234</v>
      </c>
      <c r="H10" s="94"/>
      <c r="I10" s="94">
        <v>0</v>
      </c>
      <c r="J10" s="94"/>
      <c r="K10" s="94">
        <v>24002116</v>
      </c>
      <c r="L10" s="94"/>
      <c r="M10" s="94">
        <f>7795876+45841289</f>
        <v>53637165</v>
      </c>
      <c r="N10" s="94"/>
      <c r="O10" s="94">
        <v>6312847</v>
      </c>
      <c r="P10" s="94"/>
      <c r="Q10" s="94">
        <v>7682875</v>
      </c>
      <c r="R10" s="94"/>
      <c r="S10" s="46">
        <f t="shared" ref="S10:S11" si="0">+U10-SUM(E10:Q10)</f>
        <v>98375274</v>
      </c>
      <c r="T10" s="94"/>
      <c r="U10" s="79">
        <v>349467483</v>
      </c>
      <c r="V10" s="46"/>
      <c r="W10" s="46">
        <f>10703000+205387+4360193+97633009+12145484</f>
        <v>125047073</v>
      </c>
    </row>
    <row r="11" spans="1:24" s="117" customFormat="1" ht="12.75" customHeight="1" x14ac:dyDescent="0.2">
      <c r="A11" s="44" t="s">
        <v>14</v>
      </c>
      <c r="B11" s="116"/>
      <c r="C11" s="44" t="s">
        <v>15</v>
      </c>
      <c r="D11" s="35"/>
      <c r="E11" s="94">
        <v>955054</v>
      </c>
      <c r="F11" s="94"/>
      <c r="G11" s="94">
        <v>9670227</v>
      </c>
      <c r="H11" s="94"/>
      <c r="I11" s="94">
        <v>0</v>
      </c>
      <c r="J11" s="94"/>
      <c r="K11" s="94">
        <v>251838</v>
      </c>
      <c r="L11" s="94"/>
      <c r="M11" s="94">
        <v>4349101</v>
      </c>
      <c r="N11" s="94"/>
      <c r="O11" s="94">
        <v>62204</v>
      </c>
      <c r="P11" s="94"/>
      <c r="Q11" s="94">
        <v>461502</v>
      </c>
      <c r="R11" s="94"/>
      <c r="S11" s="46">
        <f t="shared" si="0"/>
        <v>1440252</v>
      </c>
      <c r="T11" s="94"/>
      <c r="U11" s="79">
        <v>17190178</v>
      </c>
      <c r="V11" s="46"/>
      <c r="W11" s="46">
        <f>304960+1393096</f>
        <v>1698056</v>
      </c>
    </row>
    <row r="12" spans="1:24" s="116" customFormat="1" ht="12.75" customHeight="1" x14ac:dyDescent="0.2">
      <c r="A12" s="44" t="s">
        <v>16</v>
      </c>
      <c r="C12" s="44" t="s">
        <v>17</v>
      </c>
      <c r="D12" s="35"/>
      <c r="E12" s="45">
        <v>1341406</v>
      </c>
      <c r="F12" s="45"/>
      <c r="G12" s="45">
        <v>4241385</v>
      </c>
      <c r="H12" s="45"/>
      <c r="I12" s="45">
        <v>0</v>
      </c>
      <c r="J12" s="45"/>
      <c r="K12" s="45">
        <v>274819</v>
      </c>
      <c r="L12" s="45"/>
      <c r="M12" s="45">
        <v>1633485</v>
      </c>
      <c r="N12" s="45"/>
      <c r="O12" s="45">
        <v>0</v>
      </c>
      <c r="P12" s="45"/>
      <c r="Q12" s="45">
        <f>298857+55614</f>
        <v>354471</v>
      </c>
      <c r="R12" s="45"/>
      <c r="S12" s="44">
        <f t="shared" ref="S12:S70" si="1">+U12-SUM(E12:Q12)</f>
        <v>182056</v>
      </c>
      <c r="T12" s="45"/>
      <c r="U12" s="45">
        <v>8027622</v>
      </c>
      <c r="V12" s="44"/>
      <c r="W12" s="45">
        <v>575711</v>
      </c>
    </row>
    <row r="13" spans="1:24" s="116" customFormat="1" ht="12.75" customHeight="1" x14ac:dyDescent="0.2">
      <c r="A13" s="44" t="s">
        <v>18</v>
      </c>
      <c r="C13" s="44" t="s">
        <v>18</v>
      </c>
      <c r="D13" s="35"/>
      <c r="E13" s="45">
        <v>1157321</v>
      </c>
      <c r="F13" s="45"/>
      <c r="G13" s="45">
        <v>8166672</v>
      </c>
      <c r="H13" s="45"/>
      <c r="I13" s="45">
        <v>0</v>
      </c>
      <c r="J13" s="45"/>
      <c r="K13" s="45">
        <v>2543025</v>
      </c>
      <c r="L13" s="45"/>
      <c r="M13" s="45">
        <v>4123298</v>
      </c>
      <c r="N13" s="45"/>
      <c r="O13" s="45">
        <v>0</v>
      </c>
      <c r="P13" s="45"/>
      <c r="Q13" s="45">
        <f>28051+1063998</f>
        <v>1092049</v>
      </c>
      <c r="R13" s="45"/>
      <c r="S13" s="44">
        <f t="shared" si="1"/>
        <v>581178</v>
      </c>
      <c r="T13" s="45"/>
      <c r="U13" s="45">
        <v>17663543</v>
      </c>
      <c r="V13" s="44"/>
      <c r="W13" s="45">
        <f>773806+90890</f>
        <v>864696</v>
      </c>
    </row>
    <row r="14" spans="1:24" s="134" customFormat="1" ht="12.75" hidden="1" customHeight="1" x14ac:dyDescent="0.2">
      <c r="A14" s="121" t="s">
        <v>19</v>
      </c>
      <c r="C14" s="121" t="s">
        <v>19</v>
      </c>
      <c r="D14" s="126"/>
      <c r="E14" s="127">
        <v>1934311</v>
      </c>
      <c r="F14" s="127"/>
      <c r="G14" s="127">
        <v>6029632</v>
      </c>
      <c r="H14" s="127"/>
      <c r="I14" s="127">
        <v>271836</v>
      </c>
      <c r="J14" s="127"/>
      <c r="K14" s="127">
        <v>264357</v>
      </c>
      <c r="L14" s="127"/>
      <c r="M14" s="127">
        <v>4988304</v>
      </c>
      <c r="N14" s="127"/>
      <c r="O14" s="127">
        <v>10151</v>
      </c>
      <c r="P14" s="127"/>
      <c r="Q14" s="127">
        <f>251638+1063308</f>
        <v>1314946</v>
      </c>
      <c r="R14" s="127"/>
      <c r="S14" s="121">
        <f t="shared" si="1"/>
        <v>222206</v>
      </c>
      <c r="T14" s="127"/>
      <c r="U14" s="127">
        <v>15035743</v>
      </c>
      <c r="V14" s="121"/>
      <c r="W14" s="127">
        <f>22500+510120</f>
        <v>532620</v>
      </c>
      <c r="X14" s="121" t="s">
        <v>502</v>
      </c>
    </row>
    <row r="15" spans="1:24" s="116" customFormat="1" ht="12.75" customHeight="1" x14ac:dyDescent="0.2">
      <c r="A15" s="44" t="s">
        <v>20</v>
      </c>
      <c r="C15" s="44" t="s">
        <v>20</v>
      </c>
      <c r="D15" s="35"/>
      <c r="E15" s="45">
        <v>778973</v>
      </c>
      <c r="F15" s="45"/>
      <c r="G15" s="45">
        <v>10118858</v>
      </c>
      <c r="H15" s="45"/>
      <c r="I15" s="45">
        <f>282843+459033</f>
        <v>741876</v>
      </c>
      <c r="J15" s="45"/>
      <c r="K15" s="45">
        <v>1854953</v>
      </c>
      <c r="L15" s="45"/>
      <c r="M15" s="45">
        <v>5487276</v>
      </c>
      <c r="N15" s="45"/>
      <c r="O15" s="45">
        <v>17247</v>
      </c>
      <c r="P15" s="45"/>
      <c r="Q15" s="45">
        <f>716397+1547499</f>
        <v>2263896</v>
      </c>
      <c r="R15" s="45"/>
      <c r="S15" s="44">
        <f t="shared" si="1"/>
        <v>634936</v>
      </c>
      <c r="T15" s="45"/>
      <c r="U15" s="45">
        <v>21898015</v>
      </c>
      <c r="V15" s="35"/>
      <c r="W15" s="45">
        <f>270000+204000</f>
        <v>474000</v>
      </c>
    </row>
    <row r="16" spans="1:24" s="116" customFormat="1" ht="12.75" customHeight="1" x14ac:dyDescent="0.2">
      <c r="A16" s="44" t="s">
        <v>21</v>
      </c>
      <c r="C16" s="44" t="s">
        <v>22</v>
      </c>
      <c r="D16" s="35"/>
      <c r="E16" s="45">
        <v>3149412</v>
      </c>
      <c r="F16" s="45"/>
      <c r="G16" s="45">
        <v>10519697</v>
      </c>
      <c r="H16" s="45"/>
      <c r="I16" s="45">
        <v>1432733</v>
      </c>
      <c r="J16" s="45"/>
      <c r="K16" s="45">
        <v>452368</v>
      </c>
      <c r="L16" s="45"/>
      <c r="M16" s="45">
        <v>4460815</v>
      </c>
      <c r="N16" s="45"/>
      <c r="O16" s="45">
        <v>0</v>
      </c>
      <c r="P16" s="45"/>
      <c r="Q16" s="45">
        <f>175937+16482</f>
        <v>192419</v>
      </c>
      <c r="R16" s="45"/>
      <c r="S16" s="44">
        <f t="shared" si="1"/>
        <v>200393</v>
      </c>
      <c r="T16" s="45"/>
      <c r="U16" s="45">
        <v>20407837</v>
      </c>
      <c r="V16" s="44"/>
      <c r="W16" s="45">
        <f>490856+2220281</f>
        <v>2711137</v>
      </c>
    </row>
    <row r="17" spans="1:23" s="116" customFormat="1" ht="12.75" customHeight="1" x14ac:dyDescent="0.2">
      <c r="A17" s="44" t="s">
        <v>23</v>
      </c>
      <c r="C17" s="44" t="s">
        <v>17</v>
      </c>
      <c r="D17" s="35"/>
      <c r="E17" s="45">
        <v>4506378</v>
      </c>
      <c r="F17" s="45"/>
      <c r="G17" s="45">
        <v>10555273</v>
      </c>
      <c r="H17" s="45"/>
      <c r="I17" s="45">
        <v>1701068</v>
      </c>
      <c r="J17" s="45"/>
      <c r="K17" s="45">
        <v>811160</v>
      </c>
      <c r="L17" s="45"/>
      <c r="M17" s="45">
        <v>3286920</v>
      </c>
      <c r="N17" s="45"/>
      <c r="O17" s="45">
        <v>410752</v>
      </c>
      <c r="P17" s="45"/>
      <c r="Q17" s="45">
        <f>742571+203505</f>
        <v>946076</v>
      </c>
      <c r="R17" s="45"/>
      <c r="S17" s="44">
        <f t="shared" si="1"/>
        <v>898864</v>
      </c>
      <c r="T17" s="45"/>
      <c r="U17" s="45">
        <v>23116491</v>
      </c>
      <c r="V17" s="44"/>
      <c r="W17" s="45">
        <f>2620000+5760000+133036+9652720</f>
        <v>18165756</v>
      </c>
    </row>
    <row r="18" spans="1:23" s="116" customFormat="1" ht="12.75" customHeight="1" x14ac:dyDescent="0.2">
      <c r="A18" s="44" t="s">
        <v>24</v>
      </c>
      <c r="C18" s="44" t="s">
        <v>17</v>
      </c>
      <c r="D18" s="35"/>
      <c r="E18" s="45">
        <v>5492222</v>
      </c>
      <c r="F18" s="45"/>
      <c r="G18" s="45">
        <v>9404479</v>
      </c>
      <c r="H18" s="45"/>
      <c r="I18" s="45">
        <v>0</v>
      </c>
      <c r="J18" s="45"/>
      <c r="K18" s="45">
        <v>908736</v>
      </c>
      <c r="L18" s="45"/>
      <c r="M18" s="45">
        <v>3904539</v>
      </c>
      <c r="N18" s="45"/>
      <c r="O18" s="45">
        <v>410275</v>
      </c>
      <c r="P18" s="45"/>
      <c r="Q18" s="45">
        <f>248856+349213</f>
        <v>598069</v>
      </c>
      <c r="R18" s="45"/>
      <c r="S18" s="44">
        <f t="shared" ref="S18" si="2">+U18-SUM(E18:Q18)</f>
        <v>399360</v>
      </c>
      <c r="T18" s="45"/>
      <c r="U18" s="45">
        <v>21117680</v>
      </c>
      <c r="V18" s="44"/>
      <c r="W18" s="45">
        <f>37061+1071000+2900+2291517</f>
        <v>3402478</v>
      </c>
    </row>
    <row r="19" spans="1:23" s="116" customFormat="1" ht="12.75" customHeight="1" x14ac:dyDescent="0.2">
      <c r="A19" s="44" t="s">
        <v>25</v>
      </c>
      <c r="C19" s="44" t="s">
        <v>13</v>
      </c>
      <c r="D19" s="35"/>
      <c r="E19" s="45">
        <v>1392398</v>
      </c>
      <c r="F19" s="45"/>
      <c r="G19" s="45">
        <v>11199981</v>
      </c>
      <c r="H19" s="45"/>
      <c r="I19" s="45">
        <v>0</v>
      </c>
      <c r="J19" s="45"/>
      <c r="K19" s="45">
        <v>2061212</v>
      </c>
      <c r="L19" s="45"/>
      <c r="M19" s="45">
        <v>6284638</v>
      </c>
      <c r="N19" s="45"/>
      <c r="O19" s="45">
        <v>154792</v>
      </c>
      <c r="P19" s="45"/>
      <c r="Q19" s="45">
        <f>556560+414678</f>
        <v>971238</v>
      </c>
      <c r="R19" s="45"/>
      <c r="S19" s="44">
        <f t="shared" si="1"/>
        <v>1051475</v>
      </c>
      <c r="T19" s="45"/>
      <c r="U19" s="45">
        <v>23115734</v>
      </c>
      <c r="V19" s="44"/>
      <c r="W19" s="45">
        <f>24435+1434900</f>
        <v>1459335</v>
      </c>
    </row>
    <row r="20" spans="1:23" s="116" customFormat="1" ht="12.75" customHeight="1" x14ac:dyDescent="0.2">
      <c r="A20" s="44" t="s">
        <v>26</v>
      </c>
      <c r="C20" s="44" t="s">
        <v>27</v>
      </c>
      <c r="D20" s="35"/>
      <c r="E20" s="45">
        <v>6117079</v>
      </c>
      <c r="F20" s="45"/>
      <c r="G20" s="45">
        <v>5225563</v>
      </c>
      <c r="H20" s="45"/>
      <c r="I20" s="45">
        <v>0</v>
      </c>
      <c r="J20" s="45"/>
      <c r="K20" s="45">
        <v>459228</v>
      </c>
      <c r="L20" s="45"/>
      <c r="M20" s="45">
        <v>2994922</v>
      </c>
      <c r="N20" s="45"/>
      <c r="O20" s="45">
        <v>21968</v>
      </c>
      <c r="P20" s="45"/>
      <c r="Q20" s="45">
        <v>551779</v>
      </c>
      <c r="R20" s="45"/>
      <c r="S20" s="44">
        <f t="shared" si="1"/>
        <v>647178</v>
      </c>
      <c r="T20" s="45"/>
      <c r="U20" s="45">
        <v>16017717</v>
      </c>
      <c r="V20" s="44"/>
      <c r="W20" s="45">
        <f>1625000+53107+1850067+8099+103149</f>
        <v>3639422</v>
      </c>
    </row>
    <row r="21" spans="1:23" s="116" customFormat="1" ht="12.75" customHeight="1" x14ac:dyDescent="0.2">
      <c r="A21" s="44" t="s">
        <v>28</v>
      </c>
      <c r="C21" s="44" t="s">
        <v>27</v>
      </c>
      <c r="D21" s="35"/>
      <c r="E21" s="45">
        <v>2471516</v>
      </c>
      <c r="F21" s="45"/>
      <c r="G21" s="45">
        <v>25227131</v>
      </c>
      <c r="H21" s="45"/>
      <c r="I21" s="45">
        <f>3201902+414334+729988+119925</f>
        <v>4466149</v>
      </c>
      <c r="J21" s="45"/>
      <c r="K21" s="45">
        <v>1994018</v>
      </c>
      <c r="L21" s="45"/>
      <c r="M21" s="45">
        <v>2709877</v>
      </c>
      <c r="N21" s="45"/>
      <c r="O21" s="45">
        <v>463637</v>
      </c>
      <c r="P21" s="45"/>
      <c r="Q21" s="45">
        <v>2018317</v>
      </c>
      <c r="R21" s="45"/>
      <c r="S21" s="44">
        <f t="shared" si="1"/>
        <v>939007</v>
      </c>
      <c r="T21" s="45"/>
      <c r="U21" s="45">
        <v>40289652</v>
      </c>
      <c r="V21" s="44"/>
      <c r="W21" s="45">
        <v>1841363</v>
      </c>
    </row>
    <row r="22" spans="1:23" s="116" customFormat="1" ht="12.75" customHeight="1" x14ac:dyDescent="0.2">
      <c r="A22" s="44" t="s">
        <v>29</v>
      </c>
      <c r="C22" s="44" t="s">
        <v>30</v>
      </c>
      <c r="D22" s="35"/>
      <c r="E22" s="45">
        <v>11436182</v>
      </c>
      <c r="F22" s="45"/>
      <c r="G22" s="45">
        <v>0</v>
      </c>
      <c r="H22" s="45"/>
      <c r="I22" s="45">
        <v>485458</v>
      </c>
      <c r="J22" s="45"/>
      <c r="K22" s="45">
        <v>1065365</v>
      </c>
      <c r="L22" s="45"/>
      <c r="M22" s="45">
        <v>9204338</v>
      </c>
      <c r="N22" s="45"/>
      <c r="O22" s="45">
        <v>375000</v>
      </c>
      <c r="P22" s="45"/>
      <c r="Q22" s="45">
        <v>815998</v>
      </c>
      <c r="R22" s="45"/>
      <c r="S22" s="44">
        <f t="shared" si="1"/>
        <v>985354</v>
      </c>
      <c r="T22" s="45"/>
      <c r="U22" s="45">
        <v>24367695</v>
      </c>
      <c r="V22" s="44"/>
      <c r="W22" s="45">
        <f>3670000+302723+485000+330000+13559+238000+176541</f>
        <v>5215823</v>
      </c>
    </row>
    <row r="23" spans="1:23" s="116" customFormat="1" ht="12.75" customHeight="1" x14ac:dyDescent="0.2">
      <c r="A23" s="44" t="s">
        <v>31</v>
      </c>
      <c r="C23" s="44" t="s">
        <v>27</v>
      </c>
      <c r="D23" s="35"/>
      <c r="E23" s="45">
        <v>5136936</v>
      </c>
      <c r="F23" s="45"/>
      <c r="G23" s="45">
        <v>9671215</v>
      </c>
      <c r="H23" s="45"/>
      <c r="I23" s="45">
        <v>0</v>
      </c>
      <c r="J23" s="45"/>
      <c r="K23" s="45">
        <v>1024848</v>
      </c>
      <c r="L23" s="45"/>
      <c r="M23" s="45">
        <v>3417329</v>
      </c>
      <c r="N23" s="45"/>
      <c r="O23" s="45">
        <v>387548</v>
      </c>
      <c r="P23" s="45"/>
      <c r="Q23" s="45">
        <f>248260+1761228</f>
        <v>2009488</v>
      </c>
      <c r="R23" s="45"/>
      <c r="S23" s="44">
        <f t="shared" si="1"/>
        <v>568377</v>
      </c>
      <c r="T23" s="45"/>
      <c r="U23" s="45">
        <v>22215741</v>
      </c>
      <c r="V23" s="44"/>
      <c r="W23" s="45">
        <f>49041+518349+4018869</f>
        <v>4586259</v>
      </c>
    </row>
    <row r="24" spans="1:23" s="116" customFormat="1" ht="12.75" customHeight="1" x14ac:dyDescent="0.2">
      <c r="A24" s="44" t="s">
        <v>32</v>
      </c>
      <c r="C24" s="44" t="s">
        <v>27</v>
      </c>
      <c r="D24" s="35"/>
      <c r="E24" s="45">
        <v>5297283</v>
      </c>
      <c r="F24" s="45"/>
      <c r="G24" s="45">
        <v>8008081</v>
      </c>
      <c r="H24" s="45"/>
      <c r="I24" s="45">
        <v>0</v>
      </c>
      <c r="J24" s="45"/>
      <c r="K24" s="45">
        <v>3089894</v>
      </c>
      <c r="L24" s="45"/>
      <c r="M24" s="45">
        <v>2892362</v>
      </c>
      <c r="N24" s="45"/>
      <c r="O24" s="45">
        <v>1054</v>
      </c>
      <c r="P24" s="45"/>
      <c r="Q24" s="45">
        <f>433393+144670</f>
        <v>578063</v>
      </c>
      <c r="R24" s="45"/>
      <c r="S24" s="44">
        <f t="shared" si="1"/>
        <v>649533</v>
      </c>
      <c r="T24" s="45"/>
      <c r="U24" s="45">
        <v>20516270</v>
      </c>
      <c r="V24" s="44"/>
      <c r="W24" s="45">
        <v>4326657</v>
      </c>
    </row>
    <row r="25" spans="1:23" s="116" customFormat="1" ht="12.75" customHeight="1" x14ac:dyDescent="0.2">
      <c r="A25" s="46" t="s">
        <v>34</v>
      </c>
      <c r="B25" s="46"/>
      <c r="C25" s="46" t="s">
        <v>30</v>
      </c>
      <c r="D25" s="35"/>
      <c r="E25" s="45">
        <v>2588193</v>
      </c>
      <c r="F25" s="45"/>
      <c r="G25" s="45">
        <v>0</v>
      </c>
      <c r="H25" s="45"/>
      <c r="I25" s="45">
        <v>0</v>
      </c>
      <c r="J25" s="45"/>
      <c r="K25" s="45">
        <v>125396</v>
      </c>
      <c r="L25" s="45"/>
      <c r="M25" s="45">
        <v>1274318</v>
      </c>
      <c r="N25" s="45"/>
      <c r="O25" s="45">
        <v>4517</v>
      </c>
      <c r="P25" s="45"/>
      <c r="Q25" s="45">
        <v>145355</v>
      </c>
      <c r="R25" s="45"/>
      <c r="S25" s="44">
        <f t="shared" si="1"/>
        <v>68505</v>
      </c>
      <c r="T25" s="45"/>
      <c r="U25" s="45">
        <v>4206284</v>
      </c>
      <c r="V25" s="44"/>
      <c r="W25" s="45">
        <v>450000</v>
      </c>
    </row>
    <row r="26" spans="1:23" s="116" customFormat="1" ht="12.75" customHeight="1" x14ac:dyDescent="0.2">
      <c r="A26" s="44" t="s">
        <v>35</v>
      </c>
      <c r="C26" s="44" t="s">
        <v>36</v>
      </c>
      <c r="D26" s="35"/>
      <c r="E26" s="45">
        <v>695362</v>
      </c>
      <c r="F26" s="45"/>
      <c r="G26" s="45">
        <v>4917561</v>
      </c>
      <c r="H26" s="45"/>
      <c r="I26" s="45">
        <v>49235</v>
      </c>
      <c r="J26" s="45"/>
      <c r="K26" s="45">
        <v>181492</v>
      </c>
      <c r="L26" s="45"/>
      <c r="M26" s="45">
        <v>2485045</v>
      </c>
      <c r="N26" s="45"/>
      <c r="O26" s="45">
        <v>11816</v>
      </c>
      <c r="P26" s="45"/>
      <c r="Q26" s="45">
        <f>116622+591308</f>
        <v>707930</v>
      </c>
      <c r="R26" s="45"/>
      <c r="S26" s="44">
        <f t="shared" si="1"/>
        <v>138653</v>
      </c>
      <c r="T26" s="45"/>
      <c r="U26" s="45">
        <v>9187094</v>
      </c>
      <c r="V26" s="44"/>
      <c r="W26" s="45">
        <v>153103</v>
      </c>
    </row>
    <row r="27" spans="1:23" s="116" customFormat="1" ht="12.75" customHeight="1" x14ac:dyDescent="0.2">
      <c r="A27" s="44" t="s">
        <v>37</v>
      </c>
      <c r="C27" s="44" t="s">
        <v>38</v>
      </c>
      <c r="D27" s="35"/>
      <c r="E27" s="45">
        <v>728734</v>
      </c>
      <c r="F27" s="45"/>
      <c r="G27" s="45">
        <v>3466345</v>
      </c>
      <c r="H27" s="45"/>
      <c r="I27" s="45">
        <v>0</v>
      </c>
      <c r="J27" s="45"/>
      <c r="K27" s="45">
        <v>253153</v>
      </c>
      <c r="L27" s="45"/>
      <c r="M27" s="45">
        <v>1454644</v>
      </c>
      <c r="N27" s="45"/>
      <c r="O27" s="45">
        <v>0</v>
      </c>
      <c r="P27" s="45"/>
      <c r="Q27" s="45">
        <f>98111+160314</f>
        <v>258425</v>
      </c>
      <c r="R27" s="45"/>
      <c r="S27" s="44">
        <f t="shared" si="1"/>
        <v>196339</v>
      </c>
      <c r="T27" s="45"/>
      <c r="U27" s="45">
        <v>6357640</v>
      </c>
      <c r="V27" s="44"/>
      <c r="W27" s="45">
        <v>716700</v>
      </c>
    </row>
    <row r="28" spans="1:23" s="116" customFormat="1" ht="12.75" customHeight="1" x14ac:dyDescent="0.2">
      <c r="A28" s="44" t="s">
        <v>39</v>
      </c>
      <c r="C28" s="44" t="s">
        <v>40</v>
      </c>
      <c r="D28" s="35"/>
      <c r="E28" s="45">
        <v>299292</v>
      </c>
      <c r="F28" s="45"/>
      <c r="G28" s="45">
        <v>1079426</v>
      </c>
      <c r="H28" s="45"/>
      <c r="I28" s="45">
        <v>0</v>
      </c>
      <c r="J28" s="45"/>
      <c r="K28" s="45">
        <v>1022425</v>
      </c>
      <c r="L28" s="45"/>
      <c r="M28" s="45">
        <v>791684</v>
      </c>
      <c r="N28" s="45"/>
      <c r="O28" s="45">
        <v>0</v>
      </c>
      <c r="P28" s="45"/>
      <c r="Q28" s="45">
        <v>260323</v>
      </c>
      <c r="R28" s="45"/>
      <c r="S28" s="44">
        <f t="shared" si="1"/>
        <v>118571</v>
      </c>
      <c r="T28" s="45"/>
      <c r="U28" s="45">
        <v>3571721</v>
      </c>
      <c r="V28" s="44"/>
      <c r="W28" s="45">
        <f>362+65500</f>
        <v>65862</v>
      </c>
    </row>
    <row r="29" spans="1:23" s="116" customFormat="1" ht="12.75" customHeight="1" x14ac:dyDescent="0.2">
      <c r="A29" s="44" t="s">
        <v>41</v>
      </c>
      <c r="C29" s="44" t="s">
        <v>27</v>
      </c>
      <c r="D29" s="35"/>
      <c r="E29" s="45">
        <v>3926590</v>
      </c>
      <c r="F29" s="45"/>
      <c r="G29" s="45">
        <v>10454513</v>
      </c>
      <c r="H29" s="45"/>
      <c r="I29" s="45">
        <v>260819</v>
      </c>
      <c r="J29" s="45"/>
      <c r="K29" s="45">
        <v>1056890</v>
      </c>
      <c r="L29" s="45"/>
      <c r="M29" s="45">
        <v>2897594</v>
      </c>
      <c r="N29" s="45"/>
      <c r="O29" s="45">
        <v>682786</v>
      </c>
      <c r="P29" s="45"/>
      <c r="Q29" s="45">
        <f>363372+2189582</f>
        <v>2552954</v>
      </c>
      <c r="R29" s="45"/>
      <c r="S29" s="44">
        <f t="shared" si="1"/>
        <v>317418</v>
      </c>
      <c r="T29" s="45"/>
      <c r="U29" s="45">
        <v>22149564</v>
      </c>
      <c r="V29" s="44"/>
      <c r="W29" s="45">
        <f>4810000+5703+459491+3495100</f>
        <v>8770294</v>
      </c>
    </row>
    <row r="30" spans="1:23" s="116" customFormat="1" ht="12.75" customHeight="1" x14ac:dyDescent="0.2">
      <c r="A30" s="44" t="s">
        <v>42</v>
      </c>
      <c r="C30" s="44" t="s">
        <v>43</v>
      </c>
      <c r="D30" s="35"/>
      <c r="E30" s="45">
        <v>1731717</v>
      </c>
      <c r="F30" s="45"/>
      <c r="G30" s="45">
        <v>6543407</v>
      </c>
      <c r="H30" s="45"/>
      <c r="I30" s="45">
        <f>183380+284122</f>
        <v>467502</v>
      </c>
      <c r="J30" s="45"/>
      <c r="K30" s="45">
        <v>895561</v>
      </c>
      <c r="L30" s="45"/>
      <c r="M30" s="45">
        <v>2272117</v>
      </c>
      <c r="N30" s="45"/>
      <c r="O30" s="45">
        <v>0</v>
      </c>
      <c r="P30" s="45"/>
      <c r="Q30" s="45">
        <f>236206+82076</f>
        <v>318282</v>
      </c>
      <c r="R30" s="45"/>
      <c r="S30" s="44">
        <f t="shared" si="1"/>
        <v>355273</v>
      </c>
      <c r="T30" s="45"/>
      <c r="U30" s="45">
        <v>12583859</v>
      </c>
      <c r="V30" s="44"/>
      <c r="W30" s="45">
        <f>122168+2180137</f>
        <v>2302305</v>
      </c>
    </row>
    <row r="31" spans="1:23" s="116" customFormat="1" ht="12.75" customHeight="1" x14ac:dyDescent="0.2">
      <c r="A31" s="44" t="s">
        <v>44</v>
      </c>
      <c r="C31" s="44" t="s">
        <v>45</v>
      </c>
      <c r="D31" s="35"/>
      <c r="E31" s="45">
        <v>3214814</v>
      </c>
      <c r="F31" s="45"/>
      <c r="G31" s="45">
        <v>29937730</v>
      </c>
      <c r="H31" s="45"/>
      <c r="I31" s="45">
        <v>927172</v>
      </c>
      <c r="J31" s="45"/>
      <c r="K31" s="45">
        <v>1560635</v>
      </c>
      <c r="L31" s="45"/>
      <c r="M31" s="45">
        <v>3196489</v>
      </c>
      <c r="N31" s="45"/>
      <c r="O31" s="45">
        <v>0</v>
      </c>
      <c r="P31" s="45"/>
      <c r="Q31" s="45">
        <f>425185+144371</f>
        <v>569556</v>
      </c>
      <c r="R31" s="45"/>
      <c r="S31" s="44">
        <f t="shared" si="1"/>
        <v>310922</v>
      </c>
      <c r="T31" s="45"/>
      <c r="U31" s="45">
        <v>39717318</v>
      </c>
      <c r="V31" s="44"/>
      <c r="W31" s="45">
        <f>3125000+11553238</f>
        <v>14678238</v>
      </c>
    </row>
    <row r="32" spans="1:23" s="116" customFormat="1" ht="12.75" customHeight="1" x14ac:dyDescent="0.2">
      <c r="A32" s="44" t="s">
        <v>46</v>
      </c>
      <c r="C32" s="44" t="s">
        <v>47</v>
      </c>
      <c r="D32" s="35"/>
      <c r="E32" s="45">
        <v>2263501</v>
      </c>
      <c r="F32" s="45"/>
      <c r="G32" s="45">
        <v>15615908</v>
      </c>
      <c r="H32" s="45"/>
      <c r="I32" s="45">
        <v>2668577</v>
      </c>
      <c r="J32" s="45"/>
      <c r="K32" s="45">
        <v>2691045</v>
      </c>
      <c r="L32" s="45"/>
      <c r="M32" s="45">
        <v>5243494</v>
      </c>
      <c r="N32" s="45"/>
      <c r="O32" s="45">
        <v>45713</v>
      </c>
      <c r="P32" s="45"/>
      <c r="Q32" s="45">
        <f>59147+971760</f>
        <v>1030907</v>
      </c>
      <c r="R32" s="45"/>
      <c r="S32" s="44">
        <f t="shared" si="1"/>
        <v>550914</v>
      </c>
      <c r="T32" s="45"/>
      <c r="U32" s="45">
        <v>30110059</v>
      </c>
      <c r="V32" s="44"/>
      <c r="W32" s="45">
        <f>3500000+179604+1129438+1027125</f>
        <v>5836167</v>
      </c>
    </row>
    <row r="33" spans="1:24" s="116" customFormat="1" ht="12.75" customHeight="1" x14ac:dyDescent="0.2">
      <c r="A33" s="44" t="s">
        <v>48</v>
      </c>
      <c r="C33" s="44" t="s">
        <v>27</v>
      </c>
      <c r="D33" s="35"/>
      <c r="E33" s="45">
        <v>4275468</v>
      </c>
      <c r="F33" s="45"/>
      <c r="G33" s="45">
        <v>14978641</v>
      </c>
      <c r="H33" s="45"/>
      <c r="I33" s="45">
        <v>0</v>
      </c>
      <c r="J33" s="45"/>
      <c r="K33" s="45">
        <v>1210862</v>
      </c>
      <c r="L33" s="45"/>
      <c r="M33" s="45">
        <v>2516919</v>
      </c>
      <c r="N33" s="45"/>
      <c r="O33" s="45">
        <v>324876</v>
      </c>
      <c r="P33" s="45"/>
      <c r="Q33" s="45">
        <f>430730+254848</f>
        <v>685578</v>
      </c>
      <c r="R33" s="45"/>
      <c r="S33" s="44">
        <f t="shared" si="1"/>
        <v>1018255</v>
      </c>
      <c r="T33" s="45"/>
      <c r="U33" s="45">
        <v>25010599</v>
      </c>
      <c r="V33" s="44"/>
      <c r="W33" s="45">
        <f>32985+2042634</f>
        <v>2075619</v>
      </c>
    </row>
    <row r="34" spans="1:24" s="116" customFormat="1" ht="12.75" customHeight="1" x14ac:dyDescent="0.2">
      <c r="A34" s="44" t="s">
        <v>49</v>
      </c>
      <c r="C34" s="44" t="s">
        <v>27</v>
      </c>
      <c r="D34" s="35"/>
      <c r="E34" s="45">
        <v>13239237</v>
      </c>
      <c r="F34" s="45"/>
      <c r="G34" s="45">
        <v>0</v>
      </c>
      <c r="H34" s="45"/>
      <c r="I34" s="45">
        <v>0</v>
      </c>
      <c r="J34" s="45"/>
      <c r="K34" s="45">
        <v>2294576</v>
      </c>
      <c r="L34" s="45"/>
      <c r="M34" s="45">
        <v>2647403</v>
      </c>
      <c r="N34" s="45"/>
      <c r="O34" s="45">
        <v>586856</v>
      </c>
      <c r="P34" s="45"/>
      <c r="Q34" s="45">
        <f>1067796+404542</f>
        <v>1472338</v>
      </c>
      <c r="R34" s="45"/>
      <c r="S34" s="44">
        <f t="shared" si="1"/>
        <v>339641</v>
      </c>
      <c r="T34" s="45"/>
      <c r="U34" s="45">
        <v>20580051</v>
      </c>
      <c r="V34" s="44"/>
      <c r="W34" s="45">
        <f>144160+28245+519423</f>
        <v>691828</v>
      </c>
    </row>
    <row r="35" spans="1:24" s="116" customFormat="1" ht="12.75" customHeight="1" x14ac:dyDescent="0.2">
      <c r="A35" s="44" t="s">
        <v>50</v>
      </c>
      <c r="C35" s="44" t="s">
        <v>27</v>
      </c>
      <c r="D35" s="35"/>
      <c r="E35" s="45">
        <v>2002050</v>
      </c>
      <c r="F35" s="45"/>
      <c r="G35" s="45">
        <v>17465889</v>
      </c>
      <c r="H35" s="45"/>
      <c r="I35" s="45">
        <v>325486</v>
      </c>
      <c r="J35" s="45"/>
      <c r="K35" s="45">
        <v>1984816</v>
      </c>
      <c r="L35" s="45"/>
      <c r="M35" s="45">
        <v>3772270</v>
      </c>
      <c r="N35" s="45"/>
      <c r="O35" s="45">
        <v>85071</v>
      </c>
      <c r="P35" s="45"/>
      <c r="Q35" s="45">
        <f>705694+350017</f>
        <v>1055711</v>
      </c>
      <c r="R35" s="45"/>
      <c r="S35" s="44">
        <f t="shared" si="1"/>
        <v>926836</v>
      </c>
      <c r="T35" s="45"/>
      <c r="U35" s="45">
        <v>27618129</v>
      </c>
      <c r="V35" s="44"/>
      <c r="W35" s="45">
        <f>36393+1705000+25243+25873+1390040</f>
        <v>3182549</v>
      </c>
    </row>
    <row r="36" spans="1:24" s="116" customFormat="1" ht="12.75" customHeight="1" x14ac:dyDescent="0.2">
      <c r="A36" s="44" t="s">
        <v>51</v>
      </c>
      <c r="C36" s="44" t="s">
        <v>27</v>
      </c>
      <c r="D36" s="35"/>
      <c r="E36" s="45">
        <v>1804935</v>
      </c>
      <c r="F36" s="45"/>
      <c r="G36" s="45">
        <v>14603931</v>
      </c>
      <c r="H36" s="45"/>
      <c r="I36" s="45">
        <v>298257</v>
      </c>
      <c r="J36" s="45"/>
      <c r="K36" s="45">
        <v>1024204</v>
      </c>
      <c r="L36" s="45"/>
      <c r="M36" s="45">
        <v>2564402</v>
      </c>
      <c r="N36" s="45"/>
      <c r="O36" s="45">
        <v>0</v>
      </c>
      <c r="P36" s="45"/>
      <c r="Q36" s="45">
        <v>750068</v>
      </c>
      <c r="R36" s="45"/>
      <c r="S36" s="44">
        <f t="shared" si="1"/>
        <v>401323</v>
      </c>
      <c r="T36" s="45"/>
      <c r="U36" s="45">
        <v>21447120</v>
      </c>
      <c r="V36" s="44"/>
      <c r="W36" s="45">
        <f>43705+851224</f>
        <v>894929</v>
      </c>
    </row>
    <row r="37" spans="1:24" s="116" customFormat="1" ht="12.75" customHeight="1" x14ac:dyDescent="0.2">
      <c r="A37" s="44" t="s">
        <v>462</v>
      </c>
      <c r="C37" s="44" t="s">
        <v>66</v>
      </c>
      <c r="D37" s="35"/>
      <c r="E37" s="45">
        <v>152294</v>
      </c>
      <c r="F37" s="45"/>
      <c r="G37" s="45">
        <v>2543824</v>
      </c>
      <c r="H37" s="45"/>
      <c r="I37" s="45">
        <v>0</v>
      </c>
      <c r="J37" s="45"/>
      <c r="K37" s="45">
        <v>986916</v>
      </c>
      <c r="L37" s="45"/>
      <c r="M37" s="45">
        <v>1256085</v>
      </c>
      <c r="N37" s="45"/>
      <c r="O37" s="45">
        <v>2481</v>
      </c>
      <c r="P37" s="45"/>
      <c r="Q37" s="45">
        <v>119083</v>
      </c>
      <c r="R37" s="45"/>
      <c r="S37" s="44">
        <f t="shared" si="1"/>
        <v>114050</v>
      </c>
      <c r="T37" s="45"/>
      <c r="U37" s="45">
        <v>5174733</v>
      </c>
      <c r="V37" s="44"/>
      <c r="W37" s="45">
        <f>12437+400000+75157+815247+2220</f>
        <v>1305061</v>
      </c>
    </row>
    <row r="38" spans="1:24" s="116" customFormat="1" ht="12.75" customHeight="1" x14ac:dyDescent="0.2">
      <c r="A38" s="44" t="s">
        <v>52</v>
      </c>
      <c r="C38" s="44" t="s">
        <v>53</v>
      </c>
      <c r="D38" s="35"/>
      <c r="E38" s="45">
        <v>1610734</v>
      </c>
      <c r="F38" s="45"/>
      <c r="G38" s="45">
        <v>13703676</v>
      </c>
      <c r="H38" s="45"/>
      <c r="I38" s="45">
        <v>0</v>
      </c>
      <c r="J38" s="45"/>
      <c r="K38" s="45">
        <v>1843474</v>
      </c>
      <c r="L38" s="45"/>
      <c r="M38" s="45">
        <v>5348099</v>
      </c>
      <c r="N38" s="45"/>
      <c r="O38" s="45">
        <v>277970</v>
      </c>
      <c r="P38" s="45"/>
      <c r="Q38" s="45">
        <f>1164988+555758</f>
        <v>1720746</v>
      </c>
      <c r="R38" s="45"/>
      <c r="S38" s="44">
        <f t="shared" si="1"/>
        <v>90293</v>
      </c>
      <c r="T38" s="45"/>
      <c r="U38" s="45">
        <v>24594992</v>
      </c>
      <c r="V38" s="44"/>
      <c r="W38" s="45">
        <f>260374+40882</f>
        <v>301256</v>
      </c>
    </row>
    <row r="39" spans="1:24" s="116" customFormat="1" ht="12.75" customHeight="1" x14ac:dyDescent="0.2">
      <c r="A39" s="44" t="s">
        <v>54</v>
      </c>
      <c r="C39" s="44" t="s">
        <v>55</v>
      </c>
      <c r="D39" s="35"/>
      <c r="E39" s="45">
        <v>7604464</v>
      </c>
      <c r="F39" s="45"/>
      <c r="G39" s="45">
        <v>0</v>
      </c>
      <c r="H39" s="45"/>
      <c r="I39" s="45">
        <v>0</v>
      </c>
      <c r="J39" s="45"/>
      <c r="K39" s="45">
        <v>223092</v>
      </c>
      <c r="L39" s="45"/>
      <c r="M39" s="45">
        <v>2145738</v>
      </c>
      <c r="N39" s="45"/>
      <c r="O39" s="45">
        <v>73129</v>
      </c>
      <c r="P39" s="45"/>
      <c r="Q39" s="45">
        <f>767556+11655</f>
        <v>779211</v>
      </c>
      <c r="R39" s="45"/>
      <c r="S39" s="44">
        <f t="shared" si="1"/>
        <v>561809</v>
      </c>
      <c r="T39" s="45"/>
      <c r="U39" s="45">
        <v>11387443</v>
      </c>
      <c r="V39" s="44"/>
      <c r="W39" s="45">
        <f>2050+4975000+119917+1000000+3620000</f>
        <v>9716967</v>
      </c>
    </row>
    <row r="40" spans="1:24" s="116" customFormat="1" ht="12.75" customHeight="1" x14ac:dyDescent="0.2">
      <c r="A40" s="44" t="s">
        <v>56</v>
      </c>
      <c r="C40" s="44" t="s">
        <v>57</v>
      </c>
      <c r="D40" s="35"/>
      <c r="E40" s="45">
        <v>581103</v>
      </c>
      <c r="F40" s="45"/>
      <c r="G40" s="45">
        <v>3983413</v>
      </c>
      <c r="H40" s="45"/>
      <c r="I40" s="45">
        <v>91730</v>
      </c>
      <c r="J40" s="45"/>
      <c r="K40" s="45">
        <v>389574</v>
      </c>
      <c r="L40" s="45"/>
      <c r="M40" s="45">
        <v>1551823</v>
      </c>
      <c r="N40" s="45"/>
      <c r="O40" s="45">
        <v>13896</v>
      </c>
      <c r="P40" s="45"/>
      <c r="Q40" s="45">
        <f>236018+26736</f>
        <v>262754</v>
      </c>
      <c r="R40" s="45"/>
      <c r="S40" s="44">
        <f t="shared" si="1"/>
        <v>259855</v>
      </c>
      <c r="T40" s="45"/>
      <c r="U40" s="45">
        <v>7134148</v>
      </c>
      <c r="V40" s="44"/>
      <c r="W40" s="45">
        <v>313431</v>
      </c>
    </row>
    <row r="41" spans="1:24" s="116" customFormat="1" ht="12.75" customHeight="1" x14ac:dyDescent="0.2">
      <c r="A41" s="44" t="s">
        <v>58</v>
      </c>
      <c r="C41" s="44" t="s">
        <v>59</v>
      </c>
      <c r="D41" s="35"/>
      <c r="E41" s="45">
        <v>1447276</v>
      </c>
      <c r="F41" s="45"/>
      <c r="G41" s="45">
        <v>5947032</v>
      </c>
      <c r="H41" s="45"/>
      <c r="I41" s="45">
        <v>0</v>
      </c>
      <c r="J41" s="45"/>
      <c r="K41" s="45">
        <v>580451</v>
      </c>
      <c r="L41" s="45"/>
      <c r="M41" s="45">
        <v>5347342</v>
      </c>
      <c r="N41" s="45"/>
      <c r="O41" s="45">
        <v>7325</v>
      </c>
      <c r="P41" s="45"/>
      <c r="Q41" s="45">
        <f>146333+947812</f>
        <v>1094145</v>
      </c>
      <c r="R41" s="45"/>
      <c r="S41" s="44">
        <f t="shared" si="1"/>
        <v>169244</v>
      </c>
      <c r="T41" s="45"/>
      <c r="U41" s="45">
        <v>14592815</v>
      </c>
      <c r="V41" s="44"/>
      <c r="W41" s="45">
        <f>920871+9950+82328</f>
        <v>1013149</v>
      </c>
    </row>
    <row r="42" spans="1:24" s="116" customFormat="1" ht="12.75" customHeight="1" x14ac:dyDescent="0.2">
      <c r="A42" s="44" t="s">
        <v>476</v>
      </c>
      <c r="C42" s="44" t="s">
        <v>15</v>
      </c>
      <c r="D42" s="35"/>
      <c r="E42" s="45">
        <v>305926</v>
      </c>
      <c r="F42" s="45"/>
      <c r="G42" s="45">
        <v>2033742</v>
      </c>
      <c r="H42" s="45"/>
      <c r="I42" s="45">
        <v>0</v>
      </c>
      <c r="J42" s="45"/>
      <c r="K42" s="45">
        <v>166131</v>
      </c>
      <c r="L42" s="45"/>
      <c r="M42" s="45">
        <v>1088614</v>
      </c>
      <c r="N42" s="45"/>
      <c r="O42" s="45">
        <v>0</v>
      </c>
      <c r="P42" s="45"/>
      <c r="Q42" s="45">
        <v>38422</v>
      </c>
      <c r="R42" s="45"/>
      <c r="S42" s="44">
        <f t="shared" si="1"/>
        <v>78510</v>
      </c>
      <c r="T42" s="45"/>
      <c r="U42" s="45">
        <v>3711345</v>
      </c>
      <c r="V42" s="44"/>
      <c r="W42" s="45">
        <v>1328376</v>
      </c>
    </row>
    <row r="43" spans="1:24" s="116" customFormat="1" ht="12.75" customHeight="1" x14ac:dyDescent="0.2">
      <c r="A43" s="44" t="s">
        <v>504</v>
      </c>
      <c r="B43" s="47"/>
      <c r="C43" s="44" t="s">
        <v>43</v>
      </c>
      <c r="D43" s="35"/>
      <c r="E43" s="45">
        <v>656312</v>
      </c>
      <c r="F43" s="45"/>
      <c r="G43" s="45">
        <v>4291159</v>
      </c>
      <c r="H43" s="45"/>
      <c r="I43" s="45">
        <v>0</v>
      </c>
      <c r="J43" s="45"/>
      <c r="K43" s="45">
        <v>144099</v>
      </c>
      <c r="L43" s="45"/>
      <c r="M43" s="45">
        <v>1927507</v>
      </c>
      <c r="N43" s="45"/>
      <c r="O43" s="45">
        <v>186292</v>
      </c>
      <c r="P43" s="45"/>
      <c r="Q43" s="45">
        <v>392435</v>
      </c>
      <c r="R43" s="45"/>
      <c r="S43" s="44">
        <f t="shared" si="1"/>
        <v>230387</v>
      </c>
      <c r="T43" s="45"/>
      <c r="U43" s="45">
        <v>7828191</v>
      </c>
      <c r="V43" s="44"/>
      <c r="W43" s="45">
        <f>1700000+96128+1798059+10455</f>
        <v>3604642</v>
      </c>
    </row>
    <row r="44" spans="1:24" s="116" customFormat="1" ht="12.75" customHeight="1" x14ac:dyDescent="0.2">
      <c r="A44" s="44" t="s">
        <v>60</v>
      </c>
      <c r="C44" s="44" t="s">
        <v>61</v>
      </c>
      <c r="D44" s="35"/>
      <c r="E44" s="45">
        <v>488189</v>
      </c>
      <c r="F44" s="45"/>
      <c r="G44" s="45">
        <v>2450104</v>
      </c>
      <c r="H44" s="45"/>
      <c r="I44" s="45">
        <v>62323</v>
      </c>
      <c r="J44" s="45"/>
      <c r="K44" s="45">
        <v>341203</v>
      </c>
      <c r="L44" s="45"/>
      <c r="M44" s="45">
        <v>928698</v>
      </c>
      <c r="N44" s="45"/>
      <c r="O44" s="45">
        <v>36691</v>
      </c>
      <c r="P44" s="45"/>
      <c r="Q44" s="45">
        <f>60929+114777</f>
        <v>175706</v>
      </c>
      <c r="R44" s="45"/>
      <c r="S44" s="44">
        <f t="shared" si="1"/>
        <v>133579</v>
      </c>
      <c r="T44" s="45"/>
      <c r="U44" s="45">
        <v>4616493</v>
      </c>
      <c r="V44" s="44"/>
      <c r="W44" s="45">
        <f>1000000+207615+377995</f>
        <v>1585610</v>
      </c>
    </row>
    <row r="45" spans="1:24" s="116" customFormat="1" ht="12.75" hidden="1" customHeight="1" x14ac:dyDescent="0.2">
      <c r="A45" s="44" t="s">
        <v>62</v>
      </c>
      <c r="C45" s="44" t="s">
        <v>15</v>
      </c>
      <c r="D45" s="35"/>
      <c r="E45" s="45">
        <v>2679060</v>
      </c>
      <c r="F45" s="45"/>
      <c r="G45" s="45">
        <v>42268045</v>
      </c>
      <c r="H45" s="45"/>
      <c r="I45" s="45">
        <v>0</v>
      </c>
      <c r="J45" s="45"/>
      <c r="K45" s="45">
        <v>11672616</v>
      </c>
      <c r="L45" s="45"/>
      <c r="M45" s="45">
        <v>9022823</v>
      </c>
      <c r="N45" s="45"/>
      <c r="O45" s="45">
        <v>0</v>
      </c>
      <c r="P45" s="45"/>
      <c r="Q45" s="45">
        <f>1496552+387942</f>
        <v>1884494</v>
      </c>
      <c r="R45" s="45"/>
      <c r="S45" s="44">
        <f t="shared" si="1"/>
        <v>21522734</v>
      </c>
      <c r="T45" s="45"/>
      <c r="U45" s="45">
        <v>89049772</v>
      </c>
      <c r="V45" s="44"/>
      <c r="W45" s="45">
        <f>46351+44000</f>
        <v>90351</v>
      </c>
      <c r="X45" s="121" t="s">
        <v>503</v>
      </c>
    </row>
    <row r="46" spans="1:24" s="134" customFormat="1" ht="12.75" hidden="1" customHeight="1" x14ac:dyDescent="0.2">
      <c r="A46" s="121" t="s">
        <v>485</v>
      </c>
      <c r="C46" s="121" t="s">
        <v>111</v>
      </c>
      <c r="D46" s="126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1">
        <f t="shared" si="1"/>
        <v>0</v>
      </c>
      <c r="T46" s="127"/>
      <c r="U46" s="127"/>
      <c r="V46" s="121"/>
      <c r="W46" s="127"/>
      <c r="X46" s="121" t="s">
        <v>505</v>
      </c>
    </row>
    <row r="47" spans="1:24" s="116" customFormat="1" ht="12.75" customHeight="1" x14ac:dyDescent="0.2">
      <c r="A47" s="44" t="s">
        <v>63</v>
      </c>
      <c r="C47" s="44" t="s">
        <v>64</v>
      </c>
      <c r="D47" s="35"/>
      <c r="E47" s="45">
        <v>366940</v>
      </c>
      <c r="F47" s="45"/>
      <c r="G47" s="45">
        <v>3845942</v>
      </c>
      <c r="H47" s="45"/>
      <c r="I47" s="45">
        <f>876567+557698</f>
        <v>1434265</v>
      </c>
      <c r="J47" s="45"/>
      <c r="K47" s="45">
        <v>337764</v>
      </c>
      <c r="L47" s="45"/>
      <c r="M47" s="45">
        <v>2119553</v>
      </c>
      <c r="N47" s="45"/>
      <c r="O47" s="45">
        <v>5502</v>
      </c>
      <c r="P47" s="45"/>
      <c r="Q47" s="45">
        <f>131431+370422</f>
        <v>501853</v>
      </c>
      <c r="R47" s="45"/>
      <c r="S47" s="44">
        <f t="shared" si="1"/>
        <v>1007027</v>
      </c>
      <c r="T47" s="45"/>
      <c r="U47" s="45">
        <v>9618846</v>
      </c>
      <c r="V47" s="44"/>
      <c r="W47" s="45">
        <f>2400000+137465+508735+13900+1436347</f>
        <v>4496447</v>
      </c>
    </row>
    <row r="48" spans="1:24" s="116" customFormat="1" ht="12.75" customHeight="1" x14ac:dyDescent="0.2">
      <c r="A48" s="44" t="s">
        <v>65</v>
      </c>
      <c r="C48" s="44" t="s">
        <v>66</v>
      </c>
      <c r="D48" s="35"/>
      <c r="E48" s="45">
        <v>13139217</v>
      </c>
      <c r="F48" s="45"/>
      <c r="G48" s="45">
        <v>0</v>
      </c>
      <c r="H48" s="45"/>
      <c r="I48" s="45">
        <v>0</v>
      </c>
      <c r="J48" s="45"/>
      <c r="K48" s="45">
        <v>311042</v>
      </c>
      <c r="L48" s="45"/>
      <c r="M48" s="45">
        <v>4404979</v>
      </c>
      <c r="N48" s="45"/>
      <c r="O48" s="45">
        <v>645114</v>
      </c>
      <c r="P48" s="45"/>
      <c r="Q48" s="45">
        <v>420750</v>
      </c>
      <c r="R48" s="45"/>
      <c r="S48" s="44">
        <f t="shared" si="1"/>
        <v>515068</v>
      </c>
      <c r="T48" s="45"/>
      <c r="U48" s="45">
        <v>19436170</v>
      </c>
      <c r="V48" s="44"/>
      <c r="W48" s="45">
        <f>1000+2465000</f>
        <v>2466000</v>
      </c>
    </row>
    <row r="49" spans="1:23" s="116" customFormat="1" ht="12.75" customHeight="1" x14ac:dyDescent="0.2">
      <c r="A49" s="44" t="s">
        <v>67</v>
      </c>
      <c r="C49" s="44" t="s">
        <v>375</v>
      </c>
      <c r="D49" s="35"/>
      <c r="E49" s="45">
        <v>1120500</v>
      </c>
      <c r="F49" s="45"/>
      <c r="G49" s="45">
        <v>5488804</v>
      </c>
      <c r="H49" s="45"/>
      <c r="I49" s="45">
        <v>0</v>
      </c>
      <c r="J49" s="45"/>
      <c r="K49" s="45">
        <v>338073</v>
      </c>
      <c r="L49" s="45"/>
      <c r="M49" s="45">
        <v>1273139</v>
      </c>
      <c r="N49" s="45"/>
      <c r="O49" s="45">
        <v>163019</v>
      </c>
      <c r="P49" s="45"/>
      <c r="Q49" s="45">
        <f>155337+1297823</f>
        <v>1453160</v>
      </c>
      <c r="R49" s="45"/>
      <c r="S49" s="44">
        <f t="shared" si="1"/>
        <v>419161</v>
      </c>
      <c r="T49" s="45"/>
      <c r="U49" s="45">
        <v>10255856</v>
      </c>
      <c r="V49" s="44"/>
      <c r="W49" s="45">
        <f>61377+1325+820000</f>
        <v>882702</v>
      </c>
    </row>
    <row r="50" spans="1:23" s="116" customFormat="1" ht="12.75" customHeight="1" x14ac:dyDescent="0.2">
      <c r="A50" s="44" t="s">
        <v>68</v>
      </c>
      <c r="C50" s="44" t="s">
        <v>45</v>
      </c>
      <c r="D50" s="35"/>
      <c r="E50" s="45">
        <v>1796289</v>
      </c>
      <c r="F50" s="45"/>
      <c r="G50" s="45">
        <v>1606344</v>
      </c>
      <c r="H50" s="45"/>
      <c r="I50" s="45">
        <v>71443</v>
      </c>
      <c r="J50" s="45"/>
      <c r="K50" s="45">
        <v>225680</v>
      </c>
      <c r="L50" s="45"/>
      <c r="M50" s="45">
        <v>1414278</v>
      </c>
      <c r="N50" s="45"/>
      <c r="O50" s="45">
        <v>947</v>
      </c>
      <c r="P50" s="45"/>
      <c r="Q50" s="45">
        <f>18476+111090</f>
        <v>129566</v>
      </c>
      <c r="R50" s="45"/>
      <c r="S50" s="44">
        <f t="shared" si="1"/>
        <v>109905</v>
      </c>
      <c r="T50" s="45"/>
      <c r="U50" s="45">
        <v>5354452</v>
      </c>
      <c r="V50" s="44"/>
      <c r="W50" s="45">
        <v>55654</v>
      </c>
    </row>
    <row r="51" spans="1:23" s="116" customFormat="1" ht="12.75" customHeight="1" x14ac:dyDescent="0.2">
      <c r="A51" s="44" t="s">
        <v>69</v>
      </c>
      <c r="C51" s="44" t="s">
        <v>70</v>
      </c>
      <c r="D51" s="35"/>
      <c r="E51" s="45">
        <v>1132782</v>
      </c>
      <c r="F51" s="45"/>
      <c r="G51" s="45">
        <v>10877683</v>
      </c>
      <c r="H51" s="45"/>
      <c r="I51" s="45">
        <v>207975</v>
      </c>
      <c r="J51" s="45"/>
      <c r="K51" s="45">
        <v>3957405</v>
      </c>
      <c r="L51" s="45"/>
      <c r="M51" s="45">
        <v>6694860</v>
      </c>
      <c r="N51" s="45"/>
      <c r="O51" s="45">
        <v>34087</v>
      </c>
      <c r="P51" s="45"/>
      <c r="Q51" s="45">
        <v>1658779</v>
      </c>
      <c r="R51" s="45"/>
      <c r="S51" s="44">
        <f t="shared" si="1"/>
        <v>487152</v>
      </c>
      <c r="T51" s="45"/>
      <c r="U51" s="45">
        <v>25050723</v>
      </c>
      <c r="V51" s="44"/>
      <c r="W51" s="45">
        <f>209155+2503682</f>
        <v>2712837</v>
      </c>
    </row>
    <row r="52" spans="1:23" s="116" customFormat="1" ht="12.75" customHeight="1" x14ac:dyDescent="0.2">
      <c r="A52" s="44" t="s">
        <v>71</v>
      </c>
      <c r="C52" s="44" t="s">
        <v>45</v>
      </c>
      <c r="D52" s="35"/>
      <c r="E52" s="45">
        <v>377508000</v>
      </c>
      <c r="F52" s="45"/>
      <c r="G52" s="45">
        <v>0</v>
      </c>
      <c r="H52" s="45"/>
      <c r="I52" s="45">
        <v>0</v>
      </c>
      <c r="J52" s="45"/>
      <c r="K52" s="45">
        <v>35007000</v>
      </c>
      <c r="L52" s="45"/>
      <c r="M52" s="45">
        <v>71506000</v>
      </c>
      <c r="N52" s="45"/>
      <c r="O52" s="45">
        <v>4993000</v>
      </c>
      <c r="P52" s="45"/>
      <c r="Q52" s="45">
        <v>11313000</v>
      </c>
      <c r="R52" s="45"/>
      <c r="S52" s="44">
        <f t="shared" si="1"/>
        <v>153798000</v>
      </c>
      <c r="T52" s="45"/>
      <c r="U52" s="45">
        <v>654125000</v>
      </c>
      <c r="V52" s="44"/>
      <c r="W52" s="45">
        <f>49000000+21000000+19000000+3869000+74290000+14000000</f>
        <v>181159000</v>
      </c>
    </row>
    <row r="53" spans="1:23" s="116" customFormat="1" ht="12.75" customHeight="1" x14ac:dyDescent="0.2">
      <c r="A53" s="44" t="s">
        <v>463</v>
      </c>
      <c r="C53" s="44" t="s">
        <v>464</v>
      </c>
      <c r="D53" s="35"/>
      <c r="E53" s="45">
        <v>872885</v>
      </c>
      <c r="F53" s="45"/>
      <c r="G53" s="45">
        <v>4684636</v>
      </c>
      <c r="H53" s="45"/>
      <c r="I53" s="45">
        <v>301756</v>
      </c>
      <c r="J53" s="45"/>
      <c r="K53" s="45">
        <v>655849</v>
      </c>
      <c r="L53" s="45"/>
      <c r="M53" s="45">
        <v>3161951</v>
      </c>
      <c r="N53" s="45"/>
      <c r="O53" s="45">
        <v>2586</v>
      </c>
      <c r="P53" s="45"/>
      <c r="Q53" s="45">
        <f>26890+970797</f>
        <v>997687</v>
      </c>
      <c r="R53" s="45"/>
      <c r="S53" s="44">
        <f t="shared" si="1"/>
        <v>315952</v>
      </c>
      <c r="T53" s="45"/>
      <c r="U53" s="45">
        <v>10993302</v>
      </c>
      <c r="V53" s="44"/>
      <c r="W53" s="45">
        <f>45638+2475000+55553+550000</f>
        <v>3126191</v>
      </c>
    </row>
    <row r="54" spans="1:23" s="116" customFormat="1" ht="12.75" customHeight="1" x14ac:dyDescent="0.2">
      <c r="A54" s="44" t="s">
        <v>72</v>
      </c>
      <c r="C54" s="44" t="s">
        <v>66</v>
      </c>
      <c r="D54" s="64"/>
      <c r="E54" s="45">
        <v>2547791</v>
      </c>
      <c r="F54" s="45"/>
      <c r="G54" s="45">
        <v>2105083</v>
      </c>
      <c r="H54" s="45"/>
      <c r="I54" s="45">
        <f>187734+220051</f>
        <v>407785</v>
      </c>
      <c r="J54" s="45"/>
      <c r="K54" s="45">
        <v>1001862</v>
      </c>
      <c r="L54" s="45"/>
      <c r="M54" s="45">
        <v>4023219</v>
      </c>
      <c r="N54" s="45"/>
      <c r="O54" s="45">
        <v>38026</v>
      </c>
      <c r="P54" s="45"/>
      <c r="Q54" s="45">
        <f>6816+20512</f>
        <v>27328</v>
      </c>
      <c r="R54" s="45"/>
      <c r="S54" s="44">
        <f t="shared" si="1"/>
        <v>103478</v>
      </c>
      <c r="T54" s="45"/>
      <c r="U54" s="45">
        <v>10254572</v>
      </c>
      <c r="V54" s="44"/>
      <c r="W54" s="45">
        <f>1515000+61506+496215</f>
        <v>2072721</v>
      </c>
    </row>
    <row r="55" spans="1:23" s="116" customFormat="1" ht="12.75" customHeight="1" x14ac:dyDescent="0.2">
      <c r="A55" s="44" t="s">
        <v>73</v>
      </c>
      <c r="C55" s="44" t="s">
        <v>27</v>
      </c>
      <c r="D55" s="35"/>
      <c r="E55" s="45">
        <v>55949000</v>
      </c>
      <c r="F55" s="45"/>
      <c r="G55" s="45">
        <v>312508000</v>
      </c>
      <c r="H55" s="45"/>
      <c r="I55" s="45">
        <v>77636000</v>
      </c>
      <c r="J55" s="45"/>
      <c r="K55" s="45">
        <v>39433000</v>
      </c>
      <c r="L55" s="45"/>
      <c r="M55" s="45">
        <v>120119000</v>
      </c>
      <c r="N55" s="45"/>
      <c r="O55" s="45">
        <v>0</v>
      </c>
      <c r="P55" s="45"/>
      <c r="Q55" s="45">
        <f>28376000+16877000</f>
        <v>45253000</v>
      </c>
      <c r="R55" s="45"/>
      <c r="S55" s="44">
        <f t="shared" si="1"/>
        <v>61566000</v>
      </c>
      <c r="T55" s="45"/>
      <c r="U55" s="45">
        <v>712464000</v>
      </c>
      <c r="V55" s="44"/>
      <c r="W55" s="45">
        <f>68643000+31260000+1105000+1229000+6615000</f>
        <v>108852000</v>
      </c>
    </row>
    <row r="56" spans="1:23" s="116" customFormat="1" ht="12.75" customHeight="1" x14ac:dyDescent="0.2">
      <c r="A56" s="44" t="s">
        <v>74</v>
      </c>
      <c r="C56" s="44" t="s">
        <v>27</v>
      </c>
      <c r="D56" s="35"/>
      <c r="E56" s="45">
        <v>10040053</v>
      </c>
      <c r="F56" s="45"/>
      <c r="G56" s="45">
        <v>19359768</v>
      </c>
      <c r="H56" s="45"/>
      <c r="I56" s="45">
        <f>273716+565476+141241</f>
        <v>980433</v>
      </c>
      <c r="J56" s="45"/>
      <c r="K56" s="45">
        <v>4909865</v>
      </c>
      <c r="L56" s="45"/>
      <c r="M56" s="45">
        <v>9983844</v>
      </c>
      <c r="N56" s="45"/>
      <c r="O56" s="45">
        <v>1939289</v>
      </c>
      <c r="P56" s="45"/>
      <c r="Q56" s="45">
        <f>1664970+2789862</f>
        <v>4454832</v>
      </c>
      <c r="R56" s="45"/>
      <c r="S56" s="44">
        <f t="shared" si="1"/>
        <v>1893124</v>
      </c>
      <c r="T56" s="45"/>
      <c r="U56" s="45">
        <v>53561208</v>
      </c>
      <c r="V56" s="44"/>
      <c r="W56" s="45">
        <f>34260+57420+2808707</f>
        <v>2900387</v>
      </c>
    </row>
    <row r="57" spans="1:23" s="116" customFormat="1" ht="12.75" customHeight="1" x14ac:dyDescent="0.2">
      <c r="A57" s="44" t="s">
        <v>75</v>
      </c>
      <c r="C57" s="44" t="s">
        <v>76</v>
      </c>
      <c r="D57" s="35"/>
      <c r="E57" s="45">
        <v>556854</v>
      </c>
      <c r="F57" s="45"/>
      <c r="G57" s="45">
        <v>3718571</v>
      </c>
      <c r="H57" s="45"/>
      <c r="I57" s="45">
        <v>0</v>
      </c>
      <c r="J57" s="45"/>
      <c r="K57" s="45">
        <v>284039</v>
      </c>
      <c r="L57" s="45"/>
      <c r="M57" s="45">
        <v>793567</v>
      </c>
      <c r="N57" s="45"/>
      <c r="O57" s="45">
        <v>44986</v>
      </c>
      <c r="P57" s="45"/>
      <c r="Q57" s="45">
        <f>48389+19102</f>
        <v>67491</v>
      </c>
      <c r="R57" s="45"/>
      <c r="S57" s="44">
        <f t="shared" si="1"/>
        <v>260247</v>
      </c>
      <c r="T57" s="45"/>
      <c r="U57" s="45">
        <v>5725755</v>
      </c>
      <c r="V57" s="44"/>
      <c r="W57" s="45">
        <f>27712+49830+568744</f>
        <v>646286</v>
      </c>
    </row>
    <row r="58" spans="1:23" s="116" customFormat="1" ht="12.75" hidden="1" customHeight="1" x14ac:dyDescent="0.2">
      <c r="A58" s="44" t="s">
        <v>77</v>
      </c>
      <c r="C58" s="44" t="s">
        <v>43</v>
      </c>
      <c r="D58" s="35"/>
      <c r="E58" s="45">
        <v>48297000</v>
      </c>
      <c r="F58" s="45"/>
      <c r="G58" s="45">
        <v>669878000</v>
      </c>
      <c r="H58" s="45"/>
      <c r="I58" s="45">
        <v>0</v>
      </c>
      <c r="J58" s="45"/>
      <c r="K58" s="45">
        <v>86679000</v>
      </c>
      <c r="L58" s="45"/>
      <c r="M58" s="45">
        <f>86702000+187771000</f>
        <v>274473000</v>
      </c>
      <c r="N58" s="45"/>
      <c r="O58" s="45">
        <v>0</v>
      </c>
      <c r="P58" s="45"/>
      <c r="Q58" s="45">
        <f>29515000+25417000</f>
        <v>54932000</v>
      </c>
      <c r="R58" s="45"/>
      <c r="S58" s="44">
        <f t="shared" si="1"/>
        <v>74894000</v>
      </c>
      <c r="T58" s="45"/>
      <c r="U58" s="45">
        <v>1209153000</v>
      </c>
      <c r="V58" s="44"/>
      <c r="W58" s="45">
        <f>168455000+50380000+28366000+89285000</f>
        <v>336486000</v>
      </c>
    </row>
    <row r="59" spans="1:23" s="116" customFormat="1" ht="12.75" customHeight="1" x14ac:dyDescent="0.2">
      <c r="A59" s="44" t="s">
        <v>94</v>
      </c>
      <c r="C59" s="44" t="s">
        <v>94</v>
      </c>
      <c r="D59" s="35"/>
      <c r="E59" s="45">
        <v>2476169</v>
      </c>
      <c r="F59" s="45"/>
      <c r="G59" s="45">
        <v>0</v>
      </c>
      <c r="H59" s="45"/>
      <c r="I59" s="45">
        <v>46955</v>
      </c>
      <c r="J59" s="45"/>
      <c r="K59" s="45">
        <v>318225</v>
      </c>
      <c r="L59" s="45"/>
      <c r="M59" s="45">
        <v>1068377</v>
      </c>
      <c r="N59" s="45"/>
      <c r="O59" s="45">
        <v>0</v>
      </c>
      <c r="P59" s="45"/>
      <c r="Q59" s="45">
        <f>30300+98467</f>
        <v>128767</v>
      </c>
      <c r="R59" s="45"/>
      <c r="S59" s="44">
        <f t="shared" si="1"/>
        <v>144033</v>
      </c>
      <c r="T59" s="45"/>
      <c r="U59" s="45">
        <v>4182526</v>
      </c>
      <c r="V59" s="44"/>
      <c r="W59" s="45">
        <v>995000</v>
      </c>
    </row>
    <row r="60" spans="1:23" s="116" customFormat="1" ht="12.75" customHeight="1" x14ac:dyDescent="0.2">
      <c r="A60" s="44" t="s">
        <v>78</v>
      </c>
      <c r="C60" s="44" t="s">
        <v>19</v>
      </c>
      <c r="D60" s="35"/>
      <c r="E60" s="45">
        <v>1047455</v>
      </c>
      <c r="F60" s="45"/>
      <c r="G60" s="45">
        <v>2771887</v>
      </c>
      <c r="H60" s="45"/>
      <c r="I60" s="45">
        <f>18744+144227</f>
        <v>162971</v>
      </c>
      <c r="J60" s="45"/>
      <c r="K60" s="45">
        <v>47210</v>
      </c>
      <c r="L60" s="45"/>
      <c r="M60" s="45">
        <v>2185784</v>
      </c>
      <c r="N60" s="45"/>
      <c r="O60" s="45">
        <v>125719</v>
      </c>
      <c r="P60" s="45"/>
      <c r="Q60" s="45">
        <f>686084+316679</f>
        <v>1002763</v>
      </c>
      <c r="R60" s="45"/>
      <c r="S60" s="44">
        <f t="shared" si="1"/>
        <v>202912</v>
      </c>
      <c r="T60" s="45"/>
      <c r="U60" s="45">
        <v>7546701</v>
      </c>
      <c r="V60" s="44"/>
      <c r="W60" s="45">
        <f>20056+735000+399000+36250</f>
        <v>1190306</v>
      </c>
    </row>
    <row r="61" spans="1:23" s="116" customFormat="1" ht="12.75" customHeight="1" x14ac:dyDescent="0.2">
      <c r="A61" s="44" t="s">
        <v>79</v>
      </c>
      <c r="C61" s="44" t="s">
        <v>80</v>
      </c>
      <c r="D61" s="35"/>
      <c r="E61" s="45">
        <v>2048127</v>
      </c>
      <c r="F61" s="45"/>
      <c r="G61" s="45">
        <v>0</v>
      </c>
      <c r="H61" s="45"/>
      <c r="I61" s="45">
        <v>0</v>
      </c>
      <c r="J61" s="45"/>
      <c r="K61" s="45">
        <v>386677</v>
      </c>
      <c r="L61" s="45"/>
      <c r="M61" s="45">
        <v>1393135</v>
      </c>
      <c r="N61" s="45"/>
      <c r="O61" s="45">
        <v>0</v>
      </c>
      <c r="P61" s="45"/>
      <c r="Q61" s="45">
        <f>77720+5103</f>
        <v>82823</v>
      </c>
      <c r="R61" s="45"/>
      <c r="S61" s="44">
        <f t="shared" si="1"/>
        <v>58379</v>
      </c>
      <c r="T61" s="45"/>
      <c r="U61" s="45">
        <v>3969141</v>
      </c>
      <c r="V61" s="44"/>
      <c r="W61" s="45">
        <f>11153+249272</f>
        <v>260425</v>
      </c>
    </row>
    <row r="62" spans="1:23" s="118" customFormat="1" ht="12.75" customHeight="1" x14ac:dyDescent="0.2">
      <c r="A62" s="44" t="s">
        <v>471</v>
      </c>
      <c r="B62" s="117"/>
      <c r="C62" s="46"/>
      <c r="D62" s="64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4"/>
      <c r="T62" s="45"/>
      <c r="U62" s="45"/>
      <c r="V62" s="44"/>
      <c r="W62" s="48" t="s">
        <v>484</v>
      </c>
    </row>
    <row r="63" spans="1:23" s="116" customFormat="1" ht="12.75" customHeight="1" x14ac:dyDescent="0.2">
      <c r="A63" s="44" t="s">
        <v>81</v>
      </c>
      <c r="C63" s="44" t="s">
        <v>81</v>
      </c>
      <c r="D63" s="35"/>
      <c r="E63" s="94">
        <v>524941</v>
      </c>
      <c r="F63" s="94"/>
      <c r="G63" s="94">
        <v>3980846</v>
      </c>
      <c r="H63" s="94"/>
      <c r="I63" s="94">
        <v>161898</v>
      </c>
      <c r="J63" s="94"/>
      <c r="K63" s="94">
        <v>1091679</v>
      </c>
      <c r="L63" s="94"/>
      <c r="M63" s="94">
        <v>1943506</v>
      </c>
      <c r="N63" s="94"/>
      <c r="O63" s="94">
        <v>1162</v>
      </c>
      <c r="P63" s="94"/>
      <c r="Q63" s="94">
        <f>175068+128139</f>
        <v>303207</v>
      </c>
      <c r="R63" s="94"/>
      <c r="S63" s="46">
        <f t="shared" si="1"/>
        <v>214213</v>
      </c>
      <c r="T63" s="94"/>
      <c r="U63" s="94">
        <v>8221452</v>
      </c>
      <c r="V63" s="46"/>
      <c r="W63" s="94">
        <v>9186</v>
      </c>
    </row>
    <row r="64" spans="1:23" s="134" customFormat="1" ht="12.75" hidden="1" customHeight="1" x14ac:dyDescent="0.2">
      <c r="A64" s="122" t="s">
        <v>465</v>
      </c>
      <c r="B64" s="122"/>
      <c r="C64" s="122" t="s">
        <v>57</v>
      </c>
      <c r="D64" s="126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1">
        <f t="shared" si="1"/>
        <v>0</v>
      </c>
      <c r="T64" s="127"/>
      <c r="U64" s="127"/>
      <c r="V64" s="121"/>
      <c r="W64" s="127"/>
    </row>
    <row r="65" spans="1:23" s="116" customFormat="1" ht="12.75" customHeight="1" x14ac:dyDescent="0.2">
      <c r="A65" s="44" t="s">
        <v>82</v>
      </c>
      <c r="C65" s="44" t="s">
        <v>13</v>
      </c>
      <c r="D65" s="35"/>
      <c r="E65" s="45">
        <v>10213088</v>
      </c>
      <c r="F65" s="45"/>
      <c r="G65" s="45">
        <v>18672207</v>
      </c>
      <c r="H65" s="45"/>
      <c r="I65" s="45">
        <f>488319+6736036</f>
        <v>7224355</v>
      </c>
      <c r="J65" s="45"/>
      <c r="K65" s="45">
        <v>5052585</v>
      </c>
      <c r="L65" s="45"/>
      <c r="M65" s="45">
        <v>3914492</v>
      </c>
      <c r="N65" s="45"/>
      <c r="O65" s="45">
        <v>267848</v>
      </c>
      <c r="P65" s="45"/>
      <c r="Q65" s="45">
        <f>828291+342541</f>
        <v>1170832</v>
      </c>
      <c r="R65" s="45"/>
      <c r="S65" s="44">
        <f t="shared" si="1"/>
        <v>1627968</v>
      </c>
      <c r="T65" s="45"/>
      <c r="U65" s="45">
        <v>48143375</v>
      </c>
      <c r="V65" s="44"/>
      <c r="W65" s="45">
        <v>22624856</v>
      </c>
    </row>
    <row r="66" spans="1:23" s="117" customFormat="1" ht="12.75" customHeight="1" x14ac:dyDescent="0.2">
      <c r="A66" s="46" t="s">
        <v>83</v>
      </c>
      <c r="C66" s="46" t="s">
        <v>66</v>
      </c>
      <c r="D66" s="35"/>
      <c r="E66" s="45">
        <v>14952996</v>
      </c>
      <c r="F66" s="45"/>
      <c r="G66" s="45">
        <v>100362688</v>
      </c>
      <c r="H66" s="45"/>
      <c r="I66" s="45">
        <f>18690850+604596</f>
        <v>19295446</v>
      </c>
      <c r="J66" s="45"/>
      <c r="K66" s="45">
        <v>26910213</v>
      </c>
      <c r="L66" s="45"/>
      <c r="M66" s="45">
        <v>55538646</v>
      </c>
      <c r="N66" s="45"/>
      <c r="O66" s="45">
        <v>333328</v>
      </c>
      <c r="P66" s="45"/>
      <c r="Q66" s="45">
        <f>1561850+2402917</f>
        <v>3964767</v>
      </c>
      <c r="R66" s="45"/>
      <c r="S66" s="44">
        <f t="shared" si="1"/>
        <v>6065966</v>
      </c>
      <c r="T66" s="45"/>
      <c r="U66" s="45">
        <v>227424050</v>
      </c>
      <c r="V66" s="44"/>
      <c r="W66" s="45">
        <f>1615000+7267335</f>
        <v>8882335</v>
      </c>
    </row>
    <row r="67" spans="1:23" s="116" customFormat="1" ht="12.75" customHeight="1" x14ac:dyDescent="0.2">
      <c r="A67" s="44" t="s">
        <v>84</v>
      </c>
      <c r="C67" s="44" t="s">
        <v>45</v>
      </c>
      <c r="D67" s="35"/>
      <c r="E67" s="45">
        <v>2091027</v>
      </c>
      <c r="F67" s="45"/>
      <c r="G67" s="45">
        <v>0</v>
      </c>
      <c r="H67" s="45"/>
      <c r="I67" s="45">
        <v>0</v>
      </c>
      <c r="J67" s="45"/>
      <c r="K67" s="45">
        <v>135710</v>
      </c>
      <c r="L67" s="45"/>
      <c r="M67" s="45">
        <v>860105</v>
      </c>
      <c r="N67" s="45"/>
      <c r="O67" s="45">
        <v>0</v>
      </c>
      <c r="P67" s="45"/>
      <c r="Q67" s="45">
        <v>83875</v>
      </c>
      <c r="R67" s="45"/>
      <c r="S67" s="44">
        <f t="shared" si="1"/>
        <v>31001</v>
      </c>
      <c r="T67" s="45"/>
      <c r="U67" s="45">
        <v>3201718</v>
      </c>
      <c r="V67" s="44"/>
      <c r="W67" s="45">
        <v>209063</v>
      </c>
    </row>
    <row r="68" spans="1:23" s="116" customFormat="1" ht="12.75" customHeight="1" x14ac:dyDescent="0.2">
      <c r="A68" s="44" t="s">
        <v>85</v>
      </c>
      <c r="C68" s="44" t="s">
        <v>85</v>
      </c>
      <c r="D68" s="35"/>
      <c r="E68" s="45">
        <v>907400</v>
      </c>
      <c r="F68" s="45"/>
      <c r="G68" s="45">
        <v>6731692</v>
      </c>
      <c r="H68" s="45"/>
      <c r="I68" s="45">
        <v>82256</v>
      </c>
      <c r="J68" s="45"/>
      <c r="K68" s="45">
        <v>664054</v>
      </c>
      <c r="L68" s="45"/>
      <c r="M68" s="45">
        <v>3887128</v>
      </c>
      <c r="N68" s="45"/>
      <c r="O68" s="45">
        <v>41695</v>
      </c>
      <c r="P68" s="45"/>
      <c r="Q68" s="45">
        <f>280571+795442</f>
        <v>1076013</v>
      </c>
      <c r="R68" s="45"/>
      <c r="S68" s="44">
        <f t="shared" si="1"/>
        <v>218185</v>
      </c>
      <c r="T68" s="45"/>
      <c r="U68" s="45">
        <v>13608423</v>
      </c>
      <c r="V68" s="44"/>
      <c r="W68" s="45">
        <f>4075000+42588+1459967</f>
        <v>5577555</v>
      </c>
    </row>
    <row r="69" spans="1:23" s="117" customFormat="1" ht="12.75" customHeight="1" x14ac:dyDescent="0.2">
      <c r="A69" s="44" t="s">
        <v>86</v>
      </c>
      <c r="B69" s="116"/>
      <c r="C69" s="44" t="s">
        <v>86</v>
      </c>
      <c r="D69" s="35"/>
      <c r="E69" s="45">
        <v>1685641</v>
      </c>
      <c r="F69" s="45"/>
      <c r="G69" s="45">
        <v>18435254</v>
      </c>
      <c r="H69" s="45"/>
      <c r="I69" s="45">
        <f>51455+658991</f>
        <v>710446</v>
      </c>
      <c r="J69" s="45"/>
      <c r="K69" s="45">
        <v>2949115</v>
      </c>
      <c r="L69" s="45"/>
      <c r="M69" s="45">
        <v>4566345</v>
      </c>
      <c r="N69" s="45"/>
      <c r="O69" s="45">
        <v>0</v>
      </c>
      <c r="P69" s="45"/>
      <c r="Q69" s="45">
        <f>772584+2718941</f>
        <v>3491525</v>
      </c>
      <c r="R69" s="45"/>
      <c r="S69" s="44">
        <f t="shared" si="1"/>
        <v>1197178</v>
      </c>
      <c r="T69" s="45"/>
      <c r="U69" s="45">
        <v>33035504</v>
      </c>
      <c r="V69" s="44"/>
      <c r="W69" s="45">
        <f>12345+5155407</f>
        <v>5167752</v>
      </c>
    </row>
    <row r="70" spans="1:23" s="118" customFormat="1" ht="12.75" customHeight="1" x14ac:dyDescent="0.2">
      <c r="A70" s="46" t="s">
        <v>87</v>
      </c>
      <c r="B70" s="117"/>
      <c r="C70" s="46" t="s">
        <v>88</v>
      </c>
      <c r="D70" s="64"/>
      <c r="E70" s="45">
        <v>352087</v>
      </c>
      <c r="F70" s="45"/>
      <c r="G70" s="45">
        <v>2383671</v>
      </c>
      <c r="H70" s="45"/>
      <c r="I70" s="45">
        <v>0</v>
      </c>
      <c r="J70" s="45"/>
      <c r="K70" s="45">
        <v>506880</v>
      </c>
      <c r="L70" s="45"/>
      <c r="M70" s="45">
        <v>817753</v>
      </c>
      <c r="N70" s="45"/>
      <c r="O70" s="45">
        <v>0</v>
      </c>
      <c r="P70" s="45"/>
      <c r="Q70" s="45">
        <f>88222+12087</f>
        <v>100309</v>
      </c>
      <c r="R70" s="45"/>
      <c r="S70" s="44">
        <f t="shared" si="1"/>
        <v>50910</v>
      </c>
      <c r="T70" s="45"/>
      <c r="U70" s="45">
        <v>4211610</v>
      </c>
      <c r="V70" s="44"/>
      <c r="W70" s="45">
        <f>106000+3161</f>
        <v>109161</v>
      </c>
    </row>
    <row r="71" spans="1:23" s="116" customFormat="1" ht="12.75" customHeight="1" x14ac:dyDescent="0.2">
      <c r="A71" s="46" t="s">
        <v>394</v>
      </c>
      <c r="B71" s="117"/>
      <c r="C71" s="46" t="s">
        <v>89</v>
      </c>
      <c r="D71" s="35"/>
      <c r="E71" s="45">
        <v>898970</v>
      </c>
      <c r="F71" s="45"/>
      <c r="G71" s="45">
        <v>6416265</v>
      </c>
      <c r="H71" s="45"/>
      <c r="I71" s="45">
        <v>0</v>
      </c>
      <c r="J71" s="45"/>
      <c r="K71" s="45">
        <v>1215871</v>
      </c>
      <c r="L71" s="45"/>
      <c r="M71" s="45">
        <v>3648133</v>
      </c>
      <c r="N71" s="45"/>
      <c r="O71" s="45">
        <v>0</v>
      </c>
      <c r="P71" s="45"/>
      <c r="Q71" s="45">
        <v>55486</v>
      </c>
      <c r="R71" s="45"/>
      <c r="S71" s="44">
        <f t="shared" ref="S71" si="3">+U71-SUM(E71:Q71)</f>
        <v>191317</v>
      </c>
      <c r="T71" s="45"/>
      <c r="U71" s="53">
        <v>12426042</v>
      </c>
      <c r="V71" s="44"/>
      <c r="W71" s="44">
        <f>2670000+328614+100000+35897</f>
        <v>3134511</v>
      </c>
    </row>
    <row r="72" spans="1:23" s="116" customFormat="1" ht="12.75" hidden="1" customHeight="1" x14ac:dyDescent="0.2">
      <c r="A72" s="44" t="s">
        <v>90</v>
      </c>
      <c r="C72" s="44" t="s">
        <v>43</v>
      </c>
      <c r="D72" s="35"/>
      <c r="E72" s="45">
        <v>3493234</v>
      </c>
      <c r="F72" s="45"/>
      <c r="G72" s="45">
        <v>69020726</v>
      </c>
      <c r="H72" s="45"/>
      <c r="I72" s="45">
        <v>1694259</v>
      </c>
      <c r="J72" s="45"/>
      <c r="K72" s="45">
        <v>7228513</v>
      </c>
      <c r="L72" s="45"/>
      <c r="M72" s="45">
        <v>5446134</v>
      </c>
      <c r="N72" s="45"/>
      <c r="O72" s="45">
        <v>246422</v>
      </c>
      <c r="P72" s="45"/>
      <c r="Q72" s="45">
        <v>2971275</v>
      </c>
      <c r="R72" s="45"/>
      <c r="S72" s="44">
        <f t="shared" ref="S72:S133" si="4">+U72-SUM(E72:Q72)</f>
        <v>10286880</v>
      </c>
      <c r="T72" s="45"/>
      <c r="U72" s="45">
        <v>100387443</v>
      </c>
      <c r="V72" s="44"/>
      <c r="W72" s="45">
        <v>22830326</v>
      </c>
    </row>
    <row r="73" spans="1:23" s="116" customFormat="1" ht="12.75" customHeight="1" x14ac:dyDescent="0.2">
      <c r="A73" s="47" t="s">
        <v>488</v>
      </c>
      <c r="B73" s="47"/>
      <c r="C73" s="47" t="s">
        <v>27</v>
      </c>
      <c r="D73" s="35"/>
      <c r="E73" s="45">
        <v>1454199</v>
      </c>
      <c r="F73" s="45"/>
      <c r="G73" s="45">
        <v>7995978</v>
      </c>
      <c r="H73" s="45"/>
      <c r="I73" s="45">
        <v>8536</v>
      </c>
      <c r="J73" s="45"/>
      <c r="K73" s="45">
        <v>949657</v>
      </c>
      <c r="L73" s="45"/>
      <c r="M73" s="45">
        <v>7462411</v>
      </c>
      <c r="N73" s="45"/>
      <c r="O73" s="45">
        <v>105</v>
      </c>
      <c r="P73" s="45"/>
      <c r="Q73" s="45">
        <f>462075+1177696</f>
        <v>1639771</v>
      </c>
      <c r="R73" s="45"/>
      <c r="S73" s="44">
        <f t="shared" si="4"/>
        <v>833589</v>
      </c>
      <c r="T73" s="45"/>
      <c r="U73" s="45">
        <v>20344246</v>
      </c>
      <c r="V73" s="44"/>
      <c r="W73" s="45">
        <v>16610</v>
      </c>
    </row>
    <row r="74" spans="1:23" s="116" customFormat="1" ht="12.75" customHeight="1" x14ac:dyDescent="0.2">
      <c r="A74" s="44" t="s">
        <v>93</v>
      </c>
      <c r="B74" s="47"/>
      <c r="C74" s="44" t="s">
        <v>94</v>
      </c>
      <c r="D74" s="35"/>
      <c r="E74" s="45">
        <v>897321</v>
      </c>
      <c r="F74" s="45"/>
      <c r="G74" s="45">
        <v>2802127</v>
      </c>
      <c r="H74" s="45"/>
      <c r="I74" s="45">
        <v>0</v>
      </c>
      <c r="J74" s="45"/>
      <c r="K74" s="45">
        <v>42472</v>
      </c>
      <c r="L74" s="45"/>
      <c r="M74" s="45">
        <v>3024999</v>
      </c>
      <c r="N74" s="45"/>
      <c r="O74" s="45">
        <v>11411</v>
      </c>
      <c r="P74" s="45"/>
      <c r="Q74" s="45">
        <f>497683+303961</f>
        <v>801644</v>
      </c>
      <c r="R74" s="45"/>
      <c r="S74" s="44">
        <f t="shared" si="4"/>
        <v>81019</v>
      </c>
      <c r="T74" s="45"/>
      <c r="U74" s="45">
        <v>7660993</v>
      </c>
      <c r="V74" s="44"/>
      <c r="W74" s="45">
        <f>23120+185878+2255796</f>
        <v>2464794</v>
      </c>
    </row>
    <row r="75" spans="1:23" s="117" customFormat="1" ht="12.75" customHeight="1" x14ac:dyDescent="0.2">
      <c r="A75" s="46" t="s">
        <v>95</v>
      </c>
      <c r="C75" s="46" t="s">
        <v>94</v>
      </c>
      <c r="D75" s="64"/>
      <c r="E75" s="45">
        <v>1274562</v>
      </c>
      <c r="F75" s="45"/>
      <c r="G75" s="45">
        <v>0</v>
      </c>
      <c r="H75" s="45"/>
      <c r="I75" s="45">
        <v>0</v>
      </c>
      <c r="J75" s="45"/>
      <c r="K75" s="45">
        <v>389722</v>
      </c>
      <c r="L75" s="45"/>
      <c r="M75" s="45">
        <v>294466</v>
      </c>
      <c r="N75" s="45"/>
      <c r="O75" s="45">
        <v>0</v>
      </c>
      <c r="P75" s="45"/>
      <c r="Q75" s="45">
        <f>81505+8276</f>
        <v>89781</v>
      </c>
      <c r="R75" s="45"/>
      <c r="S75" s="44">
        <f t="shared" si="4"/>
        <v>645320</v>
      </c>
      <c r="T75" s="45"/>
      <c r="U75" s="45">
        <v>2693851</v>
      </c>
      <c r="V75" s="44"/>
      <c r="W75" s="45">
        <f>7367+125858+60000+94341</f>
        <v>287566</v>
      </c>
    </row>
    <row r="76" spans="1:23" s="116" customFormat="1" ht="12.75" customHeight="1" x14ac:dyDescent="0.2">
      <c r="A76" s="44" t="s">
        <v>91</v>
      </c>
      <c r="C76" s="44" t="s">
        <v>92</v>
      </c>
      <c r="D76" s="35"/>
      <c r="E76" s="45">
        <v>2736501</v>
      </c>
      <c r="F76" s="45"/>
      <c r="G76" s="45">
        <v>6561895</v>
      </c>
      <c r="H76" s="45"/>
      <c r="I76" s="45">
        <f>86940+138757+266889</f>
        <v>492586</v>
      </c>
      <c r="J76" s="45"/>
      <c r="K76" s="45">
        <v>1508538</v>
      </c>
      <c r="L76" s="45"/>
      <c r="M76" s="45">
        <v>4123510</v>
      </c>
      <c r="N76" s="45"/>
      <c r="O76" s="45">
        <v>0</v>
      </c>
      <c r="P76" s="45"/>
      <c r="Q76" s="45">
        <f>190721+988916</f>
        <v>1179637</v>
      </c>
      <c r="R76" s="45"/>
      <c r="S76" s="44">
        <f t="shared" si="4"/>
        <v>384228</v>
      </c>
      <c r="T76" s="45"/>
      <c r="U76" s="45">
        <v>16986895</v>
      </c>
      <c r="V76" s="44"/>
      <c r="W76" s="45">
        <f>9995000+96508+1265900</f>
        <v>11357408</v>
      </c>
    </row>
    <row r="77" spans="1:23" s="116" customFormat="1" ht="12.75" customHeight="1" x14ac:dyDescent="0.2">
      <c r="A77" s="44" t="s">
        <v>96</v>
      </c>
      <c r="C77" s="44" t="s">
        <v>97</v>
      </c>
      <c r="D77" s="35"/>
      <c r="E77" s="45">
        <v>702456</v>
      </c>
      <c r="F77" s="45"/>
      <c r="G77" s="45">
        <v>3442508</v>
      </c>
      <c r="H77" s="45"/>
      <c r="I77" s="45">
        <v>0</v>
      </c>
      <c r="J77" s="45"/>
      <c r="K77" s="45">
        <v>661851</v>
      </c>
      <c r="L77" s="45"/>
      <c r="M77" s="45">
        <v>1803486</v>
      </c>
      <c r="N77" s="45"/>
      <c r="O77" s="45">
        <v>93152</v>
      </c>
      <c r="P77" s="45"/>
      <c r="Q77" s="45">
        <f>60951+807522</f>
        <v>868473</v>
      </c>
      <c r="R77" s="45"/>
      <c r="S77" s="44">
        <f t="shared" si="4"/>
        <v>136396</v>
      </c>
      <c r="T77" s="45"/>
      <c r="U77" s="45">
        <v>7708322</v>
      </c>
      <c r="V77" s="44"/>
      <c r="W77" s="45">
        <f>450+122839</f>
        <v>123289</v>
      </c>
    </row>
    <row r="78" spans="1:23" s="116" customFormat="1" ht="12.75" customHeight="1" x14ac:dyDescent="0.2">
      <c r="A78" s="44" t="s">
        <v>98</v>
      </c>
      <c r="C78" s="44" t="s">
        <v>17</v>
      </c>
      <c r="D78" s="35"/>
      <c r="E78" s="45">
        <v>3357482</v>
      </c>
      <c r="F78" s="45"/>
      <c r="G78" s="45">
        <v>21124035</v>
      </c>
      <c r="H78" s="45"/>
      <c r="I78" s="45">
        <v>1587099</v>
      </c>
      <c r="J78" s="45"/>
      <c r="K78" s="45">
        <v>1791076</v>
      </c>
      <c r="L78" s="45"/>
      <c r="M78" s="45">
        <v>13234841</v>
      </c>
      <c r="N78" s="45"/>
      <c r="O78" s="45">
        <v>154098</v>
      </c>
      <c r="P78" s="45"/>
      <c r="Q78" s="45">
        <f>786579+1517086</f>
        <v>2303665</v>
      </c>
      <c r="R78" s="45"/>
      <c r="S78" s="44">
        <f t="shared" si="4"/>
        <v>972369</v>
      </c>
      <c r="T78" s="45"/>
      <c r="U78" s="45">
        <v>44524665</v>
      </c>
      <c r="V78" s="44"/>
      <c r="W78" s="45">
        <f>1526755+110000+6870000+5000+734000</f>
        <v>9245755</v>
      </c>
    </row>
    <row r="79" spans="1:23" s="116" customFormat="1" ht="12.75" customHeight="1" x14ac:dyDescent="0.2">
      <c r="A79" s="44" t="s">
        <v>99</v>
      </c>
      <c r="C79" s="44" t="s">
        <v>66</v>
      </c>
      <c r="D79" s="35"/>
      <c r="E79" s="45">
        <v>1584420</v>
      </c>
      <c r="F79" s="45"/>
      <c r="G79" s="45">
        <v>5626416</v>
      </c>
      <c r="H79" s="45"/>
      <c r="I79" s="45">
        <v>390205</v>
      </c>
      <c r="J79" s="45"/>
      <c r="K79" s="45">
        <v>1215408</v>
      </c>
      <c r="L79" s="45"/>
      <c r="M79" s="45">
        <v>2182607</v>
      </c>
      <c r="N79" s="45"/>
      <c r="O79" s="45">
        <v>152653</v>
      </c>
      <c r="P79" s="45"/>
      <c r="Q79" s="45">
        <f>79821+44449</f>
        <v>124270</v>
      </c>
      <c r="R79" s="45"/>
      <c r="S79" s="44">
        <f t="shared" si="4"/>
        <v>297464</v>
      </c>
      <c r="T79" s="45"/>
      <c r="U79" s="45">
        <v>11573443</v>
      </c>
      <c r="V79" s="44"/>
      <c r="W79" s="45">
        <f>152433+5811937</f>
        <v>5964370</v>
      </c>
    </row>
    <row r="80" spans="1:23" s="116" customFormat="1" ht="12.75" customHeight="1" x14ac:dyDescent="0.2">
      <c r="A80" s="44" t="s">
        <v>100</v>
      </c>
      <c r="C80" s="44" t="s">
        <v>27</v>
      </c>
      <c r="D80" s="35"/>
      <c r="E80" s="45">
        <v>5014254</v>
      </c>
      <c r="F80" s="45"/>
      <c r="G80" s="45">
        <v>23868290</v>
      </c>
      <c r="H80" s="45"/>
      <c r="I80" s="45">
        <v>179400</v>
      </c>
      <c r="J80" s="45"/>
      <c r="K80" s="45">
        <v>6048437</v>
      </c>
      <c r="L80" s="45"/>
      <c r="M80" s="45">
        <v>9113247</v>
      </c>
      <c r="N80" s="45"/>
      <c r="O80" s="45">
        <v>1223194</v>
      </c>
      <c r="P80" s="45"/>
      <c r="Q80" s="45">
        <f>180020+1607230</f>
        <v>1787250</v>
      </c>
      <c r="R80" s="45"/>
      <c r="S80" s="44">
        <f t="shared" si="4"/>
        <v>3011489</v>
      </c>
      <c r="T80" s="45"/>
      <c r="U80" s="45">
        <v>50245561</v>
      </c>
      <c r="V80" s="44"/>
      <c r="W80" s="45">
        <f>342300+4316000+5482000+121632+62028+35500</f>
        <v>10359460</v>
      </c>
    </row>
    <row r="81" spans="1:23" s="116" customFormat="1" ht="12.75" customHeight="1" x14ac:dyDescent="0.2">
      <c r="A81" s="44" t="s">
        <v>101</v>
      </c>
      <c r="C81" s="44" t="s">
        <v>30</v>
      </c>
      <c r="D81" s="35"/>
      <c r="E81" s="45">
        <v>2415919</v>
      </c>
      <c r="F81" s="45"/>
      <c r="G81" s="45">
        <v>11574407</v>
      </c>
      <c r="H81" s="45"/>
      <c r="I81" s="45">
        <f>810109+332269</f>
        <v>1142378</v>
      </c>
      <c r="J81" s="45"/>
      <c r="K81" s="45">
        <v>5048274</v>
      </c>
      <c r="L81" s="45"/>
      <c r="M81" s="45">
        <v>416412</v>
      </c>
      <c r="N81" s="45"/>
      <c r="O81" s="45">
        <v>6236284</v>
      </c>
      <c r="P81" s="45"/>
      <c r="Q81" s="45">
        <v>1638566</v>
      </c>
      <c r="R81" s="45"/>
      <c r="S81" s="44">
        <f t="shared" si="4"/>
        <v>716193</v>
      </c>
      <c r="T81" s="45"/>
      <c r="U81" s="45">
        <v>29188433</v>
      </c>
      <c r="V81" s="44"/>
      <c r="W81" s="45">
        <f>320000+120000+22279+9644754</f>
        <v>10107033</v>
      </c>
    </row>
    <row r="82" spans="1:23" s="116" customFormat="1" ht="12.75" customHeight="1" x14ac:dyDescent="0.2">
      <c r="A82" s="44" t="s">
        <v>102</v>
      </c>
      <c r="C82" s="44" t="s">
        <v>103</v>
      </c>
      <c r="D82" s="35"/>
      <c r="E82" s="45">
        <v>28583571</v>
      </c>
      <c r="F82" s="45"/>
      <c r="G82" s="45">
        <v>0</v>
      </c>
      <c r="H82" s="45"/>
      <c r="I82" s="45">
        <v>0</v>
      </c>
      <c r="J82" s="45"/>
      <c r="K82" s="45">
        <v>2370058</v>
      </c>
      <c r="L82" s="45"/>
      <c r="M82" s="45">
        <v>7382476</v>
      </c>
      <c r="N82" s="45"/>
      <c r="O82" s="45">
        <v>19026</v>
      </c>
      <c r="P82" s="45"/>
      <c r="Q82" s="45">
        <v>2182221</v>
      </c>
      <c r="R82" s="45"/>
      <c r="S82" s="44">
        <f t="shared" si="4"/>
        <v>1405353</v>
      </c>
      <c r="T82" s="45"/>
      <c r="U82" s="45">
        <v>41942705</v>
      </c>
      <c r="V82" s="44"/>
      <c r="W82" s="45">
        <f>25929+3591239</f>
        <v>3617168</v>
      </c>
    </row>
    <row r="83" spans="1:23" s="116" customFormat="1" ht="12.75" customHeight="1" x14ac:dyDescent="0.2">
      <c r="A83" s="44" t="s">
        <v>104</v>
      </c>
      <c r="C83" s="44" t="s">
        <v>13</v>
      </c>
      <c r="D83" s="64"/>
      <c r="E83" s="45">
        <v>1004522</v>
      </c>
      <c r="F83" s="45"/>
      <c r="G83" s="45">
        <v>9271538</v>
      </c>
      <c r="H83" s="45"/>
      <c r="I83" s="45">
        <v>3038493</v>
      </c>
      <c r="J83" s="45"/>
      <c r="K83" s="45">
        <v>502591</v>
      </c>
      <c r="L83" s="45"/>
      <c r="M83" s="45">
        <v>1830085</v>
      </c>
      <c r="N83" s="45"/>
      <c r="O83" s="45">
        <v>317815</v>
      </c>
      <c r="P83" s="45"/>
      <c r="Q83" s="45">
        <f>215213+148680</f>
        <v>363893</v>
      </c>
      <c r="R83" s="45"/>
      <c r="S83" s="44">
        <f t="shared" si="4"/>
        <v>211927</v>
      </c>
      <c r="T83" s="45"/>
      <c r="U83" s="45">
        <v>16540864</v>
      </c>
      <c r="V83" s="44"/>
      <c r="W83" s="45">
        <f>650+332086</f>
        <v>332736</v>
      </c>
    </row>
    <row r="84" spans="1:23" s="116" customFormat="1" ht="12.75" customHeight="1" x14ac:dyDescent="0.2">
      <c r="A84" s="44" t="s">
        <v>105</v>
      </c>
      <c r="C84" s="44" t="s">
        <v>27</v>
      </c>
      <c r="D84" s="35"/>
      <c r="E84" s="45">
        <v>3699599</v>
      </c>
      <c r="F84" s="45"/>
      <c r="G84" s="45">
        <v>7696575</v>
      </c>
      <c r="H84" s="45"/>
      <c r="I84" s="45">
        <v>289816</v>
      </c>
      <c r="J84" s="45"/>
      <c r="K84" s="45">
        <v>2291794</v>
      </c>
      <c r="L84" s="45"/>
      <c r="M84" s="45">
        <v>2656203</v>
      </c>
      <c r="N84" s="45"/>
      <c r="O84" s="45">
        <v>233317</v>
      </c>
      <c r="P84" s="45"/>
      <c r="Q84" s="45">
        <v>490901</v>
      </c>
      <c r="R84" s="45"/>
      <c r="S84" s="44">
        <f t="shared" si="4"/>
        <v>219778</v>
      </c>
      <c r="T84" s="45"/>
      <c r="U84" s="45">
        <v>17577983</v>
      </c>
      <c r="V84" s="44"/>
      <c r="W84" s="45">
        <f>750000+21857+82501+1043240</f>
        <v>1897598</v>
      </c>
    </row>
    <row r="85" spans="1:23" s="116" customFormat="1" ht="12.75" customHeight="1" x14ac:dyDescent="0.2">
      <c r="A85" s="44" t="s">
        <v>106</v>
      </c>
      <c r="C85" s="44" t="s">
        <v>107</v>
      </c>
      <c r="D85" s="35"/>
      <c r="E85" s="45">
        <v>2792147</v>
      </c>
      <c r="F85" s="45"/>
      <c r="G85" s="45">
        <v>20456073</v>
      </c>
      <c r="H85" s="45"/>
      <c r="I85" s="45">
        <v>0</v>
      </c>
      <c r="J85" s="45"/>
      <c r="K85" s="45">
        <v>2385372</v>
      </c>
      <c r="L85" s="45"/>
      <c r="M85" s="45">
        <v>8918043</v>
      </c>
      <c r="N85" s="45"/>
      <c r="O85" s="45">
        <v>9023</v>
      </c>
      <c r="P85" s="45"/>
      <c r="Q85" s="45">
        <f>326626+1189206</f>
        <v>1515832</v>
      </c>
      <c r="R85" s="45"/>
      <c r="S85" s="44">
        <f t="shared" si="4"/>
        <v>926060</v>
      </c>
      <c r="T85" s="45"/>
      <c r="U85" s="45">
        <v>37002550</v>
      </c>
      <c r="V85" s="44"/>
      <c r="W85" s="45">
        <f>1036011+159+21241205</f>
        <v>22277375</v>
      </c>
    </row>
    <row r="86" spans="1:23" s="116" customFormat="1" ht="12.75" customHeight="1" x14ac:dyDescent="0.2">
      <c r="A86" s="44" t="s">
        <v>108</v>
      </c>
      <c r="C86" s="44" t="s">
        <v>45</v>
      </c>
      <c r="D86" s="35"/>
      <c r="E86" s="45">
        <v>12047788</v>
      </c>
      <c r="F86" s="45"/>
      <c r="G86" s="45">
        <v>0</v>
      </c>
      <c r="H86" s="45"/>
      <c r="I86" s="45">
        <v>1698478</v>
      </c>
      <c r="J86" s="45"/>
      <c r="K86" s="45">
        <v>2458466</v>
      </c>
      <c r="L86" s="45"/>
      <c r="M86" s="45">
        <v>1610380</v>
      </c>
      <c r="N86" s="45"/>
      <c r="O86" s="45">
        <v>32139</v>
      </c>
      <c r="P86" s="45"/>
      <c r="Q86" s="45">
        <v>300735</v>
      </c>
      <c r="R86" s="45"/>
      <c r="S86" s="44">
        <f t="shared" si="4"/>
        <v>402106</v>
      </c>
      <c r="T86" s="45"/>
      <c r="U86" s="45">
        <v>18550092</v>
      </c>
      <c r="V86" s="44"/>
      <c r="W86" s="45">
        <f>94605+168+375000+1853853+113222+1018121</f>
        <v>3454969</v>
      </c>
    </row>
    <row r="87" spans="1:23" s="118" customFormat="1" ht="12.75" customHeight="1" x14ac:dyDescent="0.2">
      <c r="A87" s="44" t="s">
        <v>109</v>
      </c>
      <c r="C87" s="44" t="s">
        <v>110</v>
      </c>
      <c r="D87" s="35"/>
      <c r="E87" s="45">
        <v>778103</v>
      </c>
      <c r="F87" s="45"/>
      <c r="G87" s="45">
        <v>4457317</v>
      </c>
      <c r="H87" s="45"/>
      <c r="I87" s="45">
        <v>0</v>
      </c>
      <c r="J87" s="45"/>
      <c r="K87" s="45">
        <v>544926</v>
      </c>
      <c r="L87" s="45"/>
      <c r="M87" s="45">
        <v>2056355</v>
      </c>
      <c r="N87" s="45"/>
      <c r="O87" s="45">
        <v>54319</v>
      </c>
      <c r="P87" s="45"/>
      <c r="Q87" s="45">
        <f>19274+29735</f>
        <v>49009</v>
      </c>
      <c r="R87" s="45"/>
      <c r="S87" s="44">
        <f t="shared" si="4"/>
        <v>814262</v>
      </c>
      <c r="T87" s="45"/>
      <c r="U87" s="45">
        <v>8754291</v>
      </c>
      <c r="V87" s="44"/>
      <c r="W87" s="45">
        <f>8819+540000</f>
        <v>548819</v>
      </c>
    </row>
    <row r="88" spans="1:23" s="116" customFormat="1" ht="12.75" customHeight="1" x14ac:dyDescent="0.2">
      <c r="A88" s="44" t="s">
        <v>43</v>
      </c>
      <c r="B88" s="118"/>
      <c r="C88" s="44" t="s">
        <v>111</v>
      </c>
      <c r="D88" s="35"/>
      <c r="E88" s="45">
        <v>1084876</v>
      </c>
      <c r="F88" s="45"/>
      <c r="G88" s="45">
        <v>5973040</v>
      </c>
      <c r="H88" s="45"/>
      <c r="I88" s="45">
        <f>227839+192413</f>
        <v>420252</v>
      </c>
      <c r="J88" s="45"/>
      <c r="K88" s="45">
        <v>114030</v>
      </c>
      <c r="L88" s="45"/>
      <c r="M88" s="45">
        <v>2347841</v>
      </c>
      <c r="N88" s="45"/>
      <c r="O88" s="45">
        <v>361487</v>
      </c>
      <c r="P88" s="45"/>
      <c r="Q88" s="45">
        <v>665920</v>
      </c>
      <c r="R88" s="45"/>
      <c r="S88" s="44">
        <f t="shared" si="4"/>
        <v>487607</v>
      </c>
      <c r="T88" s="45"/>
      <c r="U88" s="45">
        <v>11455053</v>
      </c>
      <c r="V88" s="44"/>
      <c r="W88" s="45">
        <f>147000+2363996</f>
        <v>2510996</v>
      </c>
    </row>
    <row r="89" spans="1:23" s="116" customFormat="1" ht="12.75" customHeight="1" x14ac:dyDescent="0.2">
      <c r="A89" s="44" t="s">
        <v>112</v>
      </c>
      <c r="C89" s="44" t="s">
        <v>76</v>
      </c>
      <c r="D89" s="35"/>
      <c r="E89" s="45">
        <v>982077</v>
      </c>
      <c r="F89" s="45"/>
      <c r="G89" s="45">
        <v>7766274</v>
      </c>
      <c r="H89" s="45"/>
      <c r="I89" s="45">
        <v>0</v>
      </c>
      <c r="J89" s="45"/>
      <c r="K89" s="45">
        <v>449709</v>
      </c>
      <c r="L89" s="45"/>
      <c r="M89" s="45">
        <v>3224706</v>
      </c>
      <c r="N89" s="45"/>
      <c r="O89" s="45">
        <v>78713</v>
      </c>
      <c r="P89" s="45"/>
      <c r="Q89" s="45">
        <f>6638+492333</f>
        <v>498971</v>
      </c>
      <c r="R89" s="45"/>
      <c r="S89" s="44">
        <f t="shared" si="4"/>
        <v>384310</v>
      </c>
      <c r="T89" s="45"/>
      <c r="U89" s="45">
        <v>13384760</v>
      </c>
      <c r="V89" s="44"/>
      <c r="W89" s="45">
        <v>2311745</v>
      </c>
    </row>
    <row r="90" spans="1:23" s="116" customFormat="1" ht="12.75" customHeight="1" x14ac:dyDescent="0.2">
      <c r="A90" s="44" t="s">
        <v>113</v>
      </c>
      <c r="C90" s="44" t="s">
        <v>43</v>
      </c>
      <c r="D90" s="35"/>
      <c r="E90" s="45">
        <v>2056265</v>
      </c>
      <c r="F90" s="45"/>
      <c r="G90" s="45">
        <v>14405894</v>
      </c>
      <c r="H90" s="45"/>
      <c r="I90" s="45">
        <f>421791+1002203</f>
        <v>1423994</v>
      </c>
      <c r="J90" s="45"/>
      <c r="K90" s="45">
        <v>3044719</v>
      </c>
      <c r="L90" s="45"/>
      <c r="M90" s="45">
        <v>4465679</v>
      </c>
      <c r="N90" s="45"/>
      <c r="O90" s="45">
        <v>0</v>
      </c>
      <c r="P90" s="45"/>
      <c r="Q90" s="45">
        <f>896537+534385</f>
        <v>1430922</v>
      </c>
      <c r="R90" s="45"/>
      <c r="S90" s="44">
        <f t="shared" si="4"/>
        <v>1409472</v>
      </c>
      <c r="T90" s="45"/>
      <c r="U90" s="45">
        <v>28236945</v>
      </c>
      <c r="V90" s="44"/>
      <c r="W90" s="45">
        <f>28799+3076136+136681</f>
        <v>3241616</v>
      </c>
    </row>
    <row r="91" spans="1:23" s="116" customFormat="1" ht="12.75" customHeight="1" x14ac:dyDescent="0.2">
      <c r="A91" s="44" t="s">
        <v>489</v>
      </c>
      <c r="C91" s="44" t="s">
        <v>57</v>
      </c>
      <c r="D91" s="35"/>
      <c r="E91" s="45">
        <v>415765</v>
      </c>
      <c r="F91" s="45"/>
      <c r="G91" s="45">
        <v>4130362</v>
      </c>
      <c r="H91" s="45"/>
      <c r="I91" s="45">
        <v>655699</v>
      </c>
      <c r="J91" s="45"/>
      <c r="K91" s="45">
        <v>1219159</v>
      </c>
      <c r="L91" s="45"/>
      <c r="M91" s="45">
        <v>1483657</v>
      </c>
      <c r="N91" s="45"/>
      <c r="O91" s="45">
        <v>0</v>
      </c>
      <c r="P91" s="45"/>
      <c r="Q91" s="45">
        <f>188025+54966</f>
        <v>242991</v>
      </c>
      <c r="R91" s="45"/>
      <c r="S91" s="44">
        <f t="shared" si="4"/>
        <v>506468</v>
      </c>
      <c r="T91" s="45"/>
      <c r="U91" s="45">
        <v>8654101</v>
      </c>
      <c r="V91" s="44"/>
      <c r="W91" s="45">
        <f>765000+899875</f>
        <v>1664875</v>
      </c>
    </row>
    <row r="92" spans="1:23" s="116" customFormat="1" ht="12.75" customHeight="1" x14ac:dyDescent="0.2">
      <c r="A92" s="44" t="s">
        <v>114</v>
      </c>
      <c r="C92" s="44" t="s">
        <v>27</v>
      </c>
      <c r="D92" s="35"/>
      <c r="E92" s="45">
        <v>9146324</v>
      </c>
      <c r="F92" s="45"/>
      <c r="G92" s="45">
        <v>9497547</v>
      </c>
      <c r="H92" s="45"/>
      <c r="I92" s="45">
        <f>283779+162130</f>
        <v>445909</v>
      </c>
      <c r="J92" s="45"/>
      <c r="K92" s="45">
        <v>3683928</v>
      </c>
      <c r="L92" s="45"/>
      <c r="M92" s="45">
        <v>5465787</v>
      </c>
      <c r="N92" s="45"/>
      <c r="O92" s="45">
        <v>250060</v>
      </c>
      <c r="P92" s="45"/>
      <c r="Q92" s="45">
        <f>358224+1842837</f>
        <v>2201061</v>
      </c>
      <c r="R92" s="45"/>
      <c r="S92" s="44">
        <f t="shared" si="4"/>
        <v>1281004</v>
      </c>
      <c r="T92" s="45"/>
      <c r="U92" s="45">
        <v>31971620</v>
      </c>
      <c r="V92" s="44"/>
      <c r="W92" s="45">
        <v>2353400</v>
      </c>
    </row>
    <row r="93" spans="1:23" s="116" customFormat="1" ht="12.75" customHeight="1" x14ac:dyDescent="0.2">
      <c r="A93" s="44" t="s">
        <v>115</v>
      </c>
      <c r="C93" s="44" t="s">
        <v>19</v>
      </c>
      <c r="D93" s="35"/>
      <c r="E93" s="45">
        <v>515156</v>
      </c>
      <c r="F93" s="45"/>
      <c r="G93" s="45">
        <v>2588696</v>
      </c>
      <c r="H93" s="45"/>
      <c r="I93" s="45">
        <v>0</v>
      </c>
      <c r="J93" s="45"/>
      <c r="K93" s="45">
        <v>373288</v>
      </c>
      <c r="L93" s="45"/>
      <c r="M93" s="45">
        <v>1986748</v>
      </c>
      <c r="N93" s="45"/>
      <c r="O93" s="45">
        <v>340268</v>
      </c>
      <c r="P93" s="45"/>
      <c r="Q93" s="45">
        <v>276658</v>
      </c>
      <c r="R93" s="45"/>
      <c r="S93" s="44">
        <f t="shared" si="4"/>
        <v>35510</v>
      </c>
      <c r="T93" s="45"/>
      <c r="U93" s="45">
        <v>6116324</v>
      </c>
      <c r="V93" s="44"/>
      <c r="W93" s="45">
        <f>291101+689186+22135+1032980</f>
        <v>2035402</v>
      </c>
    </row>
    <row r="94" spans="1:23" s="116" customFormat="1" ht="12.75" customHeight="1" x14ac:dyDescent="0.2">
      <c r="A94" s="44" t="s">
        <v>116</v>
      </c>
      <c r="C94" s="44" t="s">
        <v>80</v>
      </c>
      <c r="D94" s="35"/>
      <c r="E94" s="45">
        <v>1220048</v>
      </c>
      <c r="F94" s="45"/>
      <c r="G94" s="45">
        <v>3946397</v>
      </c>
      <c r="H94" s="45"/>
      <c r="I94" s="45">
        <v>0</v>
      </c>
      <c r="J94" s="45"/>
      <c r="K94" s="45">
        <v>56607</v>
      </c>
      <c r="L94" s="45"/>
      <c r="M94" s="45">
        <v>1913241</v>
      </c>
      <c r="N94" s="45"/>
      <c r="O94" s="45">
        <v>18859</v>
      </c>
      <c r="P94" s="45"/>
      <c r="Q94" s="45">
        <f>478499+855301</f>
        <v>1333800</v>
      </c>
      <c r="R94" s="45"/>
      <c r="S94" s="44">
        <f t="shared" si="4"/>
        <v>206373</v>
      </c>
      <c r="T94" s="45"/>
      <c r="U94" s="45">
        <v>8695325</v>
      </c>
      <c r="V94" s="44"/>
      <c r="W94" s="45">
        <v>3793274</v>
      </c>
    </row>
    <row r="95" spans="1:23" s="116" customFormat="1" ht="12.75" customHeight="1" x14ac:dyDescent="0.2">
      <c r="A95" s="44" t="s">
        <v>117</v>
      </c>
      <c r="C95" s="44" t="s">
        <v>43</v>
      </c>
      <c r="D95" s="35"/>
      <c r="E95" s="45">
        <v>1798345</v>
      </c>
      <c r="F95" s="45"/>
      <c r="G95" s="45">
        <v>5619516</v>
      </c>
      <c r="H95" s="45"/>
      <c r="I95" s="45">
        <v>0</v>
      </c>
      <c r="J95" s="45"/>
      <c r="K95" s="45">
        <v>1209343</v>
      </c>
      <c r="L95" s="45"/>
      <c r="M95" s="45">
        <v>2471965</v>
      </c>
      <c r="N95" s="45"/>
      <c r="O95" s="45">
        <v>0</v>
      </c>
      <c r="P95" s="45"/>
      <c r="Q95" s="45">
        <f>202568+96576</f>
        <v>299144</v>
      </c>
      <c r="R95" s="45"/>
      <c r="S95" s="44">
        <f t="shared" si="4"/>
        <v>223784</v>
      </c>
      <c r="T95" s="45"/>
      <c r="U95" s="45">
        <v>11622097</v>
      </c>
      <c r="V95" s="44"/>
      <c r="W95" s="45">
        <f>30855+204807+92754+59774</f>
        <v>388190</v>
      </c>
    </row>
    <row r="96" spans="1:23" s="116" customFormat="1" ht="12.75" customHeight="1" x14ac:dyDescent="0.2">
      <c r="A96" s="46" t="s">
        <v>118</v>
      </c>
      <c r="B96" s="117"/>
      <c r="C96" s="46" t="s">
        <v>13</v>
      </c>
      <c r="D96" s="35"/>
      <c r="E96" s="45">
        <v>1528428</v>
      </c>
      <c r="F96" s="45"/>
      <c r="G96" s="45">
        <v>18235315</v>
      </c>
      <c r="H96" s="45"/>
      <c r="I96" s="45">
        <f>461015+968459</f>
        <v>1429474</v>
      </c>
      <c r="J96" s="45"/>
      <c r="K96" s="45">
        <v>866219</v>
      </c>
      <c r="L96" s="45"/>
      <c r="M96" s="45">
        <v>4175555</v>
      </c>
      <c r="N96" s="45"/>
      <c r="O96" s="45">
        <v>78011</v>
      </c>
      <c r="P96" s="45"/>
      <c r="Q96" s="45">
        <f>476604+25918</f>
        <v>502522</v>
      </c>
      <c r="R96" s="45"/>
      <c r="S96" s="44">
        <f t="shared" si="4"/>
        <v>1760506</v>
      </c>
      <c r="T96" s="45"/>
      <c r="U96" s="45">
        <v>28576030</v>
      </c>
      <c r="V96" s="44"/>
      <c r="W96" s="45">
        <f>85376+7200000+3995000</f>
        <v>11280376</v>
      </c>
    </row>
    <row r="97" spans="1:23" s="116" customFormat="1" ht="12.75" customHeight="1" x14ac:dyDescent="0.2">
      <c r="A97" s="44" t="s">
        <v>120</v>
      </c>
      <c r="C97" s="44" t="s">
        <v>121</v>
      </c>
      <c r="D97" s="35"/>
      <c r="E97" s="45">
        <v>1345348</v>
      </c>
      <c r="F97" s="45"/>
      <c r="G97" s="45">
        <v>5662105</v>
      </c>
      <c r="H97" s="45"/>
      <c r="I97" s="45">
        <v>229929</v>
      </c>
      <c r="J97" s="45"/>
      <c r="K97" s="45">
        <v>256196</v>
      </c>
      <c r="L97" s="45"/>
      <c r="M97" s="45">
        <v>2721503</v>
      </c>
      <c r="N97" s="45"/>
      <c r="O97" s="45">
        <v>13741</v>
      </c>
      <c r="P97" s="45"/>
      <c r="Q97" s="45">
        <f>105223+73336</f>
        <v>178559</v>
      </c>
      <c r="R97" s="45"/>
      <c r="S97" s="44">
        <f t="shared" si="4"/>
        <v>377684</v>
      </c>
      <c r="T97" s="45"/>
      <c r="U97" s="45">
        <v>10785065</v>
      </c>
      <c r="V97" s="44"/>
      <c r="W97" s="45">
        <f>192500+1451420+650792</f>
        <v>2294712</v>
      </c>
    </row>
    <row r="98" spans="1:23" s="116" customFormat="1" ht="12.75" customHeight="1" x14ac:dyDescent="0.2">
      <c r="A98" s="44" t="s">
        <v>122</v>
      </c>
      <c r="C98" s="44" t="s">
        <v>43</v>
      </c>
      <c r="D98" s="35"/>
      <c r="E98" s="45">
        <v>2836665</v>
      </c>
      <c r="F98" s="45"/>
      <c r="G98" s="45">
        <v>18304508</v>
      </c>
      <c r="H98" s="45"/>
      <c r="I98" s="45">
        <f>4424227+1252822</f>
        <v>5677049</v>
      </c>
      <c r="J98" s="45"/>
      <c r="K98" s="45">
        <v>1345577</v>
      </c>
      <c r="L98" s="45"/>
      <c r="M98" s="45">
        <v>8755871</v>
      </c>
      <c r="N98" s="45"/>
      <c r="O98" s="45">
        <v>1440394</v>
      </c>
      <c r="P98" s="45"/>
      <c r="Q98" s="45">
        <f>490419+432675</f>
        <v>923094</v>
      </c>
      <c r="R98" s="45"/>
      <c r="S98" s="44">
        <f t="shared" si="4"/>
        <v>945995</v>
      </c>
      <c r="T98" s="45"/>
      <c r="U98" s="45">
        <v>40229153</v>
      </c>
      <c r="V98" s="44"/>
      <c r="W98" s="45">
        <f>36881+791297</f>
        <v>828178</v>
      </c>
    </row>
    <row r="99" spans="1:23" s="116" customFormat="1" ht="12.75" customHeight="1" x14ac:dyDescent="0.2">
      <c r="A99" s="35" t="s">
        <v>507</v>
      </c>
      <c r="B99" s="51"/>
      <c r="C99" s="35" t="s">
        <v>43</v>
      </c>
      <c r="D99" s="35"/>
      <c r="E99" s="45">
        <v>270810</v>
      </c>
      <c r="F99" s="45"/>
      <c r="G99" s="45">
        <v>7962404</v>
      </c>
      <c r="H99" s="45"/>
      <c r="I99" s="45">
        <v>47660</v>
      </c>
      <c r="J99" s="45"/>
      <c r="K99" s="45">
        <v>2249094</v>
      </c>
      <c r="L99" s="45"/>
      <c r="M99" s="45">
        <v>873157</v>
      </c>
      <c r="N99" s="45"/>
      <c r="O99" s="45">
        <v>0</v>
      </c>
      <c r="P99" s="45"/>
      <c r="Q99" s="45">
        <v>219930</v>
      </c>
      <c r="R99" s="45"/>
      <c r="S99" s="44">
        <f t="shared" si="4"/>
        <v>356286</v>
      </c>
      <c r="T99" s="45"/>
      <c r="U99" s="45">
        <v>11979341</v>
      </c>
      <c r="V99" s="44"/>
      <c r="W99" s="45">
        <f>950000+305000+8680</f>
        <v>1263680</v>
      </c>
    </row>
    <row r="100" spans="1:23" s="116" customFormat="1" ht="12.75" customHeight="1" x14ac:dyDescent="0.2">
      <c r="A100" s="44" t="s">
        <v>45</v>
      </c>
      <c r="C100" s="44" t="s">
        <v>103</v>
      </c>
      <c r="D100" s="35"/>
      <c r="E100" s="45">
        <v>8896414</v>
      </c>
      <c r="F100" s="45"/>
      <c r="G100" s="45">
        <v>21951587</v>
      </c>
      <c r="H100" s="45"/>
      <c r="I100" s="45">
        <v>0</v>
      </c>
      <c r="J100" s="45"/>
      <c r="K100" s="45">
        <v>11893521</v>
      </c>
      <c r="L100" s="45"/>
      <c r="M100" s="45">
        <v>19480722</v>
      </c>
      <c r="N100" s="45"/>
      <c r="O100" s="45">
        <v>563674</v>
      </c>
      <c r="P100" s="45"/>
      <c r="Q100" s="45">
        <f>1066910+857177</f>
        <v>1924087</v>
      </c>
      <c r="R100" s="45"/>
      <c r="S100" s="44">
        <f t="shared" si="4"/>
        <v>1062569</v>
      </c>
      <c r="T100" s="45"/>
      <c r="U100" s="45">
        <v>65772574</v>
      </c>
      <c r="V100" s="44"/>
      <c r="W100" s="45">
        <f>49451+2535000+1709955+18360000+4214964</f>
        <v>26869370</v>
      </c>
    </row>
    <row r="101" spans="1:23" s="116" customFormat="1" ht="12.75" customHeight="1" x14ac:dyDescent="0.2">
      <c r="A101" s="44" t="s">
        <v>123</v>
      </c>
      <c r="C101" s="44" t="s">
        <v>45</v>
      </c>
      <c r="D101" s="35"/>
      <c r="E101" s="45">
        <v>2470362</v>
      </c>
      <c r="F101" s="45"/>
      <c r="G101" s="45">
        <v>2878774</v>
      </c>
      <c r="H101" s="45"/>
      <c r="I101" s="45">
        <v>441506</v>
      </c>
      <c r="J101" s="45"/>
      <c r="K101" s="45">
        <v>747078</v>
      </c>
      <c r="L101" s="45"/>
      <c r="M101" s="45">
        <v>1891845</v>
      </c>
      <c r="N101" s="45"/>
      <c r="O101" s="45">
        <v>3612</v>
      </c>
      <c r="P101" s="45"/>
      <c r="Q101" s="45">
        <f>196021+197646</f>
        <v>393667</v>
      </c>
      <c r="R101" s="45"/>
      <c r="S101" s="44">
        <f t="shared" si="4"/>
        <v>234498</v>
      </c>
      <c r="T101" s="45"/>
      <c r="U101" s="45">
        <v>9061342</v>
      </c>
      <c r="V101" s="44"/>
      <c r="W101" s="45">
        <f>1754732+518185+226798</f>
        <v>2499715</v>
      </c>
    </row>
    <row r="102" spans="1:23" s="116" customFormat="1" ht="12.75" customHeight="1" x14ac:dyDescent="0.2">
      <c r="A102" s="44" t="s">
        <v>124</v>
      </c>
      <c r="C102" s="44" t="s">
        <v>125</v>
      </c>
      <c r="D102" s="35"/>
      <c r="E102" s="45">
        <v>6484185</v>
      </c>
      <c r="F102" s="45"/>
      <c r="G102" s="45">
        <v>0</v>
      </c>
      <c r="H102" s="45"/>
      <c r="I102" s="45">
        <v>0</v>
      </c>
      <c r="J102" s="45"/>
      <c r="K102" s="45">
        <v>896001</v>
      </c>
      <c r="L102" s="45"/>
      <c r="M102" s="45">
        <v>1564668</v>
      </c>
      <c r="N102" s="45"/>
      <c r="O102" s="45">
        <v>0</v>
      </c>
      <c r="P102" s="45"/>
      <c r="Q102" s="45">
        <f>39504+24697</f>
        <v>64201</v>
      </c>
      <c r="R102" s="45"/>
      <c r="S102" s="44">
        <f t="shared" si="4"/>
        <v>338624</v>
      </c>
      <c r="T102" s="45"/>
      <c r="U102" s="45">
        <v>9347679</v>
      </c>
      <c r="V102" s="44"/>
      <c r="W102" s="45">
        <f>61655+1325000+7861+1223023</f>
        <v>2617539</v>
      </c>
    </row>
    <row r="103" spans="1:23" s="116" customFormat="1" ht="12.75" customHeight="1" x14ac:dyDescent="0.2">
      <c r="A103" s="44" t="s">
        <v>126</v>
      </c>
      <c r="C103" s="44" t="s">
        <v>27</v>
      </c>
      <c r="D103" s="35"/>
      <c r="E103" s="45">
        <v>1386652</v>
      </c>
      <c r="F103" s="45"/>
      <c r="G103" s="45">
        <v>10621331</v>
      </c>
      <c r="H103" s="45"/>
      <c r="I103" s="45">
        <v>96264</v>
      </c>
      <c r="J103" s="45"/>
      <c r="K103" s="45">
        <v>630274</v>
      </c>
      <c r="L103" s="45"/>
      <c r="M103" s="45">
        <v>1596279</v>
      </c>
      <c r="N103" s="45"/>
      <c r="O103" s="45">
        <v>953192</v>
      </c>
      <c r="P103" s="45"/>
      <c r="Q103" s="45">
        <v>387155</v>
      </c>
      <c r="R103" s="45"/>
      <c r="S103" s="44">
        <f t="shared" si="4"/>
        <v>228788</v>
      </c>
      <c r="T103" s="45"/>
      <c r="U103" s="45">
        <v>15899935</v>
      </c>
      <c r="V103" s="44"/>
      <c r="W103" s="45">
        <f>5145000+164688+1204669</f>
        <v>6514357</v>
      </c>
    </row>
    <row r="104" spans="1:23" s="116" customFormat="1" ht="12.75" customHeight="1" x14ac:dyDescent="0.2">
      <c r="A104" s="44" t="s">
        <v>127</v>
      </c>
      <c r="C104" s="44" t="s">
        <v>43</v>
      </c>
      <c r="D104" s="35"/>
      <c r="E104" s="45">
        <v>1981224</v>
      </c>
      <c r="F104" s="45"/>
      <c r="G104" s="45">
        <v>17436327</v>
      </c>
      <c r="H104" s="45"/>
      <c r="I104" s="45">
        <v>2333600</v>
      </c>
      <c r="J104" s="45"/>
      <c r="K104" s="45">
        <v>4741570</v>
      </c>
      <c r="L104" s="45"/>
      <c r="M104" s="45">
        <v>7103146</v>
      </c>
      <c r="N104" s="45"/>
      <c r="O104" s="45">
        <v>0</v>
      </c>
      <c r="P104" s="45"/>
      <c r="Q104" s="45">
        <f>1183422+330873</f>
        <v>1514295</v>
      </c>
      <c r="R104" s="45"/>
      <c r="S104" s="44">
        <f t="shared" si="4"/>
        <v>613239</v>
      </c>
      <c r="T104" s="45"/>
      <c r="U104" s="45">
        <v>35723401</v>
      </c>
      <c r="V104" s="44"/>
      <c r="W104" s="45">
        <f>28398+8020000+15982+17689+392939</f>
        <v>8475008</v>
      </c>
    </row>
    <row r="105" spans="1:23" s="116" customFormat="1" ht="12.75" customHeight="1" x14ac:dyDescent="0.2">
      <c r="A105" s="44" t="s">
        <v>128</v>
      </c>
      <c r="C105" s="44" t="s">
        <v>119</v>
      </c>
      <c r="D105" s="35"/>
      <c r="E105" s="45">
        <v>3754986</v>
      </c>
      <c r="F105" s="45"/>
      <c r="G105" s="45">
        <v>0</v>
      </c>
      <c r="H105" s="45"/>
      <c r="I105" s="45">
        <v>0</v>
      </c>
      <c r="J105" s="45"/>
      <c r="K105" s="45">
        <v>613335</v>
      </c>
      <c r="L105" s="45"/>
      <c r="M105" s="45">
        <v>920845</v>
      </c>
      <c r="N105" s="45"/>
      <c r="O105" s="45">
        <v>0</v>
      </c>
      <c r="P105" s="45"/>
      <c r="Q105" s="45">
        <f>84464+325195</f>
        <v>409659</v>
      </c>
      <c r="R105" s="45"/>
      <c r="S105" s="44">
        <f t="shared" si="4"/>
        <v>117711</v>
      </c>
      <c r="T105" s="45"/>
      <c r="U105" s="45">
        <v>5816536</v>
      </c>
      <c r="V105" s="44"/>
      <c r="W105" s="45">
        <f>855229+5000+12413</f>
        <v>872642</v>
      </c>
    </row>
    <row r="106" spans="1:23" s="116" customFormat="1" ht="12.75" customHeight="1" x14ac:dyDescent="0.2">
      <c r="A106" s="44" t="s">
        <v>129</v>
      </c>
      <c r="C106" s="44" t="s">
        <v>80</v>
      </c>
      <c r="D106" s="35"/>
      <c r="E106" s="45">
        <v>325761</v>
      </c>
      <c r="F106" s="45"/>
      <c r="G106" s="45">
        <v>2045305</v>
      </c>
      <c r="H106" s="45"/>
      <c r="I106" s="45">
        <v>0</v>
      </c>
      <c r="J106" s="45"/>
      <c r="K106" s="45">
        <v>3287</v>
      </c>
      <c r="L106" s="45"/>
      <c r="M106" s="45">
        <v>1250311</v>
      </c>
      <c r="N106" s="45"/>
      <c r="O106" s="45">
        <v>0</v>
      </c>
      <c r="P106" s="45"/>
      <c r="Q106" s="45">
        <f>109361+21885</f>
        <v>131246</v>
      </c>
      <c r="R106" s="45"/>
      <c r="S106" s="44">
        <f t="shared" si="4"/>
        <v>124724</v>
      </c>
      <c r="T106" s="45"/>
      <c r="U106" s="45">
        <v>3880634</v>
      </c>
      <c r="V106" s="44"/>
      <c r="W106" s="45">
        <v>858489</v>
      </c>
    </row>
    <row r="107" spans="1:23" s="116" customFormat="1" ht="12.75" customHeight="1" x14ac:dyDescent="0.2">
      <c r="A107" s="44" t="s">
        <v>130</v>
      </c>
      <c r="B107" s="118"/>
      <c r="C107" s="44" t="s">
        <v>66</v>
      </c>
      <c r="D107" s="35"/>
      <c r="E107" s="45">
        <v>15391298</v>
      </c>
      <c r="F107" s="45"/>
      <c r="G107" s="45">
        <v>0</v>
      </c>
      <c r="H107" s="45"/>
      <c r="I107" s="45">
        <v>1313072</v>
      </c>
      <c r="J107" s="45"/>
      <c r="K107" s="45">
        <v>1566884</v>
      </c>
      <c r="L107" s="45"/>
      <c r="M107" s="45">
        <v>4674491</v>
      </c>
      <c r="N107" s="45"/>
      <c r="O107" s="45">
        <v>858502</v>
      </c>
      <c r="P107" s="45"/>
      <c r="Q107" s="45">
        <v>717250</v>
      </c>
      <c r="R107" s="45"/>
      <c r="S107" s="44">
        <f t="shared" si="4"/>
        <v>1249188</v>
      </c>
      <c r="T107" s="45"/>
      <c r="U107" s="45">
        <v>25770685</v>
      </c>
      <c r="V107" s="44"/>
      <c r="W107" s="45">
        <f>1839+8263028</f>
        <v>8264867</v>
      </c>
    </row>
    <row r="108" spans="1:23" s="116" customFormat="1" ht="12.75" customHeight="1" x14ac:dyDescent="0.2">
      <c r="A108" s="44" t="s">
        <v>131</v>
      </c>
      <c r="C108" s="44" t="s">
        <v>13</v>
      </c>
      <c r="D108" s="35"/>
      <c r="E108" s="45">
        <v>4638581</v>
      </c>
      <c r="F108" s="45"/>
      <c r="G108" s="45">
        <v>16687811</v>
      </c>
      <c r="H108" s="45"/>
      <c r="I108" s="45">
        <v>0</v>
      </c>
      <c r="J108" s="45"/>
      <c r="K108" s="45">
        <v>1324507</v>
      </c>
      <c r="L108" s="45"/>
      <c r="M108" s="45">
        <v>5992898</v>
      </c>
      <c r="N108" s="45"/>
      <c r="O108" s="45">
        <v>325369</v>
      </c>
      <c r="P108" s="45"/>
      <c r="Q108" s="45">
        <v>56616</v>
      </c>
      <c r="R108" s="45"/>
      <c r="S108" s="44">
        <f t="shared" si="4"/>
        <v>825662</v>
      </c>
      <c r="T108" s="45"/>
      <c r="U108" s="45">
        <v>29851444</v>
      </c>
      <c r="V108" s="44"/>
      <c r="W108" s="45">
        <f>24220+5073546+8390000+234158+7628</f>
        <v>13729552</v>
      </c>
    </row>
    <row r="109" spans="1:23" s="116" customFormat="1" ht="12.75" customHeight="1" x14ac:dyDescent="0.2">
      <c r="A109" s="44" t="s">
        <v>38</v>
      </c>
      <c r="C109" s="44" t="s">
        <v>132</v>
      </c>
      <c r="D109" s="35"/>
      <c r="E109" s="45">
        <v>791222</v>
      </c>
      <c r="F109" s="45"/>
      <c r="G109" s="45">
        <v>2319601</v>
      </c>
      <c r="H109" s="45"/>
      <c r="I109" s="45">
        <v>20318</v>
      </c>
      <c r="J109" s="45"/>
      <c r="K109" s="45">
        <v>1273744</v>
      </c>
      <c r="L109" s="45"/>
      <c r="M109" s="45">
        <v>2743072</v>
      </c>
      <c r="N109" s="45"/>
      <c r="O109" s="45">
        <v>191861</v>
      </c>
      <c r="P109" s="45"/>
      <c r="Q109" s="45">
        <f>113749+350712</f>
        <v>464461</v>
      </c>
      <c r="R109" s="45"/>
      <c r="S109" s="44">
        <f t="shared" si="4"/>
        <v>185863</v>
      </c>
      <c r="T109" s="45"/>
      <c r="U109" s="45">
        <v>7990142</v>
      </c>
      <c r="V109" s="44"/>
      <c r="W109" s="45">
        <f>895000+195971+4226+1939497</f>
        <v>3034694</v>
      </c>
    </row>
    <row r="110" spans="1:23" s="116" customFormat="1" ht="12.75" customHeight="1" x14ac:dyDescent="0.2">
      <c r="A110" s="44" t="s">
        <v>133</v>
      </c>
      <c r="C110" s="44" t="s">
        <v>27</v>
      </c>
      <c r="D110" s="35"/>
      <c r="E110" s="45">
        <v>1157543</v>
      </c>
      <c r="F110" s="45"/>
      <c r="G110" s="45">
        <v>23414008</v>
      </c>
      <c r="H110" s="45"/>
      <c r="I110" s="45">
        <f>4786175+1072995+8268+1388145</f>
        <v>7255583</v>
      </c>
      <c r="J110" s="45"/>
      <c r="K110" s="45">
        <v>275753</v>
      </c>
      <c r="L110" s="45"/>
      <c r="M110" s="45">
        <v>1453994</v>
      </c>
      <c r="N110" s="45"/>
      <c r="O110" s="45">
        <v>51439</v>
      </c>
      <c r="P110" s="45"/>
      <c r="Q110" s="45">
        <f>674082+320814</f>
        <v>994896</v>
      </c>
      <c r="R110" s="45"/>
      <c r="S110" s="44">
        <f t="shared" si="4"/>
        <v>847101</v>
      </c>
      <c r="T110" s="45"/>
      <c r="U110" s="45">
        <v>35450317</v>
      </c>
      <c r="V110" s="44"/>
      <c r="W110" s="45">
        <f>7100000+82573+16935000+959129+225000+9668+8375800</f>
        <v>33687170</v>
      </c>
    </row>
    <row r="111" spans="1:23" s="116" customFormat="1" ht="12.75" customHeight="1" x14ac:dyDescent="0.2">
      <c r="A111" s="44" t="s">
        <v>482</v>
      </c>
      <c r="C111" s="44" t="s">
        <v>45</v>
      </c>
      <c r="D111" s="35"/>
      <c r="E111" s="45">
        <v>813785</v>
      </c>
      <c r="F111" s="45"/>
      <c r="G111" s="45">
        <v>5685073</v>
      </c>
      <c r="H111" s="45"/>
      <c r="I111" s="45">
        <v>0</v>
      </c>
      <c r="J111" s="45"/>
      <c r="K111" s="45">
        <v>465029</v>
      </c>
      <c r="L111" s="45"/>
      <c r="M111" s="45">
        <v>6168284</v>
      </c>
      <c r="N111" s="45"/>
      <c r="O111" s="45">
        <v>0</v>
      </c>
      <c r="P111" s="45"/>
      <c r="Q111" s="45">
        <f>400+39351</f>
        <v>39751</v>
      </c>
      <c r="R111" s="45"/>
      <c r="S111" s="44">
        <f t="shared" si="4"/>
        <v>860166</v>
      </c>
      <c r="T111" s="45"/>
      <c r="U111" s="45">
        <v>14032088</v>
      </c>
      <c r="V111" s="44"/>
      <c r="W111" s="45">
        <v>1531978</v>
      </c>
    </row>
    <row r="112" spans="1:23" s="116" customFormat="1" ht="12.75" customHeight="1" x14ac:dyDescent="0.2">
      <c r="A112" s="35" t="s">
        <v>134</v>
      </c>
      <c r="B112" s="55"/>
      <c r="C112" s="35" t="s">
        <v>135</v>
      </c>
      <c r="D112" s="35"/>
      <c r="E112" s="45">
        <v>2623987</v>
      </c>
      <c r="F112" s="45"/>
      <c r="G112" s="45">
        <v>0</v>
      </c>
      <c r="H112" s="45"/>
      <c r="I112" s="45">
        <v>0</v>
      </c>
      <c r="J112" s="45"/>
      <c r="K112" s="45">
        <v>1232138</v>
      </c>
      <c r="L112" s="45"/>
      <c r="M112" s="45">
        <v>2164581</v>
      </c>
      <c r="N112" s="45"/>
      <c r="O112" s="45">
        <v>3994</v>
      </c>
      <c r="P112" s="45"/>
      <c r="Q112" s="45">
        <f>444342+78950</f>
        <v>523292</v>
      </c>
      <c r="R112" s="45"/>
      <c r="S112" s="44">
        <f t="shared" si="4"/>
        <v>354037</v>
      </c>
      <c r="T112" s="45"/>
      <c r="U112" s="45">
        <v>6902029</v>
      </c>
      <c r="V112" s="44"/>
      <c r="W112" s="45">
        <f>39835+93000+4425478+1588829</f>
        <v>6147142</v>
      </c>
    </row>
    <row r="113" spans="1:23" s="116" customFormat="1" ht="12.75" customHeight="1" x14ac:dyDescent="0.2">
      <c r="A113" s="44" t="s">
        <v>136</v>
      </c>
      <c r="C113" s="44" t="s">
        <v>136</v>
      </c>
      <c r="D113" s="35"/>
      <c r="E113" s="45">
        <v>1415230</v>
      </c>
      <c r="F113" s="45"/>
      <c r="G113" s="45">
        <v>0</v>
      </c>
      <c r="H113" s="45"/>
      <c r="I113" s="45">
        <v>0</v>
      </c>
      <c r="J113" s="45"/>
      <c r="K113" s="45">
        <v>2021259</v>
      </c>
      <c r="L113" s="45"/>
      <c r="M113" s="45">
        <v>1200254</v>
      </c>
      <c r="N113" s="45"/>
      <c r="O113" s="45">
        <v>0</v>
      </c>
      <c r="P113" s="45"/>
      <c r="Q113" s="45">
        <f>50315+93666</f>
        <v>143981</v>
      </c>
      <c r="R113" s="45"/>
      <c r="S113" s="44">
        <f t="shared" si="4"/>
        <v>303159</v>
      </c>
      <c r="T113" s="45"/>
      <c r="U113" s="45">
        <v>5083883</v>
      </c>
      <c r="V113" s="44"/>
      <c r="W113" s="45">
        <v>422476</v>
      </c>
    </row>
    <row r="114" spans="1:23" s="116" customFormat="1" ht="12.75" customHeight="1" x14ac:dyDescent="0.2">
      <c r="A114" s="44" t="s">
        <v>137</v>
      </c>
      <c r="C114" s="44" t="s">
        <v>22</v>
      </c>
      <c r="D114" s="35"/>
      <c r="E114" s="45">
        <v>3252122</v>
      </c>
      <c r="F114" s="45"/>
      <c r="G114" s="45">
        <v>10785019</v>
      </c>
      <c r="H114" s="45"/>
      <c r="I114" s="45">
        <v>0</v>
      </c>
      <c r="J114" s="45"/>
      <c r="K114" s="45">
        <v>1815145</v>
      </c>
      <c r="L114" s="45"/>
      <c r="M114" s="45">
        <v>6694046</v>
      </c>
      <c r="N114" s="45"/>
      <c r="O114" s="45">
        <v>154563</v>
      </c>
      <c r="P114" s="45"/>
      <c r="Q114" s="45">
        <f>737262+182599</f>
        <v>919861</v>
      </c>
      <c r="R114" s="45"/>
      <c r="S114" s="44">
        <f t="shared" si="4"/>
        <v>401999</v>
      </c>
      <c r="T114" s="45"/>
      <c r="U114" s="45">
        <v>24022755</v>
      </c>
      <c r="V114" s="44"/>
      <c r="W114" s="45">
        <f>5741+268522</f>
        <v>274263</v>
      </c>
    </row>
    <row r="115" spans="1:23" s="134" customFormat="1" ht="12.75" hidden="1" customHeight="1" x14ac:dyDescent="0.2">
      <c r="A115" s="121" t="s">
        <v>138</v>
      </c>
      <c r="C115" s="121" t="s">
        <v>139</v>
      </c>
      <c r="D115" s="126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4">
        <f t="shared" si="4"/>
        <v>0</v>
      </c>
      <c r="T115" s="45"/>
      <c r="U115" s="45"/>
      <c r="V115" s="44"/>
      <c r="W115" s="45"/>
    </row>
    <row r="116" spans="1:23" s="116" customFormat="1" ht="12.75" customHeight="1" x14ac:dyDescent="0.2">
      <c r="A116" s="44" t="s">
        <v>140</v>
      </c>
      <c r="C116" s="44" t="s">
        <v>66</v>
      </c>
      <c r="D116" s="35"/>
      <c r="E116" s="45">
        <v>8970024</v>
      </c>
      <c r="F116" s="45"/>
      <c r="G116" s="45">
        <v>37392845</v>
      </c>
      <c r="H116" s="45"/>
      <c r="I116" s="45">
        <v>0</v>
      </c>
      <c r="J116" s="45"/>
      <c r="K116" s="45">
        <v>8352103</v>
      </c>
      <c r="L116" s="45"/>
      <c r="M116" s="45">
        <v>20011549</v>
      </c>
      <c r="N116" s="45"/>
      <c r="O116" s="45">
        <v>924751</v>
      </c>
      <c r="P116" s="45"/>
      <c r="Q116" s="45">
        <f>459696+1828209</f>
        <v>2287905</v>
      </c>
      <c r="R116" s="45"/>
      <c r="S116" s="44">
        <f t="shared" si="4"/>
        <v>3334854</v>
      </c>
      <c r="T116" s="45"/>
      <c r="U116" s="45">
        <v>81274031</v>
      </c>
      <c r="V116" s="44"/>
      <c r="W116" s="45">
        <f>10508166+120426</f>
        <v>10628592</v>
      </c>
    </row>
    <row r="117" spans="1:23" s="116" customFormat="1" ht="12.75" customHeight="1" x14ac:dyDescent="0.2">
      <c r="A117" s="44" t="s">
        <v>479</v>
      </c>
      <c r="C117" s="44" t="s">
        <v>92</v>
      </c>
      <c r="D117" s="35"/>
      <c r="E117" s="45">
        <v>1615040</v>
      </c>
      <c r="F117" s="45"/>
      <c r="G117" s="45">
        <v>3017196</v>
      </c>
      <c r="H117" s="45"/>
      <c r="I117" s="45">
        <v>0</v>
      </c>
      <c r="J117" s="45"/>
      <c r="K117" s="45">
        <v>305869</v>
      </c>
      <c r="L117" s="45"/>
      <c r="M117" s="45">
        <v>1916984</v>
      </c>
      <c r="N117" s="45"/>
      <c r="O117" s="45">
        <v>0</v>
      </c>
      <c r="P117" s="45"/>
      <c r="Q117" s="45">
        <f>18365+68232</f>
        <v>86597</v>
      </c>
      <c r="R117" s="45"/>
      <c r="S117" s="44">
        <f t="shared" si="4"/>
        <v>300379</v>
      </c>
      <c r="T117" s="45"/>
      <c r="U117" s="45">
        <v>7242065</v>
      </c>
      <c r="V117" s="44"/>
      <c r="W117" s="45">
        <f>29688+60000+1215000+403614</f>
        <v>1708302</v>
      </c>
    </row>
    <row r="118" spans="1:23" s="116" customFormat="1" ht="12.75" customHeight="1" x14ac:dyDescent="0.2">
      <c r="A118" s="44" t="s">
        <v>471</v>
      </c>
      <c r="C118" s="44"/>
      <c r="D118" s="3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4"/>
      <c r="T118" s="45"/>
      <c r="U118" s="45"/>
      <c r="V118" s="44"/>
      <c r="W118" s="48" t="s">
        <v>484</v>
      </c>
    </row>
    <row r="119" spans="1:23" s="116" customFormat="1" ht="12.75" customHeight="1" x14ac:dyDescent="0.2">
      <c r="A119" s="44" t="s">
        <v>141</v>
      </c>
      <c r="C119" s="44" t="s">
        <v>27</v>
      </c>
      <c r="D119" s="35"/>
      <c r="E119" s="94">
        <v>12041503</v>
      </c>
      <c r="F119" s="94"/>
      <c r="G119" s="94">
        <v>18766179</v>
      </c>
      <c r="H119" s="94"/>
      <c r="I119" s="94">
        <v>328790</v>
      </c>
      <c r="J119" s="94"/>
      <c r="K119" s="94">
        <v>4036644</v>
      </c>
      <c r="L119" s="94"/>
      <c r="M119" s="94">
        <v>11984530</v>
      </c>
      <c r="N119" s="94"/>
      <c r="O119" s="94">
        <v>4360</v>
      </c>
      <c r="P119" s="94"/>
      <c r="Q119" s="94">
        <f>1630554+1814547</f>
        <v>3445101</v>
      </c>
      <c r="R119" s="94"/>
      <c r="S119" s="46">
        <f t="shared" si="4"/>
        <v>833405</v>
      </c>
      <c r="T119" s="94"/>
      <c r="U119" s="94">
        <v>51440512</v>
      </c>
      <c r="V119" s="46"/>
      <c r="W119" s="94">
        <f>10845268+1948000+62105+25308+1487326+2777968</f>
        <v>17145975</v>
      </c>
    </row>
    <row r="120" spans="1:23" s="116" customFormat="1" ht="12.75" customHeight="1" x14ac:dyDescent="0.2">
      <c r="A120" s="44" t="s">
        <v>142</v>
      </c>
      <c r="C120" s="44" t="s">
        <v>102</v>
      </c>
      <c r="D120" s="35"/>
      <c r="E120" s="45">
        <v>19653652</v>
      </c>
      <c r="F120" s="45"/>
      <c r="G120" s="45">
        <v>0</v>
      </c>
      <c r="H120" s="45"/>
      <c r="I120" s="45">
        <v>0</v>
      </c>
      <c r="J120" s="45"/>
      <c r="K120" s="45">
        <v>4110825</v>
      </c>
      <c r="L120" s="45"/>
      <c r="M120" s="45">
        <v>8205296</v>
      </c>
      <c r="N120" s="45"/>
      <c r="O120" s="45">
        <v>140063</v>
      </c>
      <c r="P120" s="45"/>
      <c r="Q120" s="45">
        <f>24320+2071956</f>
        <v>2096276</v>
      </c>
      <c r="R120" s="45"/>
      <c r="S120" s="44">
        <f t="shared" si="4"/>
        <v>753053</v>
      </c>
      <c r="T120" s="45"/>
      <c r="U120" s="45">
        <v>34959165</v>
      </c>
      <c r="V120" s="44"/>
      <c r="W120" s="45">
        <f>61428+199141+1267822</f>
        <v>1528391</v>
      </c>
    </row>
    <row r="121" spans="1:23" s="116" customFormat="1" ht="12.75" customHeight="1" x14ac:dyDescent="0.2">
      <c r="A121" s="44" t="s">
        <v>143</v>
      </c>
      <c r="C121" s="44" t="s">
        <v>111</v>
      </c>
      <c r="D121" s="35"/>
      <c r="E121" s="45">
        <v>3377780</v>
      </c>
      <c r="F121" s="45"/>
      <c r="G121" s="45">
        <v>5463788</v>
      </c>
      <c r="H121" s="45"/>
      <c r="I121" s="45">
        <f>1245646+1428970</f>
        <v>2674616</v>
      </c>
      <c r="J121" s="45"/>
      <c r="K121" s="45">
        <v>2309288</v>
      </c>
      <c r="L121" s="45"/>
      <c r="M121" s="45">
        <v>2932834</v>
      </c>
      <c r="N121" s="45"/>
      <c r="O121" s="45">
        <v>112287</v>
      </c>
      <c r="P121" s="45"/>
      <c r="Q121" s="45">
        <v>788547</v>
      </c>
      <c r="R121" s="45"/>
      <c r="S121" s="44">
        <f t="shared" si="4"/>
        <v>141217</v>
      </c>
      <c r="T121" s="45"/>
      <c r="U121" s="45">
        <v>17800357</v>
      </c>
      <c r="V121" s="44"/>
      <c r="W121" s="45">
        <f>37825+433620</f>
        <v>471445</v>
      </c>
    </row>
    <row r="122" spans="1:23" s="116" customFormat="1" ht="12.75" customHeight="1" x14ac:dyDescent="0.2">
      <c r="A122" s="44" t="s">
        <v>144</v>
      </c>
      <c r="C122" s="44" t="s">
        <v>88</v>
      </c>
      <c r="D122" s="35"/>
      <c r="E122" s="45">
        <v>1237398</v>
      </c>
      <c r="F122" s="45"/>
      <c r="G122" s="45">
        <v>15129368</v>
      </c>
      <c r="H122" s="45"/>
      <c r="I122" s="45">
        <v>179510</v>
      </c>
      <c r="J122" s="45"/>
      <c r="K122" s="45">
        <v>6336270</v>
      </c>
      <c r="L122" s="45"/>
      <c r="M122" s="45">
        <v>15749221</v>
      </c>
      <c r="N122" s="45"/>
      <c r="O122" s="45">
        <v>77910</v>
      </c>
      <c r="P122" s="45"/>
      <c r="Q122" s="45">
        <f>975678+1517933</f>
        <v>2493611</v>
      </c>
      <c r="R122" s="45"/>
      <c r="S122" s="44">
        <f t="shared" si="4"/>
        <v>787236</v>
      </c>
      <c r="T122" s="45"/>
      <c r="U122" s="45">
        <v>41990524</v>
      </c>
      <c r="V122" s="44"/>
      <c r="W122" s="45">
        <f>1060000+25726+54043+4850+247173</f>
        <v>1391792</v>
      </c>
    </row>
    <row r="123" spans="1:23" s="116" customFormat="1" ht="12.75" customHeight="1" x14ac:dyDescent="0.2">
      <c r="A123" s="44" t="s">
        <v>36</v>
      </c>
      <c r="C123" s="44" t="s">
        <v>145</v>
      </c>
      <c r="D123" s="35"/>
      <c r="E123" s="45">
        <v>458535</v>
      </c>
      <c r="F123" s="45"/>
      <c r="G123" s="45">
        <v>2724284</v>
      </c>
      <c r="H123" s="45"/>
      <c r="I123" s="45">
        <v>0</v>
      </c>
      <c r="J123" s="45"/>
      <c r="K123" s="45">
        <v>327214</v>
      </c>
      <c r="L123" s="45"/>
      <c r="M123" s="45">
        <v>1565468</v>
      </c>
      <c r="N123" s="45"/>
      <c r="O123" s="45">
        <v>0</v>
      </c>
      <c r="P123" s="45"/>
      <c r="Q123" s="45">
        <v>58060</v>
      </c>
      <c r="R123" s="45"/>
      <c r="S123" s="44">
        <f t="shared" si="4"/>
        <v>80264</v>
      </c>
      <c r="T123" s="45"/>
      <c r="U123" s="45">
        <v>5213825</v>
      </c>
      <c r="V123" s="44"/>
      <c r="W123" s="45">
        <f>20000+93990</f>
        <v>113990</v>
      </c>
    </row>
    <row r="124" spans="1:23" s="116" customFormat="1" ht="12.75" customHeight="1" x14ac:dyDescent="0.2">
      <c r="A124" s="44" t="s">
        <v>146</v>
      </c>
      <c r="C124" s="44" t="s">
        <v>147</v>
      </c>
      <c r="D124" s="35"/>
      <c r="E124" s="45">
        <v>4530702</v>
      </c>
      <c r="F124" s="45"/>
      <c r="G124" s="45">
        <v>0</v>
      </c>
      <c r="H124" s="45"/>
      <c r="I124" s="45">
        <v>0</v>
      </c>
      <c r="J124" s="45"/>
      <c r="K124" s="45">
        <v>304384</v>
      </c>
      <c r="L124" s="45"/>
      <c r="M124" s="45">
        <v>1261379</v>
      </c>
      <c r="N124" s="45"/>
      <c r="O124" s="45">
        <v>61341</v>
      </c>
      <c r="P124" s="45"/>
      <c r="Q124" s="45">
        <v>219760</v>
      </c>
      <c r="R124" s="45"/>
      <c r="S124" s="44">
        <f t="shared" si="4"/>
        <v>53389</v>
      </c>
      <c r="T124" s="45"/>
      <c r="U124" s="45">
        <v>6430955</v>
      </c>
      <c r="V124" s="44"/>
      <c r="W124" s="45">
        <f>3029000+434112</f>
        <v>3463112</v>
      </c>
    </row>
    <row r="125" spans="1:23" s="116" customFormat="1" ht="12.75" customHeight="1" x14ac:dyDescent="0.2">
      <c r="A125" s="44" t="s">
        <v>17</v>
      </c>
      <c r="C125" s="44" t="s">
        <v>17</v>
      </c>
      <c r="D125" s="35"/>
      <c r="E125" s="45">
        <v>3291509</v>
      </c>
      <c r="F125" s="45"/>
      <c r="G125" s="45">
        <v>19080666</v>
      </c>
      <c r="H125" s="45"/>
      <c r="I125" s="45">
        <v>747569</v>
      </c>
      <c r="J125" s="45"/>
      <c r="K125" s="45">
        <v>2015313</v>
      </c>
      <c r="L125" s="45"/>
      <c r="M125" s="45">
        <v>15294309</v>
      </c>
      <c r="N125" s="45"/>
      <c r="O125" s="45">
        <v>43949</v>
      </c>
      <c r="P125" s="45"/>
      <c r="Q125" s="45">
        <f>1107550+2001966</f>
        <v>3109516</v>
      </c>
      <c r="R125" s="45"/>
      <c r="S125" s="44">
        <f t="shared" si="4"/>
        <v>1286232</v>
      </c>
      <c r="T125" s="45"/>
      <c r="U125" s="45">
        <v>44869063</v>
      </c>
      <c r="V125" s="44"/>
      <c r="W125" s="45">
        <f>450740+1010000+2074175+991510+2107462</f>
        <v>6633887</v>
      </c>
    </row>
    <row r="126" spans="1:23" s="116" customFormat="1" ht="12.75" customHeight="1" x14ac:dyDescent="0.2">
      <c r="A126" s="44" t="s">
        <v>148</v>
      </c>
      <c r="C126" s="44" t="s">
        <v>15</v>
      </c>
      <c r="D126" s="35"/>
      <c r="E126" s="45">
        <v>467592</v>
      </c>
      <c r="F126" s="45"/>
      <c r="G126" s="45">
        <v>2491850</v>
      </c>
      <c r="H126" s="45"/>
      <c r="I126" s="45">
        <v>0</v>
      </c>
      <c r="J126" s="45"/>
      <c r="K126" s="45">
        <v>558729</v>
      </c>
      <c r="L126" s="45"/>
      <c r="M126" s="45">
        <v>1721226</v>
      </c>
      <c r="N126" s="45"/>
      <c r="O126" s="45">
        <v>0</v>
      </c>
      <c r="P126" s="45"/>
      <c r="Q126" s="45">
        <f>119316+18228</f>
        <v>137544</v>
      </c>
      <c r="R126" s="45"/>
      <c r="S126" s="44">
        <f t="shared" si="4"/>
        <v>104300</v>
      </c>
      <c r="T126" s="45"/>
      <c r="U126" s="45">
        <v>5481241</v>
      </c>
      <c r="V126" s="44"/>
      <c r="W126" s="45">
        <v>449260</v>
      </c>
    </row>
    <row r="127" spans="1:23" s="116" customFormat="1" ht="12.75" customHeight="1" x14ac:dyDescent="0.2">
      <c r="A127" s="44" t="s">
        <v>149</v>
      </c>
      <c r="C127" s="44" t="s">
        <v>45</v>
      </c>
      <c r="D127" s="35"/>
      <c r="E127" s="45">
        <v>2720526</v>
      </c>
      <c r="F127" s="45"/>
      <c r="G127" s="45">
        <v>3447047</v>
      </c>
      <c r="H127" s="45"/>
      <c r="I127" s="45">
        <v>0</v>
      </c>
      <c r="J127" s="45"/>
      <c r="K127" s="45">
        <v>650017</v>
      </c>
      <c r="L127" s="45"/>
      <c r="M127" s="45">
        <v>1577254</v>
      </c>
      <c r="N127" s="45"/>
      <c r="O127" s="45">
        <v>81369</v>
      </c>
      <c r="P127" s="45"/>
      <c r="Q127" s="45">
        <f>129146+307596</f>
        <v>436742</v>
      </c>
      <c r="R127" s="45"/>
      <c r="S127" s="44">
        <f t="shared" si="4"/>
        <v>426196</v>
      </c>
      <c r="T127" s="45"/>
      <c r="U127" s="45">
        <v>9339151</v>
      </c>
      <c r="V127" s="44"/>
      <c r="W127" s="45">
        <f>11400+1700000+946651</f>
        <v>2658051</v>
      </c>
    </row>
    <row r="128" spans="1:23" s="117" customFormat="1" ht="12.75" customHeight="1" x14ac:dyDescent="0.2">
      <c r="A128" s="44" t="s">
        <v>150</v>
      </c>
      <c r="B128" s="116"/>
      <c r="C128" s="44" t="s">
        <v>27</v>
      </c>
      <c r="D128" s="35"/>
      <c r="E128" s="45">
        <v>4336218</v>
      </c>
      <c r="F128" s="45"/>
      <c r="G128" s="45">
        <v>6378950</v>
      </c>
      <c r="H128" s="45"/>
      <c r="I128" s="45">
        <v>144493</v>
      </c>
      <c r="J128" s="45"/>
      <c r="K128" s="45">
        <v>661201</v>
      </c>
      <c r="L128" s="45"/>
      <c r="M128" s="45">
        <v>5024350</v>
      </c>
      <c r="N128" s="45"/>
      <c r="O128" s="45">
        <v>1010008</v>
      </c>
      <c r="P128" s="45"/>
      <c r="Q128" s="45">
        <f>1638415+38675</f>
        <v>1677090</v>
      </c>
      <c r="R128" s="45"/>
      <c r="S128" s="44">
        <f t="shared" si="4"/>
        <v>297716</v>
      </c>
      <c r="T128" s="45"/>
      <c r="U128" s="45">
        <v>19530026</v>
      </c>
      <c r="V128" s="44"/>
      <c r="W128" s="45">
        <f>42714+750000+1715735</f>
        <v>2508449</v>
      </c>
    </row>
    <row r="129" spans="1:24" s="116" customFormat="1" ht="12.75" customHeight="1" x14ac:dyDescent="0.2">
      <c r="A129" s="44" t="s">
        <v>151</v>
      </c>
      <c r="C129" s="44" t="s">
        <v>13</v>
      </c>
      <c r="D129" s="35"/>
      <c r="E129" s="45">
        <v>2103190</v>
      </c>
      <c r="F129" s="45"/>
      <c r="G129" s="45">
        <v>6785933</v>
      </c>
      <c r="H129" s="45"/>
      <c r="I129" s="45">
        <v>410336</v>
      </c>
      <c r="J129" s="45"/>
      <c r="K129" s="45">
        <v>1639483</v>
      </c>
      <c r="L129" s="45"/>
      <c r="M129" s="45">
        <v>2774483</v>
      </c>
      <c r="N129" s="45"/>
      <c r="O129" s="45">
        <v>388722</v>
      </c>
      <c r="P129" s="45"/>
      <c r="Q129" s="45">
        <f>284482+442757</f>
        <v>727239</v>
      </c>
      <c r="R129" s="45"/>
      <c r="S129" s="44">
        <f t="shared" si="4"/>
        <v>707627</v>
      </c>
      <c r="T129" s="45"/>
      <c r="U129" s="45">
        <v>15537013</v>
      </c>
      <c r="V129" s="44"/>
      <c r="W129" s="45">
        <v>1899513</v>
      </c>
    </row>
    <row r="130" spans="1:24" s="134" customFormat="1" ht="12.75" hidden="1" customHeight="1" x14ac:dyDescent="0.2">
      <c r="A130" s="121" t="s">
        <v>481</v>
      </c>
      <c r="C130" s="121" t="s">
        <v>45</v>
      </c>
      <c r="D130" s="126"/>
      <c r="E130" s="127">
        <v>4392203</v>
      </c>
      <c r="F130" s="127"/>
      <c r="G130" s="127">
        <v>0</v>
      </c>
      <c r="H130" s="127"/>
      <c r="I130" s="127">
        <v>0</v>
      </c>
      <c r="J130" s="127"/>
      <c r="K130" s="127">
        <v>116944</v>
      </c>
      <c r="L130" s="127"/>
      <c r="M130" s="127">
        <v>1472421</v>
      </c>
      <c r="N130" s="127"/>
      <c r="O130" s="127">
        <v>0</v>
      </c>
      <c r="P130" s="127"/>
      <c r="Q130" s="127">
        <f>78967+123473</f>
        <v>202440</v>
      </c>
      <c r="R130" s="127"/>
      <c r="S130" s="121">
        <f t="shared" si="4"/>
        <v>346027</v>
      </c>
      <c r="T130" s="127"/>
      <c r="U130" s="127">
        <v>6530035</v>
      </c>
      <c r="V130" s="121"/>
      <c r="W130" s="127">
        <v>148762</v>
      </c>
      <c r="X130" s="121" t="s">
        <v>502</v>
      </c>
    </row>
    <row r="131" spans="1:24" s="118" customFormat="1" ht="12.75" customHeight="1" x14ac:dyDescent="0.2">
      <c r="A131" s="44" t="s">
        <v>152</v>
      </c>
      <c r="B131" s="116"/>
      <c r="C131" s="44" t="s">
        <v>153</v>
      </c>
      <c r="D131" s="35"/>
      <c r="E131" s="45">
        <v>1994249</v>
      </c>
      <c r="F131" s="45"/>
      <c r="G131" s="45">
        <v>22716085</v>
      </c>
      <c r="H131" s="45"/>
      <c r="I131" s="45">
        <v>0</v>
      </c>
      <c r="J131" s="45"/>
      <c r="K131" s="45">
        <v>1884773</v>
      </c>
      <c r="L131" s="45"/>
      <c r="M131" s="45">
        <v>13815591</v>
      </c>
      <c r="N131" s="45"/>
      <c r="O131" s="45">
        <v>31769</v>
      </c>
      <c r="P131" s="45"/>
      <c r="Q131" s="45">
        <f>1059463+2508701</f>
        <v>3568164</v>
      </c>
      <c r="R131" s="45"/>
      <c r="S131" s="44">
        <f t="shared" si="4"/>
        <v>468346</v>
      </c>
      <c r="T131" s="45"/>
      <c r="U131" s="45">
        <v>44478977</v>
      </c>
      <c r="V131" s="44"/>
      <c r="W131" s="45">
        <f>225027+596240</f>
        <v>821267</v>
      </c>
    </row>
    <row r="132" spans="1:24" s="116" customFormat="1" ht="12.75" customHeight="1" x14ac:dyDescent="0.2">
      <c r="A132" s="44" t="s">
        <v>154</v>
      </c>
      <c r="C132" s="44" t="s">
        <v>27</v>
      </c>
      <c r="D132" s="35"/>
      <c r="E132" s="45">
        <v>5154222</v>
      </c>
      <c r="F132" s="45"/>
      <c r="G132" s="45">
        <v>7245712</v>
      </c>
      <c r="H132" s="45"/>
      <c r="I132" s="45">
        <v>0</v>
      </c>
      <c r="J132" s="45"/>
      <c r="K132" s="45">
        <v>1516761</v>
      </c>
      <c r="L132" s="45"/>
      <c r="M132" s="45">
        <v>4470317</v>
      </c>
      <c r="N132" s="45"/>
      <c r="O132" s="45">
        <v>278087</v>
      </c>
      <c r="P132" s="45"/>
      <c r="Q132" s="45">
        <v>1988020</v>
      </c>
      <c r="R132" s="45"/>
      <c r="S132" s="44">
        <f t="shared" si="4"/>
        <v>331680</v>
      </c>
      <c r="T132" s="45"/>
      <c r="U132" s="45">
        <v>20984799</v>
      </c>
      <c r="V132" s="44"/>
      <c r="W132" s="45">
        <f>10000+117932+1761652</f>
        <v>1889584</v>
      </c>
    </row>
    <row r="133" spans="1:24" s="116" customFormat="1" ht="12.75" customHeight="1" x14ac:dyDescent="0.2">
      <c r="A133" s="44" t="s">
        <v>155</v>
      </c>
      <c r="C133" s="44" t="s">
        <v>40</v>
      </c>
      <c r="D133" s="35"/>
      <c r="E133" s="45">
        <v>525916</v>
      </c>
      <c r="F133" s="45"/>
      <c r="G133" s="45">
        <v>8235656</v>
      </c>
      <c r="H133" s="45"/>
      <c r="I133" s="45">
        <f>293413+32456+207207+214381</f>
        <v>747457</v>
      </c>
      <c r="J133" s="45"/>
      <c r="K133" s="45">
        <v>2226925</v>
      </c>
      <c r="L133" s="45"/>
      <c r="M133" s="45">
        <v>6509809</v>
      </c>
      <c r="N133" s="45"/>
      <c r="O133" s="45">
        <v>0</v>
      </c>
      <c r="P133" s="45"/>
      <c r="Q133" s="45">
        <v>852099</v>
      </c>
      <c r="R133" s="45"/>
      <c r="S133" s="44">
        <f t="shared" si="4"/>
        <v>290769</v>
      </c>
      <c r="T133" s="45"/>
      <c r="U133" s="45">
        <v>19388631</v>
      </c>
      <c r="V133" s="44"/>
      <c r="W133" s="45">
        <f>3438500+2095+147460</f>
        <v>3588055</v>
      </c>
    </row>
    <row r="134" spans="1:24" s="116" customFormat="1" ht="12.75" customHeight="1" x14ac:dyDescent="0.2">
      <c r="A134" s="44" t="s">
        <v>156</v>
      </c>
      <c r="C134" s="44" t="s">
        <v>156</v>
      </c>
      <c r="D134" s="35"/>
      <c r="E134" s="45">
        <v>1221951</v>
      </c>
      <c r="F134" s="45"/>
      <c r="G134" s="45">
        <v>12740356</v>
      </c>
      <c r="H134" s="45"/>
      <c r="I134" s="45">
        <v>366126</v>
      </c>
      <c r="J134" s="45"/>
      <c r="K134" s="45">
        <v>1198228</v>
      </c>
      <c r="L134" s="45"/>
      <c r="M134" s="45">
        <v>7670115</v>
      </c>
      <c r="N134" s="45"/>
      <c r="O134" s="45">
        <v>0</v>
      </c>
      <c r="P134" s="45"/>
      <c r="Q134" s="45">
        <f>351163+1124168</f>
        <v>1475331</v>
      </c>
      <c r="R134" s="45"/>
      <c r="S134" s="44">
        <f t="shared" ref="S134" si="5">+U134-SUM(E134:Q134)</f>
        <v>1147620</v>
      </c>
      <c r="T134" s="45"/>
      <c r="U134" s="45">
        <v>25819727</v>
      </c>
      <c r="V134" s="44"/>
      <c r="W134" s="45">
        <v>2029580</v>
      </c>
    </row>
    <row r="135" spans="1:24" s="116" customFormat="1" ht="12.75" customHeight="1" x14ac:dyDescent="0.2">
      <c r="A135" s="44" t="s">
        <v>157</v>
      </c>
      <c r="C135" s="44" t="s">
        <v>33</v>
      </c>
      <c r="D135" s="35"/>
      <c r="E135" s="45">
        <v>315723</v>
      </c>
      <c r="F135" s="45"/>
      <c r="G135" s="45">
        <v>1128282</v>
      </c>
      <c r="H135" s="45"/>
      <c r="I135" s="45">
        <v>0</v>
      </c>
      <c r="J135" s="45"/>
      <c r="K135" s="45">
        <v>1049962</v>
      </c>
      <c r="L135" s="45"/>
      <c r="M135" s="45">
        <v>1377552</v>
      </c>
      <c r="N135" s="45"/>
      <c r="O135" s="45">
        <v>0</v>
      </c>
      <c r="P135" s="45"/>
      <c r="Q135" s="45">
        <f>82419+94994</f>
        <v>177413</v>
      </c>
      <c r="R135" s="45"/>
      <c r="S135" s="44">
        <f t="shared" ref="S135:S199" si="6">+U135-SUM(E135:Q135)</f>
        <v>173337</v>
      </c>
      <c r="T135" s="45"/>
      <c r="U135" s="45">
        <v>4222269</v>
      </c>
      <c r="V135" s="44"/>
      <c r="W135" s="45">
        <f>55000+50000+140128</f>
        <v>245128</v>
      </c>
    </row>
    <row r="136" spans="1:24" s="116" customFormat="1" ht="12.75" customHeight="1" x14ac:dyDescent="0.2">
      <c r="A136" s="44" t="s">
        <v>158</v>
      </c>
      <c r="C136" s="44" t="s">
        <v>159</v>
      </c>
      <c r="D136" s="35"/>
      <c r="E136" s="45">
        <v>1659837</v>
      </c>
      <c r="F136" s="45"/>
      <c r="G136" s="45">
        <v>13302573</v>
      </c>
      <c r="H136" s="45"/>
      <c r="I136" s="45">
        <f>1155599+1336532</f>
        <v>2492131</v>
      </c>
      <c r="J136" s="45"/>
      <c r="K136" s="45">
        <v>1616110</v>
      </c>
      <c r="L136" s="45"/>
      <c r="M136" s="45">
        <v>2200807</v>
      </c>
      <c r="N136" s="45"/>
      <c r="O136" s="45">
        <v>20758</v>
      </c>
      <c r="P136" s="45"/>
      <c r="Q136" s="45">
        <f>725907+162897</f>
        <v>888804</v>
      </c>
      <c r="R136" s="45"/>
      <c r="S136" s="44">
        <f t="shared" si="6"/>
        <v>124722</v>
      </c>
      <c r="T136" s="45"/>
      <c r="U136" s="45">
        <v>22305742</v>
      </c>
      <c r="V136" s="44"/>
      <c r="W136" s="45">
        <f>1833+14585000+189941+3469538</f>
        <v>18246312</v>
      </c>
      <c r="X136" s="118"/>
    </row>
    <row r="137" spans="1:24" s="117" customFormat="1" ht="12.75" customHeight="1" x14ac:dyDescent="0.2">
      <c r="A137" s="46" t="s">
        <v>160</v>
      </c>
      <c r="C137" s="46" t="s">
        <v>111</v>
      </c>
      <c r="D137" s="64"/>
      <c r="E137" s="45">
        <v>26962137</v>
      </c>
      <c r="F137" s="45"/>
      <c r="G137" s="45">
        <v>0</v>
      </c>
      <c r="H137" s="45"/>
      <c r="I137" s="45">
        <v>890486</v>
      </c>
      <c r="J137" s="45"/>
      <c r="K137" s="45">
        <v>2092708</v>
      </c>
      <c r="L137" s="45"/>
      <c r="M137" s="45">
        <v>6622477</v>
      </c>
      <c r="N137" s="45"/>
      <c r="O137" s="45">
        <v>62767</v>
      </c>
      <c r="P137" s="45"/>
      <c r="Q137" s="45">
        <v>2011841</v>
      </c>
      <c r="R137" s="45"/>
      <c r="S137" s="44">
        <f t="shared" si="6"/>
        <v>1597955</v>
      </c>
      <c r="T137" s="45"/>
      <c r="U137" s="45">
        <v>40240371</v>
      </c>
      <c r="V137" s="44"/>
      <c r="W137" s="45">
        <f>4810000+2340000+269839+1773664</f>
        <v>9193503</v>
      </c>
    </row>
    <row r="138" spans="1:24" s="116" customFormat="1" ht="12.75" customHeight="1" x14ac:dyDescent="0.2">
      <c r="A138" s="44" t="s">
        <v>161</v>
      </c>
      <c r="C138" s="44" t="s">
        <v>15</v>
      </c>
      <c r="D138" s="35"/>
      <c r="E138" s="45">
        <v>1598384</v>
      </c>
      <c r="F138" s="45"/>
      <c r="G138" s="45">
        <v>13689031</v>
      </c>
      <c r="H138" s="45"/>
      <c r="I138" s="45">
        <v>255712</v>
      </c>
      <c r="J138" s="45"/>
      <c r="K138" s="45">
        <v>2677137</v>
      </c>
      <c r="L138" s="45"/>
      <c r="M138" s="45">
        <v>4698658</v>
      </c>
      <c r="N138" s="45"/>
      <c r="O138" s="45">
        <v>151165</v>
      </c>
      <c r="P138" s="45"/>
      <c r="Q138" s="45">
        <f>428845+1824132</f>
        <v>2252977</v>
      </c>
      <c r="R138" s="45"/>
      <c r="S138" s="44">
        <f t="shared" si="6"/>
        <v>1188490</v>
      </c>
      <c r="T138" s="45"/>
      <c r="U138" s="45">
        <v>26511554</v>
      </c>
      <c r="V138" s="44"/>
      <c r="W138" s="45">
        <f>24940+1320862</f>
        <v>1345802</v>
      </c>
    </row>
    <row r="139" spans="1:24" s="116" customFormat="1" ht="12.75" customHeight="1" x14ac:dyDescent="0.2">
      <c r="A139" s="44" t="s">
        <v>162</v>
      </c>
      <c r="C139" s="44" t="s">
        <v>163</v>
      </c>
      <c r="D139" s="35"/>
      <c r="E139" s="45">
        <v>3733099</v>
      </c>
      <c r="F139" s="45"/>
      <c r="G139" s="45">
        <v>14809322</v>
      </c>
      <c r="H139" s="45"/>
      <c r="I139" s="45">
        <v>0</v>
      </c>
      <c r="J139" s="45"/>
      <c r="K139" s="45">
        <v>1386795</v>
      </c>
      <c r="L139" s="45"/>
      <c r="M139" s="45">
        <v>4317491</v>
      </c>
      <c r="N139" s="45"/>
      <c r="O139" s="45">
        <v>382906</v>
      </c>
      <c r="P139" s="45"/>
      <c r="Q139" s="45">
        <f>858246+258078</f>
        <v>1116324</v>
      </c>
      <c r="R139" s="45"/>
      <c r="S139" s="44">
        <f t="shared" si="6"/>
        <v>741305</v>
      </c>
      <c r="T139" s="45"/>
      <c r="U139" s="45">
        <v>26487242</v>
      </c>
      <c r="V139" s="44"/>
      <c r="W139" s="45">
        <f>100109+3808840+19606434</f>
        <v>23515383</v>
      </c>
    </row>
    <row r="140" spans="1:24" s="116" customFormat="1" ht="12.75" customHeight="1" x14ac:dyDescent="0.2">
      <c r="A140" s="44" t="s">
        <v>164</v>
      </c>
      <c r="C140" s="44" t="s">
        <v>27</v>
      </c>
      <c r="D140" s="35"/>
      <c r="E140" s="45">
        <v>4776362</v>
      </c>
      <c r="F140" s="45"/>
      <c r="G140" s="45">
        <v>11657999</v>
      </c>
      <c r="H140" s="45"/>
      <c r="I140" s="45">
        <v>270182</v>
      </c>
      <c r="J140" s="45"/>
      <c r="K140" s="45">
        <v>1260080</v>
      </c>
      <c r="L140" s="45"/>
      <c r="M140" s="45">
        <v>3180575</v>
      </c>
      <c r="N140" s="45"/>
      <c r="O140" s="45">
        <v>4539</v>
      </c>
      <c r="P140" s="45"/>
      <c r="Q140" s="45">
        <v>790087</v>
      </c>
      <c r="R140" s="45"/>
      <c r="S140" s="44">
        <f t="shared" si="6"/>
        <v>318552</v>
      </c>
      <c r="T140" s="45"/>
      <c r="U140" s="45">
        <v>22258376</v>
      </c>
      <c r="V140" s="44"/>
      <c r="W140" s="45">
        <f>16977+9000+2800000+1135138</f>
        <v>3961115</v>
      </c>
    </row>
    <row r="141" spans="1:24" s="116" customFormat="1" ht="12.75" customHeight="1" x14ac:dyDescent="0.2">
      <c r="A141" s="44" t="s">
        <v>53</v>
      </c>
      <c r="C141" s="44" t="s">
        <v>53</v>
      </c>
      <c r="D141" s="35"/>
      <c r="E141" s="45">
        <v>2589333</v>
      </c>
      <c r="F141" s="45"/>
      <c r="G141" s="45">
        <v>12050459</v>
      </c>
      <c r="H141" s="45"/>
      <c r="I141" s="45">
        <f>1059+35938</f>
        <v>36997</v>
      </c>
      <c r="J141" s="45"/>
      <c r="K141" s="45">
        <v>1247987</v>
      </c>
      <c r="L141" s="45"/>
      <c r="M141" s="45">
        <v>4210726</v>
      </c>
      <c r="N141" s="45"/>
      <c r="O141" s="45">
        <v>272615</v>
      </c>
      <c r="P141" s="45"/>
      <c r="Q141" s="45">
        <f>533077+1628032</f>
        <v>2161109</v>
      </c>
      <c r="R141" s="45"/>
      <c r="S141" s="44">
        <f t="shared" si="6"/>
        <v>324365</v>
      </c>
      <c r="T141" s="45"/>
      <c r="U141" s="45">
        <v>22893591</v>
      </c>
      <c r="V141" s="44"/>
      <c r="W141" s="45">
        <f>113517+22572</f>
        <v>136089</v>
      </c>
    </row>
    <row r="142" spans="1:24" s="116" customFormat="1" ht="12.75" customHeight="1" x14ac:dyDescent="0.2">
      <c r="A142" s="44" t="s">
        <v>165</v>
      </c>
      <c r="C142" s="44" t="s">
        <v>92</v>
      </c>
      <c r="D142" s="35"/>
      <c r="E142" s="45">
        <v>5280016</v>
      </c>
      <c r="F142" s="45"/>
      <c r="G142" s="45">
        <v>33763684</v>
      </c>
      <c r="H142" s="45"/>
      <c r="I142" s="45">
        <f>477642+203186</f>
        <v>680828</v>
      </c>
      <c r="J142" s="45"/>
      <c r="K142" s="45">
        <v>5815572</v>
      </c>
      <c r="L142" s="45"/>
      <c r="M142" s="45">
        <v>11126116</v>
      </c>
      <c r="N142" s="45"/>
      <c r="O142" s="45">
        <v>2546624</v>
      </c>
      <c r="P142" s="45"/>
      <c r="Q142" s="45">
        <f>1442029+1419526</f>
        <v>2861555</v>
      </c>
      <c r="R142" s="45"/>
      <c r="S142" s="44">
        <f t="shared" si="6"/>
        <v>1135163</v>
      </c>
      <c r="T142" s="45"/>
      <c r="U142" s="45">
        <v>63209558</v>
      </c>
      <c r="V142" s="44"/>
      <c r="W142" s="45">
        <f>4355000+15054+1637511</f>
        <v>6007565</v>
      </c>
    </row>
    <row r="143" spans="1:24" s="116" customFormat="1" ht="12.75" customHeight="1" x14ac:dyDescent="0.2">
      <c r="A143" s="44" t="s">
        <v>166</v>
      </c>
      <c r="C143" s="44" t="s">
        <v>92</v>
      </c>
      <c r="D143" s="35"/>
      <c r="E143" s="45">
        <v>1531997</v>
      </c>
      <c r="F143" s="45"/>
      <c r="G143" s="45">
        <v>936693</v>
      </c>
      <c r="H143" s="45"/>
      <c r="I143" s="45">
        <v>0</v>
      </c>
      <c r="J143" s="45"/>
      <c r="K143" s="45">
        <v>604828</v>
      </c>
      <c r="L143" s="45"/>
      <c r="M143" s="45">
        <v>1079244</v>
      </c>
      <c r="N143" s="45"/>
      <c r="O143" s="45">
        <v>0</v>
      </c>
      <c r="P143" s="45"/>
      <c r="Q143" s="45">
        <f>47537+21660</f>
        <v>69197</v>
      </c>
      <c r="R143" s="45"/>
      <c r="S143" s="44">
        <f t="shared" si="6"/>
        <v>87633</v>
      </c>
      <c r="T143" s="45"/>
      <c r="U143" s="45">
        <v>4309592</v>
      </c>
      <c r="V143" s="44"/>
      <c r="W143" s="45">
        <v>286169</v>
      </c>
    </row>
    <row r="144" spans="1:24" s="116" customFormat="1" ht="12.75" customHeight="1" x14ac:dyDescent="0.2">
      <c r="A144" s="44" t="s">
        <v>167</v>
      </c>
      <c r="C144" s="44" t="s">
        <v>66</v>
      </c>
      <c r="D144" s="35"/>
      <c r="E144" s="45">
        <v>3092314</v>
      </c>
      <c r="F144" s="45"/>
      <c r="G144" s="45">
        <v>12689452</v>
      </c>
      <c r="H144" s="45"/>
      <c r="I144" s="45">
        <v>49438</v>
      </c>
      <c r="J144" s="45"/>
      <c r="K144" s="45">
        <v>2777376</v>
      </c>
      <c r="L144" s="45"/>
      <c r="M144" s="45">
        <v>4251581</v>
      </c>
      <c r="N144" s="45"/>
      <c r="O144" s="45">
        <v>113631</v>
      </c>
      <c r="P144" s="45"/>
      <c r="Q144" s="45">
        <v>1527772</v>
      </c>
      <c r="R144" s="45"/>
      <c r="S144" s="44">
        <f t="shared" si="6"/>
        <v>1337665</v>
      </c>
      <c r="T144" s="45"/>
      <c r="U144" s="45">
        <v>25839229</v>
      </c>
      <c r="V144" s="44"/>
      <c r="W144" s="45">
        <f>1625605+69664+1152025</f>
        <v>2847294</v>
      </c>
    </row>
    <row r="145" spans="1:23" s="116" customFormat="1" ht="12.75" customHeight="1" x14ac:dyDescent="0.2">
      <c r="A145" s="44" t="s">
        <v>168</v>
      </c>
      <c r="C145" s="44" t="s">
        <v>27</v>
      </c>
      <c r="D145" s="35"/>
      <c r="E145" s="45">
        <v>2299773</v>
      </c>
      <c r="F145" s="45"/>
      <c r="G145" s="45">
        <v>16726038</v>
      </c>
      <c r="H145" s="45"/>
      <c r="I145" s="45">
        <v>524929</v>
      </c>
      <c r="J145" s="45"/>
      <c r="K145" s="45">
        <v>1785024</v>
      </c>
      <c r="L145" s="45"/>
      <c r="M145" s="45">
        <v>2544924</v>
      </c>
      <c r="N145" s="45"/>
      <c r="O145" s="45">
        <v>215663</v>
      </c>
      <c r="P145" s="45"/>
      <c r="Q145" s="45">
        <v>1076206</v>
      </c>
      <c r="R145" s="45"/>
      <c r="S145" s="44">
        <f t="shared" si="6"/>
        <v>412073</v>
      </c>
      <c r="T145" s="45"/>
      <c r="U145" s="45">
        <v>25584630</v>
      </c>
      <c r="V145" s="44"/>
      <c r="W145" s="45">
        <f>303539+146869+850000</f>
        <v>1300408</v>
      </c>
    </row>
    <row r="146" spans="1:23" s="116" customFormat="1" ht="12.75" customHeight="1" x14ac:dyDescent="0.2">
      <c r="A146" s="44" t="s">
        <v>169</v>
      </c>
      <c r="C146" s="44" t="s">
        <v>103</v>
      </c>
      <c r="D146" s="35"/>
      <c r="E146" s="45">
        <v>4157764</v>
      </c>
      <c r="F146" s="45"/>
      <c r="G146" s="45">
        <v>19924001</v>
      </c>
      <c r="H146" s="45"/>
      <c r="I146" s="45">
        <v>1116194</v>
      </c>
      <c r="J146" s="45"/>
      <c r="K146" s="45">
        <v>4453462</v>
      </c>
      <c r="L146" s="45"/>
      <c r="M146" s="45">
        <v>22674687</v>
      </c>
      <c r="N146" s="45"/>
      <c r="O146" s="45">
        <v>700727</v>
      </c>
      <c r="P146" s="45"/>
      <c r="Q146" s="45">
        <f>224382+1896290</f>
        <v>2120672</v>
      </c>
      <c r="R146" s="45"/>
      <c r="S146" s="44">
        <f t="shared" si="6"/>
        <v>2180184</v>
      </c>
      <c r="T146" s="45"/>
      <c r="U146" s="45">
        <v>57327691</v>
      </c>
      <c r="V146" s="44"/>
      <c r="W146" s="45">
        <f>160678+321191+15436</f>
        <v>497305</v>
      </c>
    </row>
    <row r="147" spans="1:23" s="116" customFormat="1" ht="12.75" customHeight="1" x14ac:dyDescent="0.2">
      <c r="A147" s="44" t="s">
        <v>170</v>
      </c>
      <c r="C147" s="44" t="s">
        <v>171</v>
      </c>
      <c r="D147" s="35"/>
      <c r="E147" s="45">
        <v>2155879</v>
      </c>
      <c r="F147" s="45"/>
      <c r="G147" s="45">
        <v>2626231</v>
      </c>
      <c r="H147" s="45"/>
      <c r="I147" s="45">
        <v>541940</v>
      </c>
      <c r="J147" s="45"/>
      <c r="K147" s="45">
        <v>261026</v>
      </c>
      <c r="L147" s="45"/>
      <c r="M147" s="45">
        <v>1116235</v>
      </c>
      <c r="N147" s="45"/>
      <c r="O147" s="45">
        <v>0</v>
      </c>
      <c r="P147" s="45"/>
      <c r="Q147" s="45">
        <f>204665+31503</f>
        <v>236168</v>
      </c>
      <c r="R147" s="45"/>
      <c r="S147" s="44">
        <f t="shared" si="6"/>
        <v>89645</v>
      </c>
      <c r="T147" s="45"/>
      <c r="U147" s="45">
        <v>7027124</v>
      </c>
      <c r="V147" s="44"/>
      <c r="W147" s="45">
        <v>100000</v>
      </c>
    </row>
    <row r="148" spans="1:23" s="116" customFormat="1" ht="12.75" customHeight="1" x14ac:dyDescent="0.2">
      <c r="A148" s="44" t="s">
        <v>172</v>
      </c>
      <c r="C148" s="44" t="s">
        <v>103</v>
      </c>
      <c r="D148" s="35"/>
      <c r="E148" s="45">
        <v>2400487</v>
      </c>
      <c r="F148" s="45"/>
      <c r="G148" s="45">
        <v>6600141</v>
      </c>
      <c r="H148" s="45"/>
      <c r="I148" s="45">
        <v>2910801</v>
      </c>
      <c r="J148" s="45"/>
      <c r="K148" s="45">
        <v>1059176</v>
      </c>
      <c r="L148" s="45"/>
      <c r="M148" s="45">
        <v>1757320</v>
      </c>
      <c r="N148" s="45"/>
      <c r="O148" s="45">
        <v>863556</v>
      </c>
      <c r="P148" s="45"/>
      <c r="Q148" s="45">
        <f>581733+200206</f>
        <v>781939</v>
      </c>
      <c r="R148" s="45"/>
      <c r="S148" s="44">
        <f t="shared" si="6"/>
        <v>294215</v>
      </c>
      <c r="T148" s="45"/>
      <c r="U148" s="45">
        <v>16667635</v>
      </c>
      <c r="V148" s="44"/>
      <c r="W148" s="45">
        <v>6168852</v>
      </c>
    </row>
    <row r="149" spans="1:23" s="116" customFormat="1" ht="12.75" customHeight="1" x14ac:dyDescent="0.2">
      <c r="A149" s="44" t="s">
        <v>66</v>
      </c>
      <c r="C149" s="44" t="s">
        <v>45</v>
      </c>
      <c r="D149" s="35"/>
      <c r="E149" s="45">
        <v>13207984</v>
      </c>
      <c r="F149" s="45"/>
      <c r="G149" s="45">
        <v>0</v>
      </c>
      <c r="H149" s="45"/>
      <c r="I149" s="45">
        <v>0</v>
      </c>
      <c r="J149" s="45"/>
      <c r="K149" s="45">
        <v>588205</v>
      </c>
      <c r="L149" s="45"/>
      <c r="M149" s="45">
        <v>1524756</v>
      </c>
      <c r="N149" s="45"/>
      <c r="O149" s="45">
        <v>240774</v>
      </c>
      <c r="P149" s="45"/>
      <c r="Q149" s="45">
        <f>182546+329972</f>
        <v>512518</v>
      </c>
      <c r="R149" s="45"/>
      <c r="S149" s="44">
        <f t="shared" si="6"/>
        <v>427420</v>
      </c>
      <c r="T149" s="45"/>
      <c r="U149" s="45">
        <v>16501657</v>
      </c>
      <c r="V149" s="44"/>
      <c r="W149" s="45">
        <f>31294+435962</f>
        <v>467256</v>
      </c>
    </row>
    <row r="150" spans="1:23" s="116" customFormat="1" ht="12.75" customHeight="1" x14ac:dyDescent="0.2">
      <c r="A150" s="44" t="s">
        <v>173</v>
      </c>
      <c r="C150" s="44" t="s">
        <v>66</v>
      </c>
      <c r="D150" s="35"/>
      <c r="E150" s="45">
        <v>595621</v>
      </c>
      <c r="F150" s="45"/>
      <c r="G150" s="45">
        <v>9699479</v>
      </c>
      <c r="H150" s="45"/>
      <c r="I150" s="45">
        <f>50059+43041</f>
        <v>93100</v>
      </c>
      <c r="J150" s="45"/>
      <c r="K150" s="45">
        <v>782110</v>
      </c>
      <c r="L150" s="45"/>
      <c r="M150" s="45">
        <v>2218810</v>
      </c>
      <c r="N150" s="45"/>
      <c r="O150" s="45">
        <v>0</v>
      </c>
      <c r="P150" s="45"/>
      <c r="Q150" s="45">
        <f>11091+343288</f>
        <v>354379</v>
      </c>
      <c r="R150" s="45"/>
      <c r="S150" s="44">
        <f t="shared" si="6"/>
        <v>1404906</v>
      </c>
      <c r="T150" s="45"/>
      <c r="U150" s="45">
        <v>15148405</v>
      </c>
      <c r="V150" s="44"/>
      <c r="W150" s="45">
        <f>2100000+456308</f>
        <v>2556308</v>
      </c>
    </row>
    <row r="151" spans="1:23" s="116" customFormat="1" ht="12.75" customHeight="1" x14ac:dyDescent="0.2">
      <c r="A151" s="44" t="s">
        <v>174</v>
      </c>
      <c r="C151" s="44" t="s">
        <v>45</v>
      </c>
      <c r="D151" s="35"/>
      <c r="E151" s="45">
        <v>839006</v>
      </c>
      <c r="F151" s="45"/>
      <c r="G151" s="45">
        <v>1450941</v>
      </c>
      <c r="H151" s="45"/>
      <c r="I151" s="45">
        <v>71635</v>
      </c>
      <c r="J151" s="45"/>
      <c r="K151" s="45">
        <v>618597</v>
      </c>
      <c r="L151" s="45"/>
      <c r="M151" s="45">
        <v>1007610</v>
      </c>
      <c r="N151" s="45"/>
      <c r="O151" s="45">
        <v>0</v>
      </c>
      <c r="P151" s="45"/>
      <c r="Q151" s="45">
        <v>273928</v>
      </c>
      <c r="R151" s="45"/>
      <c r="S151" s="44">
        <f t="shared" si="6"/>
        <v>193872</v>
      </c>
      <c r="T151" s="45"/>
      <c r="U151" s="45">
        <v>4455589</v>
      </c>
      <c r="V151" s="44"/>
      <c r="W151" s="45">
        <f>253379+68000+1745000+761467+44870</f>
        <v>2872716</v>
      </c>
    </row>
    <row r="152" spans="1:23" s="116" customFormat="1" ht="12.75" customHeight="1" x14ac:dyDescent="0.2">
      <c r="A152" s="44" t="s">
        <v>175</v>
      </c>
      <c r="C152" s="44" t="s">
        <v>176</v>
      </c>
      <c r="D152" s="35"/>
      <c r="E152" s="45">
        <v>11205072</v>
      </c>
      <c r="F152" s="45"/>
      <c r="G152" s="45">
        <v>0</v>
      </c>
      <c r="H152" s="45"/>
      <c r="I152" s="45">
        <v>0</v>
      </c>
      <c r="J152" s="45"/>
      <c r="K152" s="45">
        <v>1642971</v>
      </c>
      <c r="L152" s="45"/>
      <c r="M152" s="45">
        <v>2710045</v>
      </c>
      <c r="N152" s="45"/>
      <c r="O152" s="45">
        <v>0</v>
      </c>
      <c r="P152" s="45"/>
      <c r="Q152" s="45">
        <f>812749+11545</f>
        <v>824294</v>
      </c>
      <c r="R152" s="45"/>
      <c r="S152" s="44">
        <f t="shared" si="6"/>
        <v>253855</v>
      </c>
      <c r="T152" s="45"/>
      <c r="U152" s="45">
        <v>16636237</v>
      </c>
      <c r="V152" s="44"/>
      <c r="W152" s="45">
        <f>38177+1028456</f>
        <v>1066633</v>
      </c>
    </row>
    <row r="153" spans="1:23" s="116" customFormat="1" ht="12.75" customHeight="1" x14ac:dyDescent="0.2">
      <c r="A153" s="44" t="s">
        <v>177</v>
      </c>
      <c r="C153" s="44" t="s">
        <v>13</v>
      </c>
      <c r="D153" s="35"/>
      <c r="E153" s="45">
        <v>745487</v>
      </c>
      <c r="F153" s="45"/>
      <c r="G153" s="45">
        <v>1137752</v>
      </c>
      <c r="H153" s="45"/>
      <c r="I153" s="45">
        <v>0</v>
      </c>
      <c r="J153" s="45"/>
      <c r="K153" s="45">
        <v>151463</v>
      </c>
      <c r="L153" s="45"/>
      <c r="M153" s="45">
        <v>896243</v>
      </c>
      <c r="N153" s="45"/>
      <c r="O153" s="45">
        <v>33269</v>
      </c>
      <c r="P153" s="45"/>
      <c r="Q153" s="45">
        <v>161951</v>
      </c>
      <c r="R153" s="45"/>
      <c r="S153" s="44">
        <f t="shared" si="6"/>
        <v>128511</v>
      </c>
      <c r="T153" s="45"/>
      <c r="U153" s="45">
        <v>3254676</v>
      </c>
      <c r="V153" s="44"/>
      <c r="W153" s="45">
        <f>170000+10526+18296</f>
        <v>198822</v>
      </c>
    </row>
    <row r="154" spans="1:23" s="116" customFormat="1" ht="12.75" customHeight="1" x14ac:dyDescent="0.2">
      <c r="A154" s="44" t="s">
        <v>178</v>
      </c>
      <c r="C154" s="44" t="s">
        <v>179</v>
      </c>
      <c r="D154" s="35"/>
      <c r="E154" s="45">
        <v>389395</v>
      </c>
      <c r="F154" s="45"/>
      <c r="G154" s="45">
        <v>2837394</v>
      </c>
      <c r="H154" s="45"/>
      <c r="I154" s="45">
        <v>522615</v>
      </c>
      <c r="J154" s="45"/>
      <c r="K154" s="45">
        <v>800287</v>
      </c>
      <c r="L154" s="45"/>
      <c r="M154" s="45">
        <v>2220622</v>
      </c>
      <c r="N154" s="45"/>
      <c r="O154" s="45">
        <v>92238</v>
      </c>
      <c r="P154" s="45"/>
      <c r="Q154" s="45">
        <f>363988+68203</f>
        <v>432191</v>
      </c>
      <c r="R154" s="45"/>
      <c r="S154" s="44">
        <f t="shared" si="6"/>
        <v>496320</v>
      </c>
      <c r="T154" s="45"/>
      <c r="U154" s="45">
        <v>7791062</v>
      </c>
      <c r="V154" s="44"/>
      <c r="W154" s="45">
        <f>26+2174344</f>
        <v>2174370</v>
      </c>
    </row>
    <row r="155" spans="1:23" s="116" customFormat="1" ht="12.75" customHeight="1" x14ac:dyDescent="0.2">
      <c r="A155" s="44" t="s">
        <v>180</v>
      </c>
      <c r="C155" s="44" t="s">
        <v>20</v>
      </c>
      <c r="D155" s="35"/>
      <c r="E155" s="45">
        <v>432111</v>
      </c>
      <c r="F155" s="45"/>
      <c r="G155" s="45">
        <v>1586380</v>
      </c>
      <c r="H155" s="45"/>
      <c r="I155" s="45">
        <v>0</v>
      </c>
      <c r="J155" s="45"/>
      <c r="K155" s="45">
        <v>105879</v>
      </c>
      <c r="L155" s="45"/>
      <c r="M155" s="45">
        <v>616860</v>
      </c>
      <c r="N155" s="45"/>
      <c r="O155" s="45">
        <v>0</v>
      </c>
      <c r="P155" s="45"/>
      <c r="Q155" s="45">
        <v>54980</v>
      </c>
      <c r="R155" s="45"/>
      <c r="S155" s="44">
        <f t="shared" si="6"/>
        <v>65017</v>
      </c>
      <c r="T155" s="45"/>
      <c r="U155" s="45">
        <v>2861227</v>
      </c>
      <c r="V155" s="44"/>
      <c r="W155" s="45">
        <f>48947+46660+125000</f>
        <v>220607</v>
      </c>
    </row>
    <row r="156" spans="1:23" s="116" customFormat="1" ht="12.75" customHeight="1" x14ac:dyDescent="0.2">
      <c r="A156" s="44" t="s">
        <v>508</v>
      </c>
      <c r="B156" s="47"/>
      <c r="C156" s="44" t="s">
        <v>43</v>
      </c>
      <c r="D156" s="35"/>
      <c r="E156" s="45">
        <v>963499</v>
      </c>
      <c r="F156" s="45"/>
      <c r="G156" s="45">
        <v>20868803</v>
      </c>
      <c r="H156" s="45"/>
      <c r="I156" s="45">
        <v>2526093</v>
      </c>
      <c r="J156" s="45"/>
      <c r="K156" s="45">
        <v>1581893</v>
      </c>
      <c r="L156" s="45"/>
      <c r="M156" s="45">
        <v>2791511</v>
      </c>
      <c r="N156" s="45"/>
      <c r="O156" s="45">
        <v>0</v>
      </c>
      <c r="P156" s="45"/>
      <c r="Q156" s="45">
        <f>651885+122693</f>
        <v>774578</v>
      </c>
      <c r="R156" s="45"/>
      <c r="S156" s="44">
        <f t="shared" si="6"/>
        <v>2951985</v>
      </c>
      <c r="T156" s="45"/>
      <c r="U156" s="45">
        <v>32458362</v>
      </c>
      <c r="V156" s="44"/>
      <c r="W156" s="45">
        <f>15576+52772+3294719</f>
        <v>3363067</v>
      </c>
    </row>
    <row r="157" spans="1:23" s="116" customFormat="1" ht="12.75" customHeight="1" x14ac:dyDescent="0.2">
      <c r="A157" s="44" t="s">
        <v>182</v>
      </c>
      <c r="C157" s="44" t="s">
        <v>183</v>
      </c>
      <c r="D157" s="35"/>
      <c r="E157" s="45">
        <v>604497</v>
      </c>
      <c r="F157" s="45"/>
      <c r="G157" s="45">
        <v>960506</v>
      </c>
      <c r="H157" s="45"/>
      <c r="I157" s="45">
        <v>57308</v>
      </c>
      <c r="J157" s="45"/>
      <c r="K157" s="45">
        <v>642732</v>
      </c>
      <c r="L157" s="45"/>
      <c r="M157" s="45">
        <v>612591</v>
      </c>
      <c r="N157" s="45"/>
      <c r="O157" s="45">
        <v>114786</v>
      </c>
      <c r="P157" s="45"/>
      <c r="Q157" s="45">
        <f>24540+18864</f>
        <v>43404</v>
      </c>
      <c r="R157" s="45"/>
      <c r="S157" s="44">
        <f t="shared" si="6"/>
        <v>13909</v>
      </c>
      <c r="T157" s="45"/>
      <c r="U157" s="45">
        <v>3049733</v>
      </c>
      <c r="V157" s="44"/>
      <c r="W157" s="45">
        <f>35357+113924+296348+198000</f>
        <v>643629</v>
      </c>
    </row>
    <row r="158" spans="1:23" s="116" customFormat="1" ht="12.75" customHeight="1" x14ac:dyDescent="0.2">
      <c r="A158" s="44" t="s">
        <v>487</v>
      </c>
      <c r="C158" s="44" t="s">
        <v>13</v>
      </c>
      <c r="D158" s="35"/>
      <c r="E158" s="45">
        <v>3698367</v>
      </c>
      <c r="F158" s="45"/>
      <c r="G158" s="45">
        <v>0</v>
      </c>
      <c r="H158" s="45"/>
      <c r="I158" s="45">
        <v>0</v>
      </c>
      <c r="J158" s="45"/>
      <c r="K158" s="45">
        <v>414052</v>
      </c>
      <c r="L158" s="45"/>
      <c r="M158" s="45">
        <v>2457488</v>
      </c>
      <c r="N158" s="45"/>
      <c r="O158" s="45">
        <v>0</v>
      </c>
      <c r="P158" s="45"/>
      <c r="Q158" s="45">
        <f>122592+3200</f>
        <v>125792</v>
      </c>
      <c r="R158" s="45"/>
      <c r="S158" s="44">
        <f t="shared" si="6"/>
        <v>54017</v>
      </c>
      <c r="T158" s="45"/>
      <c r="U158" s="45">
        <v>6749716</v>
      </c>
      <c r="V158" s="44"/>
      <c r="W158" s="45">
        <f>9450+10585+733609</f>
        <v>753644</v>
      </c>
    </row>
    <row r="159" spans="1:23" s="116" customFormat="1" ht="12.75" customHeight="1" x14ac:dyDescent="0.2">
      <c r="A159" s="44" t="s">
        <v>184</v>
      </c>
      <c r="C159" s="44" t="s">
        <v>89</v>
      </c>
      <c r="D159" s="35"/>
      <c r="E159" s="45">
        <v>1061987</v>
      </c>
      <c r="F159" s="45"/>
      <c r="G159" s="45">
        <v>6309270</v>
      </c>
      <c r="H159" s="45"/>
      <c r="I159" s="45">
        <v>0</v>
      </c>
      <c r="J159" s="45"/>
      <c r="K159" s="45">
        <v>652964</v>
      </c>
      <c r="L159" s="45"/>
      <c r="M159" s="45">
        <v>4388784</v>
      </c>
      <c r="N159" s="45"/>
      <c r="O159" s="45">
        <v>7584</v>
      </c>
      <c r="P159" s="45"/>
      <c r="Q159" s="45">
        <f>349213+845369</f>
        <v>1194582</v>
      </c>
      <c r="R159" s="45"/>
      <c r="S159" s="44">
        <f t="shared" si="6"/>
        <v>294829</v>
      </c>
      <c r="T159" s="45"/>
      <c r="U159" s="45">
        <v>13910000</v>
      </c>
      <c r="V159" s="44"/>
      <c r="W159" s="45">
        <v>165720</v>
      </c>
    </row>
    <row r="160" spans="1:23" s="116" customFormat="1" ht="12.75" customHeight="1" x14ac:dyDescent="0.2">
      <c r="A160" s="44" t="s">
        <v>181</v>
      </c>
      <c r="C160" s="44" t="s">
        <v>125</v>
      </c>
      <c r="D160" s="35"/>
      <c r="E160" s="45">
        <v>23235579</v>
      </c>
      <c r="F160" s="45"/>
      <c r="G160" s="45">
        <v>0</v>
      </c>
      <c r="H160" s="45"/>
      <c r="I160" s="45">
        <v>0</v>
      </c>
      <c r="J160" s="45"/>
      <c r="K160" s="45">
        <v>2114800</v>
      </c>
      <c r="L160" s="45"/>
      <c r="M160" s="45">
        <v>11112100</v>
      </c>
      <c r="N160" s="45"/>
      <c r="O160" s="45">
        <v>25439</v>
      </c>
      <c r="P160" s="45"/>
      <c r="Q160" s="45">
        <f>1948006+136677</f>
        <v>2084683</v>
      </c>
      <c r="R160" s="45"/>
      <c r="S160" s="44">
        <f t="shared" si="6"/>
        <v>710555</v>
      </c>
      <c r="T160" s="45"/>
      <c r="U160" s="45">
        <v>39283156</v>
      </c>
      <c r="V160" s="44"/>
      <c r="W160" s="45">
        <f>319820+191560+1200000+4836097</f>
        <v>6547477</v>
      </c>
    </row>
    <row r="161" spans="1:24" s="116" customFormat="1" ht="12.75" customHeight="1" x14ac:dyDescent="0.2">
      <c r="A161" s="44" t="s">
        <v>185</v>
      </c>
      <c r="C161" s="44" t="s">
        <v>80</v>
      </c>
      <c r="D161" s="35"/>
      <c r="E161" s="45">
        <v>891737</v>
      </c>
      <c r="F161" s="45"/>
      <c r="G161" s="45">
        <v>5659164</v>
      </c>
      <c r="H161" s="45"/>
      <c r="I161" s="45">
        <v>0</v>
      </c>
      <c r="J161" s="45"/>
      <c r="K161" s="45">
        <v>1306754</v>
      </c>
      <c r="L161" s="45"/>
      <c r="M161" s="45">
        <v>4731032</v>
      </c>
      <c r="N161" s="45"/>
      <c r="O161" s="45">
        <v>0</v>
      </c>
      <c r="P161" s="45"/>
      <c r="Q161" s="45">
        <f>709890+332591</f>
        <v>1042481</v>
      </c>
      <c r="R161" s="45"/>
      <c r="S161" s="44">
        <f t="shared" si="6"/>
        <v>454776</v>
      </c>
      <c r="T161" s="45"/>
      <c r="U161" s="45">
        <v>14085944</v>
      </c>
      <c r="V161" s="44"/>
      <c r="W161" s="45">
        <f>3245000+26489+8446006</f>
        <v>11717495</v>
      </c>
    </row>
    <row r="162" spans="1:24" s="116" customFormat="1" ht="12.75" customHeight="1" x14ac:dyDescent="0.2">
      <c r="A162" s="44" t="s">
        <v>186</v>
      </c>
      <c r="C162" s="44" t="s">
        <v>15</v>
      </c>
      <c r="D162" s="35"/>
      <c r="E162" s="45">
        <v>2239891</v>
      </c>
      <c r="F162" s="45"/>
      <c r="G162" s="45">
        <v>5785688</v>
      </c>
      <c r="H162" s="45"/>
      <c r="I162" s="45">
        <v>0</v>
      </c>
      <c r="J162" s="45"/>
      <c r="K162" s="45">
        <v>768067</v>
      </c>
      <c r="L162" s="45"/>
      <c r="M162" s="45">
        <v>4835607</v>
      </c>
      <c r="N162" s="45"/>
      <c r="O162" s="45">
        <v>0</v>
      </c>
      <c r="P162" s="45"/>
      <c r="Q162" s="45">
        <f>194781+172184</f>
        <v>366965</v>
      </c>
      <c r="R162" s="45"/>
      <c r="S162" s="44">
        <f t="shared" si="6"/>
        <v>333645</v>
      </c>
      <c r="T162" s="45"/>
      <c r="U162" s="45">
        <v>14329863</v>
      </c>
      <c r="V162" s="44"/>
      <c r="W162" s="45">
        <f>2500000+79340+952692</f>
        <v>3532032</v>
      </c>
    </row>
    <row r="163" spans="1:24" s="118" customFormat="1" ht="12.75" customHeight="1" x14ac:dyDescent="0.2">
      <c r="A163" s="44" t="s">
        <v>187</v>
      </c>
      <c r="C163" s="44" t="s">
        <v>27</v>
      </c>
      <c r="D163" s="35"/>
      <c r="E163" s="45">
        <v>9924695</v>
      </c>
      <c r="F163" s="45"/>
      <c r="G163" s="45">
        <v>12346450</v>
      </c>
      <c r="H163" s="45"/>
      <c r="I163" s="45">
        <v>0</v>
      </c>
      <c r="J163" s="45"/>
      <c r="K163" s="45">
        <v>2384556</v>
      </c>
      <c r="L163" s="45"/>
      <c r="M163" s="45">
        <v>6409008</v>
      </c>
      <c r="N163" s="45"/>
      <c r="O163" s="45">
        <v>0</v>
      </c>
      <c r="P163" s="45"/>
      <c r="Q163" s="45">
        <v>1670972</v>
      </c>
      <c r="R163" s="45"/>
      <c r="S163" s="44">
        <f t="shared" si="6"/>
        <v>218562</v>
      </c>
      <c r="T163" s="45"/>
      <c r="U163" s="45">
        <v>32954243</v>
      </c>
      <c r="V163" s="44"/>
      <c r="W163" s="45">
        <f>880000+171334+3147873</f>
        <v>4199207</v>
      </c>
    </row>
    <row r="164" spans="1:24" s="116" customFormat="1" ht="12.75" customHeight="1" x14ac:dyDescent="0.2">
      <c r="A164" s="44" t="s">
        <v>189</v>
      </c>
      <c r="C164" s="44" t="s">
        <v>17</v>
      </c>
      <c r="D164" s="35"/>
      <c r="E164" s="45">
        <v>6157278</v>
      </c>
      <c r="F164" s="45"/>
      <c r="G164" s="45">
        <v>8302962</v>
      </c>
      <c r="H164" s="45"/>
      <c r="I164" s="45">
        <v>0</v>
      </c>
      <c r="J164" s="45"/>
      <c r="K164" s="45">
        <v>3111124</v>
      </c>
      <c r="L164" s="45"/>
      <c r="M164" s="45">
        <v>4892507</v>
      </c>
      <c r="N164" s="45"/>
      <c r="O164" s="45">
        <v>148018</v>
      </c>
      <c r="P164" s="45"/>
      <c r="Q164" s="45">
        <v>1250793</v>
      </c>
      <c r="R164" s="45"/>
      <c r="S164" s="44">
        <f t="shared" si="6"/>
        <v>1109800</v>
      </c>
      <c r="T164" s="45"/>
      <c r="U164" s="45">
        <v>24972482</v>
      </c>
      <c r="V164" s="44"/>
      <c r="W164" s="45">
        <f>1050000+2714056</f>
        <v>3764056</v>
      </c>
    </row>
    <row r="165" spans="1:24" s="116" customFormat="1" ht="12.75" customHeight="1" x14ac:dyDescent="0.2">
      <c r="A165" s="44" t="s">
        <v>188</v>
      </c>
      <c r="C165" s="44" t="s">
        <v>27</v>
      </c>
      <c r="D165" s="35"/>
      <c r="E165" s="45">
        <v>4545306</v>
      </c>
      <c r="F165" s="45"/>
      <c r="G165" s="45">
        <v>12511896</v>
      </c>
      <c r="H165" s="45"/>
      <c r="I165" s="45">
        <v>0</v>
      </c>
      <c r="J165" s="45"/>
      <c r="K165" s="45">
        <v>677710</v>
      </c>
      <c r="L165" s="45"/>
      <c r="M165" s="45">
        <v>4341188</v>
      </c>
      <c r="N165" s="45"/>
      <c r="O165" s="45">
        <v>183317</v>
      </c>
      <c r="P165" s="45"/>
      <c r="Q165" s="45">
        <f>840210+353638</f>
        <v>1193848</v>
      </c>
      <c r="R165" s="45"/>
      <c r="S165" s="44">
        <f t="shared" si="6"/>
        <v>691674</v>
      </c>
      <c r="T165" s="45"/>
      <c r="U165" s="45">
        <v>24144939</v>
      </c>
      <c r="V165" s="44"/>
      <c r="W165" s="45">
        <f>15025000+19116+3080690</f>
        <v>18124806</v>
      </c>
    </row>
    <row r="166" spans="1:24" s="116" customFormat="1" ht="12.75" customHeight="1" x14ac:dyDescent="0.2">
      <c r="A166" s="44" t="s">
        <v>190</v>
      </c>
      <c r="C166" s="44" t="s">
        <v>47</v>
      </c>
      <c r="D166" s="35"/>
      <c r="E166" s="45">
        <v>410426</v>
      </c>
      <c r="F166" s="45"/>
      <c r="G166" s="45">
        <v>4357004</v>
      </c>
      <c r="H166" s="45"/>
      <c r="I166" s="45">
        <v>44816</v>
      </c>
      <c r="J166" s="45"/>
      <c r="K166" s="45">
        <v>377372</v>
      </c>
      <c r="L166" s="45"/>
      <c r="M166" s="45">
        <v>906492</v>
      </c>
      <c r="N166" s="45"/>
      <c r="O166" s="45">
        <v>96248</v>
      </c>
      <c r="P166" s="45"/>
      <c r="Q166" s="45">
        <f>333344+97433</f>
        <v>430777</v>
      </c>
      <c r="R166" s="45"/>
      <c r="S166" s="44">
        <f t="shared" si="6"/>
        <v>211208</v>
      </c>
      <c r="T166" s="45"/>
      <c r="U166" s="45">
        <v>6834343</v>
      </c>
      <c r="V166" s="44"/>
      <c r="W166" s="45">
        <v>115000</v>
      </c>
    </row>
    <row r="167" spans="1:24" s="116" customFormat="1" ht="12.75" customHeight="1" x14ac:dyDescent="0.2">
      <c r="A167" s="44" t="s">
        <v>191</v>
      </c>
      <c r="C167" s="44" t="s">
        <v>13</v>
      </c>
      <c r="D167" s="35"/>
      <c r="E167" s="45">
        <v>1683465</v>
      </c>
      <c r="F167" s="45"/>
      <c r="G167" s="45">
        <v>4577929</v>
      </c>
      <c r="H167" s="45"/>
      <c r="I167" s="45">
        <v>0</v>
      </c>
      <c r="J167" s="45"/>
      <c r="K167" s="45">
        <v>791242</v>
      </c>
      <c r="L167" s="45"/>
      <c r="M167" s="45">
        <v>2328326</v>
      </c>
      <c r="N167" s="45"/>
      <c r="O167" s="45">
        <v>160343</v>
      </c>
      <c r="P167" s="45"/>
      <c r="Q167" s="45">
        <f>33694+170662</f>
        <v>204356</v>
      </c>
      <c r="R167" s="45"/>
      <c r="S167" s="44">
        <f t="shared" si="6"/>
        <v>394594</v>
      </c>
      <c r="T167" s="45"/>
      <c r="U167" s="45">
        <v>10140255</v>
      </c>
      <c r="V167" s="44"/>
      <c r="W167" s="45">
        <f>1445000+1010988</f>
        <v>2455988</v>
      </c>
    </row>
    <row r="168" spans="1:24" s="116" customFormat="1" ht="12.75" customHeight="1" x14ac:dyDescent="0.2">
      <c r="A168" s="44" t="s">
        <v>192</v>
      </c>
      <c r="C168" s="44" t="s">
        <v>38</v>
      </c>
      <c r="D168" s="35"/>
      <c r="E168" s="45">
        <v>1164713</v>
      </c>
      <c r="F168" s="45"/>
      <c r="G168" s="45">
        <v>5139179</v>
      </c>
      <c r="H168" s="45"/>
      <c r="I168" s="45">
        <v>7270</v>
      </c>
      <c r="J168" s="45"/>
      <c r="K168" s="45">
        <v>1044017</v>
      </c>
      <c r="L168" s="45"/>
      <c r="M168" s="45">
        <f>3412651+393742</f>
        <v>3806393</v>
      </c>
      <c r="N168" s="45"/>
      <c r="O168" s="45">
        <v>92152</v>
      </c>
      <c r="P168" s="45"/>
      <c r="Q168" s="45">
        <f>28709+845860</f>
        <v>874569</v>
      </c>
      <c r="R168" s="45"/>
      <c r="S168" s="44">
        <f t="shared" si="6"/>
        <v>259713</v>
      </c>
      <c r="T168" s="45"/>
      <c r="U168" s="45">
        <v>12388006</v>
      </c>
      <c r="V168" s="44"/>
      <c r="W168" s="45">
        <f>672469+17824+29133</f>
        <v>719426</v>
      </c>
    </row>
    <row r="169" spans="1:24" s="116" customFormat="1" ht="12.75" customHeight="1" x14ac:dyDescent="0.2">
      <c r="A169" s="44" t="s">
        <v>193</v>
      </c>
      <c r="C169" s="44" t="s">
        <v>45</v>
      </c>
      <c r="D169" s="35"/>
      <c r="E169" s="45">
        <v>2727581</v>
      </c>
      <c r="F169" s="45"/>
      <c r="G169" s="45">
        <v>13643613</v>
      </c>
      <c r="H169" s="45"/>
      <c r="I169" s="45">
        <f>171342+1324928</f>
        <v>1496270</v>
      </c>
      <c r="J169" s="45"/>
      <c r="K169" s="45">
        <v>700700</v>
      </c>
      <c r="L169" s="45"/>
      <c r="M169" s="45">
        <v>3124542</v>
      </c>
      <c r="N169" s="45"/>
      <c r="O169" s="45">
        <v>245966</v>
      </c>
      <c r="P169" s="45"/>
      <c r="Q169" s="45">
        <v>641619</v>
      </c>
      <c r="R169" s="45"/>
      <c r="S169" s="44">
        <f t="shared" si="6"/>
        <v>286203</v>
      </c>
      <c r="T169" s="45"/>
      <c r="U169" s="45">
        <v>22866494</v>
      </c>
      <c r="V169" s="44"/>
      <c r="W169" s="45">
        <v>744504</v>
      </c>
      <c r="X169" s="118"/>
    </row>
    <row r="170" spans="1:24" s="116" customFormat="1" ht="12.75" customHeight="1" x14ac:dyDescent="0.2">
      <c r="A170" s="44" t="s">
        <v>194</v>
      </c>
      <c r="C170" s="44" t="s">
        <v>66</v>
      </c>
      <c r="D170" s="35"/>
      <c r="E170" s="45">
        <v>1530598</v>
      </c>
      <c r="F170" s="45"/>
      <c r="G170" s="45">
        <v>6320391</v>
      </c>
      <c r="H170" s="45"/>
      <c r="I170" s="45">
        <v>0</v>
      </c>
      <c r="J170" s="45"/>
      <c r="K170" s="45">
        <v>1314441</v>
      </c>
      <c r="L170" s="45"/>
      <c r="M170" s="45">
        <v>2159599</v>
      </c>
      <c r="N170" s="45"/>
      <c r="O170" s="45">
        <v>146005</v>
      </c>
      <c r="P170" s="45"/>
      <c r="Q170" s="45">
        <v>158816</v>
      </c>
      <c r="R170" s="45"/>
      <c r="S170" s="44">
        <f t="shared" si="6"/>
        <v>157374</v>
      </c>
      <c r="T170" s="45"/>
      <c r="U170" s="45">
        <v>11787224</v>
      </c>
      <c r="V170" s="44"/>
      <c r="W170" s="45">
        <v>699156</v>
      </c>
    </row>
    <row r="171" spans="1:24" s="116" customFormat="1" ht="12.75" customHeight="1" x14ac:dyDescent="0.2">
      <c r="A171" s="44" t="s">
        <v>471</v>
      </c>
      <c r="C171" s="44"/>
      <c r="D171" s="3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4"/>
      <c r="T171" s="45"/>
      <c r="U171" s="45"/>
      <c r="V171" s="44"/>
      <c r="W171" s="48" t="s">
        <v>484</v>
      </c>
    </row>
    <row r="172" spans="1:24" s="116" customFormat="1" ht="12.75" customHeight="1" x14ac:dyDescent="0.2">
      <c r="A172" s="44" t="s">
        <v>195</v>
      </c>
      <c r="C172" s="44" t="s">
        <v>17</v>
      </c>
      <c r="D172" s="35"/>
      <c r="E172" s="94">
        <v>768441</v>
      </c>
      <c r="F172" s="94"/>
      <c r="G172" s="94">
        <v>5211051</v>
      </c>
      <c r="H172" s="94"/>
      <c r="I172" s="94">
        <v>0</v>
      </c>
      <c r="J172" s="94"/>
      <c r="K172" s="94">
        <v>144049</v>
      </c>
      <c r="L172" s="94"/>
      <c r="M172" s="94">
        <v>2403906</v>
      </c>
      <c r="N172" s="94"/>
      <c r="O172" s="94">
        <v>7495</v>
      </c>
      <c r="P172" s="94"/>
      <c r="Q172" s="94">
        <f>973442+262725</f>
        <v>1236167</v>
      </c>
      <c r="R172" s="94"/>
      <c r="S172" s="46">
        <f t="shared" si="6"/>
        <v>1686489</v>
      </c>
      <c r="T172" s="94"/>
      <c r="U172" s="94">
        <v>11457598</v>
      </c>
      <c r="V172" s="46"/>
      <c r="W172" s="94">
        <f>3755+1864143</f>
        <v>1867898</v>
      </c>
    </row>
    <row r="173" spans="1:24" s="116" customFormat="1" ht="12.75" customHeight="1" x14ac:dyDescent="0.2">
      <c r="A173" s="28" t="s">
        <v>196</v>
      </c>
      <c r="B173" s="49"/>
      <c r="C173" s="28" t="s">
        <v>27</v>
      </c>
      <c r="D173" s="35"/>
      <c r="E173" s="45">
        <v>1976390</v>
      </c>
      <c r="F173" s="45"/>
      <c r="G173" s="45">
        <v>2791469</v>
      </c>
      <c r="H173" s="45"/>
      <c r="I173" s="45">
        <v>0</v>
      </c>
      <c r="J173" s="45"/>
      <c r="K173" s="45">
        <v>550247</v>
      </c>
      <c r="L173" s="45"/>
      <c r="M173" s="45">
        <v>2703081</v>
      </c>
      <c r="N173" s="45"/>
      <c r="O173" s="45">
        <v>453689</v>
      </c>
      <c r="P173" s="45"/>
      <c r="Q173" s="45">
        <f>153670+106696</f>
        <v>260366</v>
      </c>
      <c r="R173" s="45"/>
      <c r="S173" s="44">
        <f t="shared" si="6"/>
        <v>19194</v>
      </c>
      <c r="T173" s="45"/>
      <c r="U173" s="45">
        <v>8754436</v>
      </c>
      <c r="V173" s="44"/>
      <c r="W173" s="45">
        <v>2214628</v>
      </c>
    </row>
    <row r="174" spans="1:24" s="116" customFormat="1" ht="12.75" customHeight="1" x14ac:dyDescent="0.2">
      <c r="A174" s="44" t="s">
        <v>402</v>
      </c>
      <c r="C174" s="44" t="s">
        <v>153</v>
      </c>
      <c r="D174" s="35"/>
      <c r="E174" s="45">
        <v>391555</v>
      </c>
      <c r="F174" s="45"/>
      <c r="G174" s="45">
        <v>4210051</v>
      </c>
      <c r="H174" s="45"/>
      <c r="I174" s="45">
        <v>193396</v>
      </c>
      <c r="J174" s="45"/>
      <c r="K174" s="45">
        <v>19899</v>
      </c>
      <c r="L174" s="45"/>
      <c r="M174" s="45">
        <v>821667</v>
      </c>
      <c r="N174" s="45"/>
      <c r="O174" s="45">
        <v>5888</v>
      </c>
      <c r="P174" s="45"/>
      <c r="Q174" s="45">
        <v>555828</v>
      </c>
      <c r="R174" s="45"/>
      <c r="S174" s="44">
        <f t="shared" si="6"/>
        <v>329201</v>
      </c>
      <c r="T174" s="45"/>
      <c r="U174" s="45">
        <v>6527485</v>
      </c>
      <c r="V174" s="44"/>
      <c r="W174" s="45">
        <f>11928+200775</f>
        <v>212703</v>
      </c>
    </row>
    <row r="175" spans="1:24" s="117" customFormat="1" ht="12.75" customHeight="1" x14ac:dyDescent="0.2">
      <c r="A175" s="44" t="s">
        <v>197</v>
      </c>
      <c r="B175" s="116"/>
      <c r="C175" s="44" t="s">
        <v>163</v>
      </c>
      <c r="D175" s="35"/>
      <c r="E175" s="45">
        <v>1571097</v>
      </c>
      <c r="F175" s="45"/>
      <c r="G175" s="45">
        <v>27892130</v>
      </c>
      <c r="H175" s="45"/>
      <c r="I175" s="45">
        <v>0</v>
      </c>
      <c r="J175" s="45"/>
      <c r="K175" s="45">
        <v>1802593</v>
      </c>
      <c r="L175" s="45"/>
      <c r="M175" s="45">
        <v>4699750</v>
      </c>
      <c r="N175" s="45"/>
      <c r="O175" s="45">
        <v>726905</v>
      </c>
      <c r="P175" s="45"/>
      <c r="Q175" s="45">
        <f>636623+175193</f>
        <v>811816</v>
      </c>
      <c r="R175" s="45"/>
      <c r="S175" s="44">
        <f t="shared" si="6"/>
        <v>1436879</v>
      </c>
      <c r="T175" s="45"/>
      <c r="U175" s="45">
        <v>38941170</v>
      </c>
      <c r="V175" s="44"/>
      <c r="W175" s="45">
        <f>1871+7005000+540503+929406+5924334</f>
        <v>14401114</v>
      </c>
    </row>
    <row r="176" spans="1:24" s="116" customFormat="1" ht="12.75" customHeight="1" x14ac:dyDescent="0.2">
      <c r="A176" s="44" t="s">
        <v>198</v>
      </c>
      <c r="C176" s="44" t="s">
        <v>199</v>
      </c>
      <c r="D176" s="35"/>
      <c r="E176" s="45">
        <v>422801</v>
      </c>
      <c r="F176" s="45"/>
      <c r="G176" s="45">
        <v>4677933</v>
      </c>
      <c r="H176" s="45"/>
      <c r="I176" s="45">
        <v>884285</v>
      </c>
      <c r="J176" s="45"/>
      <c r="K176" s="45">
        <v>724087</v>
      </c>
      <c r="L176" s="45"/>
      <c r="M176" s="45">
        <v>1224738</v>
      </c>
      <c r="N176" s="45"/>
      <c r="O176" s="45">
        <v>21502</v>
      </c>
      <c r="P176" s="45"/>
      <c r="Q176" s="45">
        <v>37724</v>
      </c>
      <c r="R176" s="45"/>
      <c r="S176" s="44">
        <f t="shared" si="6"/>
        <v>140484</v>
      </c>
      <c r="T176" s="45"/>
      <c r="U176" s="45">
        <v>8133554</v>
      </c>
      <c r="V176" s="44"/>
      <c r="W176" s="45">
        <v>338014</v>
      </c>
    </row>
    <row r="177" spans="1:23" s="116" customFormat="1" ht="12.75" customHeight="1" x14ac:dyDescent="0.2">
      <c r="A177" s="44" t="s">
        <v>200</v>
      </c>
      <c r="C177" s="44" t="s">
        <v>103</v>
      </c>
      <c r="D177" s="35"/>
      <c r="E177" s="45">
        <v>1284812</v>
      </c>
      <c r="F177" s="45"/>
      <c r="G177" s="45">
        <v>7588885</v>
      </c>
      <c r="H177" s="45"/>
      <c r="I177" s="45">
        <v>0</v>
      </c>
      <c r="J177" s="45"/>
      <c r="K177" s="45">
        <v>1425831</v>
      </c>
      <c r="L177" s="45"/>
      <c r="M177" s="45">
        <v>1541156</v>
      </c>
      <c r="N177" s="45"/>
      <c r="O177" s="45">
        <v>10934</v>
      </c>
      <c r="P177" s="45"/>
      <c r="Q177" s="45">
        <f>441726+443995</f>
        <v>885721</v>
      </c>
      <c r="R177" s="45"/>
      <c r="S177" s="44">
        <f t="shared" si="6"/>
        <v>404325</v>
      </c>
      <c r="T177" s="45"/>
      <c r="U177" s="45">
        <v>13141664</v>
      </c>
      <c r="V177" s="44"/>
      <c r="W177" s="45">
        <v>1456919</v>
      </c>
    </row>
    <row r="178" spans="1:23" s="116" customFormat="1" ht="12.75" customHeight="1" x14ac:dyDescent="0.2">
      <c r="A178" s="44" t="s">
        <v>201</v>
      </c>
      <c r="C178" s="44" t="s">
        <v>92</v>
      </c>
      <c r="D178" s="35"/>
      <c r="E178" s="45">
        <v>1161444</v>
      </c>
      <c r="F178" s="45"/>
      <c r="G178" s="45">
        <v>7167242</v>
      </c>
      <c r="H178" s="45"/>
      <c r="I178" s="45">
        <v>6400</v>
      </c>
      <c r="J178" s="45"/>
      <c r="K178" s="45">
        <v>834222</v>
      </c>
      <c r="L178" s="45"/>
      <c r="M178" s="45">
        <v>5249904</v>
      </c>
      <c r="N178" s="45"/>
      <c r="O178" s="45">
        <v>92547</v>
      </c>
      <c r="P178" s="45"/>
      <c r="Q178" s="45">
        <f>1257805+296994</f>
        <v>1554799</v>
      </c>
      <c r="R178" s="45"/>
      <c r="S178" s="44">
        <f t="shared" si="6"/>
        <v>1002370</v>
      </c>
      <c r="T178" s="45"/>
      <c r="U178" s="45">
        <v>17068928</v>
      </c>
      <c r="V178" s="44"/>
      <c r="W178" s="45">
        <f>1440751+1718475+5513</f>
        <v>3164739</v>
      </c>
    </row>
    <row r="179" spans="1:23" s="116" customFormat="1" ht="12.75" customHeight="1" x14ac:dyDescent="0.2">
      <c r="A179" s="44" t="s">
        <v>202</v>
      </c>
      <c r="C179" s="44" t="s">
        <v>27</v>
      </c>
      <c r="D179" s="35"/>
      <c r="E179" s="45">
        <v>8071964</v>
      </c>
      <c r="F179" s="45"/>
      <c r="G179" s="45">
        <v>35508969</v>
      </c>
      <c r="H179" s="45"/>
      <c r="I179" s="45">
        <v>0</v>
      </c>
      <c r="J179" s="45"/>
      <c r="K179" s="45">
        <v>3438129</v>
      </c>
      <c r="L179" s="45"/>
      <c r="M179" s="45">
        <v>22636793</v>
      </c>
      <c r="N179" s="45"/>
      <c r="O179" s="45">
        <v>1276186</v>
      </c>
      <c r="P179" s="45"/>
      <c r="Q179" s="45">
        <f>2376928+4103282</f>
        <v>6480210</v>
      </c>
      <c r="R179" s="45"/>
      <c r="S179" s="44">
        <f t="shared" si="6"/>
        <v>2018770</v>
      </c>
      <c r="T179" s="45"/>
      <c r="U179" s="45">
        <v>79431021</v>
      </c>
      <c r="V179" s="44"/>
      <c r="W179" s="45">
        <f>10000+402+7928927+558735</f>
        <v>8498064</v>
      </c>
    </row>
    <row r="180" spans="1:23" s="116" customFormat="1" ht="12.75" customHeight="1" x14ac:dyDescent="0.2">
      <c r="A180" s="44" t="s">
        <v>203</v>
      </c>
      <c r="C180" s="44" t="s">
        <v>27</v>
      </c>
      <c r="D180" s="35"/>
      <c r="E180" s="45">
        <v>2823198</v>
      </c>
      <c r="F180" s="45"/>
      <c r="G180" s="45">
        <v>8079081</v>
      </c>
      <c r="H180" s="45"/>
      <c r="I180" s="45">
        <v>0</v>
      </c>
      <c r="J180" s="45"/>
      <c r="K180" s="45">
        <v>1425608</v>
      </c>
      <c r="L180" s="45"/>
      <c r="M180" s="45">
        <v>3481886</v>
      </c>
      <c r="N180" s="45"/>
      <c r="O180" s="45">
        <v>69749</v>
      </c>
      <c r="P180" s="45"/>
      <c r="Q180" s="45">
        <v>1019849</v>
      </c>
      <c r="R180" s="45"/>
      <c r="S180" s="44">
        <f t="shared" si="6"/>
        <v>354430</v>
      </c>
      <c r="T180" s="45"/>
      <c r="U180" s="45">
        <v>17253801</v>
      </c>
      <c r="V180" s="44"/>
      <c r="W180" s="45">
        <f>125000+1050000+178932</f>
        <v>1353932</v>
      </c>
    </row>
    <row r="181" spans="1:23" s="116" customFormat="1" ht="12.75" customHeight="1" x14ac:dyDescent="0.2">
      <c r="A181" s="44" t="s">
        <v>204</v>
      </c>
      <c r="C181" s="44" t="s">
        <v>125</v>
      </c>
      <c r="D181" s="35"/>
      <c r="E181" s="45">
        <v>637042</v>
      </c>
      <c r="F181" s="45"/>
      <c r="G181" s="45">
        <v>3335770</v>
      </c>
      <c r="H181" s="45"/>
      <c r="I181" s="45">
        <v>0</v>
      </c>
      <c r="J181" s="45"/>
      <c r="K181" s="45">
        <v>26293</v>
      </c>
      <c r="L181" s="45"/>
      <c r="M181" s="45">
        <v>1938053</v>
      </c>
      <c r="N181" s="45"/>
      <c r="O181" s="45">
        <v>2967</v>
      </c>
      <c r="P181" s="45"/>
      <c r="Q181" s="45">
        <f>233253+231099</f>
        <v>464352</v>
      </c>
      <c r="R181" s="45"/>
      <c r="S181" s="44">
        <f t="shared" si="6"/>
        <v>776659</v>
      </c>
      <c r="T181" s="45"/>
      <c r="U181" s="45">
        <v>7181136</v>
      </c>
      <c r="V181" s="44"/>
      <c r="W181" s="45">
        <f>179477+245771</f>
        <v>425248</v>
      </c>
    </row>
    <row r="182" spans="1:23" s="116" customFormat="1" ht="12.75" customHeight="1" x14ac:dyDescent="0.2">
      <c r="A182" s="46" t="s">
        <v>205</v>
      </c>
      <c r="B182" s="117"/>
      <c r="C182" s="46" t="s">
        <v>27</v>
      </c>
      <c r="D182" s="64"/>
      <c r="E182" s="45">
        <v>3298273</v>
      </c>
      <c r="F182" s="45"/>
      <c r="G182" s="45">
        <v>4451604</v>
      </c>
      <c r="H182" s="45"/>
      <c r="I182" s="45">
        <f>400071+257036+84551</f>
        <v>741658</v>
      </c>
      <c r="J182" s="45"/>
      <c r="K182" s="45">
        <v>128424</v>
      </c>
      <c r="L182" s="45"/>
      <c r="M182" s="45">
        <v>1303625</v>
      </c>
      <c r="N182" s="45"/>
      <c r="O182" s="45">
        <v>649688</v>
      </c>
      <c r="P182" s="45"/>
      <c r="Q182" s="45">
        <f>295882+44404</f>
        <v>340286</v>
      </c>
      <c r="R182" s="45"/>
      <c r="S182" s="44">
        <f t="shared" si="6"/>
        <v>205724</v>
      </c>
      <c r="T182" s="45"/>
      <c r="U182" s="45">
        <v>11119282</v>
      </c>
      <c r="V182" s="44"/>
      <c r="W182" s="45">
        <v>1008000</v>
      </c>
    </row>
    <row r="183" spans="1:23" s="116" customFormat="1" ht="12.75" customHeight="1" x14ac:dyDescent="0.2">
      <c r="A183" s="44" t="s">
        <v>206</v>
      </c>
      <c r="C183" s="44" t="s">
        <v>47</v>
      </c>
      <c r="D183" s="35"/>
      <c r="E183" s="45">
        <v>3083155</v>
      </c>
      <c r="F183" s="45"/>
      <c r="G183" s="45">
        <v>14170930</v>
      </c>
      <c r="H183" s="45"/>
      <c r="I183" s="45">
        <v>0</v>
      </c>
      <c r="J183" s="45"/>
      <c r="K183" s="45">
        <v>982239</v>
      </c>
      <c r="L183" s="45"/>
      <c r="M183" s="45">
        <v>3592870</v>
      </c>
      <c r="N183" s="45"/>
      <c r="O183" s="45">
        <v>133940</v>
      </c>
      <c r="P183" s="45"/>
      <c r="Q183" s="45">
        <f>993050+163733</f>
        <v>1156783</v>
      </c>
      <c r="R183" s="45"/>
      <c r="S183" s="44">
        <f t="shared" si="6"/>
        <v>327669</v>
      </c>
      <c r="T183" s="45"/>
      <c r="U183" s="45">
        <v>23447586</v>
      </c>
      <c r="V183" s="44"/>
      <c r="W183" s="45">
        <v>4796318</v>
      </c>
    </row>
    <row r="184" spans="1:23" s="116" customFormat="1" ht="12.75" customHeight="1" x14ac:dyDescent="0.2">
      <c r="A184" s="44" t="s">
        <v>207</v>
      </c>
      <c r="C184" s="44" t="s">
        <v>102</v>
      </c>
      <c r="D184" s="35"/>
      <c r="E184" s="45">
        <v>2441729</v>
      </c>
      <c r="F184" s="45"/>
      <c r="G184" s="45">
        <v>5040931</v>
      </c>
      <c r="H184" s="45"/>
      <c r="I184" s="45">
        <f>101141+198065+889381</f>
        <v>1188587</v>
      </c>
      <c r="J184" s="45"/>
      <c r="K184" s="45">
        <v>545526</v>
      </c>
      <c r="L184" s="45"/>
      <c r="M184" s="45">
        <v>1699146</v>
      </c>
      <c r="N184" s="45"/>
      <c r="O184" s="45">
        <v>0</v>
      </c>
      <c r="P184" s="45"/>
      <c r="Q184" s="45">
        <f>434901+191866</f>
        <v>626767</v>
      </c>
      <c r="R184" s="45"/>
      <c r="S184" s="44">
        <f t="shared" si="6"/>
        <v>806989</v>
      </c>
      <c r="T184" s="45"/>
      <c r="U184" s="45">
        <v>12349675</v>
      </c>
      <c r="V184" s="44"/>
      <c r="W184" s="45">
        <f>8200+32724+2025000+58068+4106860</f>
        <v>6230852</v>
      </c>
    </row>
    <row r="185" spans="1:23" s="116" customFormat="1" ht="12.75" customHeight="1" x14ac:dyDescent="0.2">
      <c r="A185" s="44" t="s">
        <v>208</v>
      </c>
      <c r="C185" s="44" t="s">
        <v>209</v>
      </c>
      <c r="D185" s="35"/>
      <c r="E185" s="45">
        <v>1289519</v>
      </c>
      <c r="F185" s="45"/>
      <c r="G185" s="45">
        <v>8382273</v>
      </c>
      <c r="H185" s="45"/>
      <c r="I185" s="45">
        <f>2585245+1180220</f>
        <v>3765465</v>
      </c>
      <c r="J185" s="45"/>
      <c r="K185" s="45">
        <v>0</v>
      </c>
      <c r="L185" s="45"/>
      <c r="M185" s="45">
        <f>109763+683653</f>
        <v>793416</v>
      </c>
      <c r="N185" s="45"/>
      <c r="O185" s="45">
        <v>0</v>
      </c>
      <c r="P185" s="45"/>
      <c r="Q185" s="45">
        <v>1333529</v>
      </c>
      <c r="R185" s="45"/>
      <c r="S185" s="44">
        <f t="shared" si="6"/>
        <v>524077</v>
      </c>
      <c r="T185" s="45"/>
      <c r="U185" s="45">
        <v>16088279</v>
      </c>
      <c r="V185" s="44"/>
      <c r="W185" s="45">
        <f>49329+6500+2157880</f>
        <v>2213709</v>
      </c>
    </row>
    <row r="186" spans="1:23" s="117" customFormat="1" ht="12.75" customHeight="1" x14ac:dyDescent="0.2">
      <c r="A186" s="44" t="s">
        <v>210</v>
      </c>
      <c r="B186" s="116"/>
      <c r="C186" s="44" t="s">
        <v>211</v>
      </c>
      <c r="D186" s="35"/>
      <c r="E186" s="45">
        <v>778629</v>
      </c>
      <c r="F186" s="45"/>
      <c r="G186" s="45">
        <v>2203726</v>
      </c>
      <c r="H186" s="45"/>
      <c r="I186" s="45">
        <f>235220+20161</f>
        <v>255381</v>
      </c>
      <c r="J186" s="45"/>
      <c r="K186" s="45">
        <v>399887</v>
      </c>
      <c r="L186" s="45"/>
      <c r="M186" s="45">
        <v>1464947</v>
      </c>
      <c r="N186" s="45"/>
      <c r="O186" s="45">
        <v>14204</v>
      </c>
      <c r="P186" s="45"/>
      <c r="Q186" s="45">
        <f>107350+10392</f>
        <v>117742</v>
      </c>
      <c r="R186" s="45"/>
      <c r="S186" s="44">
        <f t="shared" si="6"/>
        <v>71983</v>
      </c>
      <c r="T186" s="45"/>
      <c r="U186" s="45">
        <v>5306499</v>
      </c>
      <c r="V186" s="44"/>
      <c r="W186" s="45">
        <f>8655+400242</f>
        <v>408897</v>
      </c>
    </row>
    <row r="187" spans="1:23" s="116" customFormat="1" ht="12.75" customHeight="1" x14ac:dyDescent="0.2">
      <c r="A187" s="44" t="s">
        <v>212</v>
      </c>
      <c r="C187" s="44" t="s">
        <v>213</v>
      </c>
      <c r="D187" s="35"/>
      <c r="E187" s="45">
        <v>9061432</v>
      </c>
      <c r="F187" s="45"/>
      <c r="G187" s="45">
        <v>0</v>
      </c>
      <c r="H187" s="45"/>
      <c r="I187" s="45">
        <v>0</v>
      </c>
      <c r="J187" s="45"/>
      <c r="K187" s="45">
        <v>448864</v>
      </c>
      <c r="L187" s="45"/>
      <c r="M187" s="45">
        <v>5973637</v>
      </c>
      <c r="N187" s="45"/>
      <c r="O187" s="45">
        <v>0</v>
      </c>
      <c r="P187" s="45"/>
      <c r="Q187" s="45">
        <f>200268+974985</f>
        <v>1175253</v>
      </c>
      <c r="R187" s="45"/>
      <c r="S187" s="44">
        <f t="shared" si="6"/>
        <v>267974</v>
      </c>
      <c r="T187" s="45"/>
      <c r="U187" s="45">
        <v>16927160</v>
      </c>
      <c r="V187" s="44"/>
      <c r="W187" s="45">
        <f>33034+18000</f>
        <v>51034</v>
      </c>
    </row>
    <row r="188" spans="1:23" s="118" customFormat="1" ht="12.75" hidden="1" customHeight="1" x14ac:dyDescent="0.2">
      <c r="A188" s="44" t="s">
        <v>214</v>
      </c>
      <c r="B188" s="116"/>
      <c r="C188" s="44" t="s">
        <v>86</v>
      </c>
      <c r="D188" s="35"/>
      <c r="E188" s="45">
        <v>1823309</v>
      </c>
      <c r="F188" s="45"/>
      <c r="G188" s="45">
        <v>4357270</v>
      </c>
      <c r="H188" s="45"/>
      <c r="I188" s="45">
        <v>441785</v>
      </c>
      <c r="J188" s="45"/>
      <c r="K188" s="45">
        <v>147467</v>
      </c>
      <c r="L188" s="45"/>
      <c r="M188" s="45">
        <f>201168+917551</f>
        <v>1118719</v>
      </c>
      <c r="N188" s="45"/>
      <c r="O188" s="45">
        <v>0</v>
      </c>
      <c r="P188" s="45"/>
      <c r="Q188" s="45">
        <f>573644+46355</f>
        <v>619999</v>
      </c>
      <c r="R188" s="45"/>
      <c r="S188" s="44">
        <f t="shared" si="6"/>
        <v>1431334</v>
      </c>
      <c r="T188" s="45"/>
      <c r="U188" s="45">
        <v>9939883</v>
      </c>
      <c r="V188" s="44"/>
      <c r="W188" s="45">
        <f>322500+9015000+398033</f>
        <v>9735533</v>
      </c>
    </row>
    <row r="189" spans="1:23" s="116" customFormat="1" ht="12.75" customHeight="1" x14ac:dyDescent="0.2">
      <c r="A189" s="44" t="s">
        <v>215</v>
      </c>
      <c r="C189" s="44" t="s">
        <v>22</v>
      </c>
      <c r="D189" s="35"/>
      <c r="E189" s="45">
        <v>594945</v>
      </c>
      <c r="F189" s="45"/>
      <c r="G189" s="45">
        <v>6420243</v>
      </c>
      <c r="H189" s="45"/>
      <c r="I189" s="45">
        <v>0</v>
      </c>
      <c r="J189" s="45"/>
      <c r="K189" s="45">
        <v>1183921</v>
      </c>
      <c r="L189" s="45"/>
      <c r="M189" s="45">
        <v>3040541</v>
      </c>
      <c r="N189" s="45"/>
      <c r="O189" s="45">
        <v>49702</v>
      </c>
      <c r="P189" s="45"/>
      <c r="Q189" s="45">
        <f>389354+62526</f>
        <v>451880</v>
      </c>
      <c r="R189" s="45"/>
      <c r="S189" s="44">
        <f t="shared" si="6"/>
        <v>198890</v>
      </c>
      <c r="T189" s="45"/>
      <c r="U189" s="45">
        <v>11940122</v>
      </c>
      <c r="V189" s="44"/>
      <c r="W189" s="45">
        <f>137900+210613</f>
        <v>348513</v>
      </c>
    </row>
    <row r="190" spans="1:23" s="116" customFormat="1" ht="12.75" customHeight="1" x14ac:dyDescent="0.2">
      <c r="A190" s="44" t="s">
        <v>216</v>
      </c>
      <c r="C190" s="44" t="s">
        <v>45</v>
      </c>
      <c r="D190" s="35"/>
      <c r="E190" s="45">
        <v>6883867</v>
      </c>
      <c r="F190" s="45"/>
      <c r="G190" s="45">
        <v>0</v>
      </c>
      <c r="H190" s="45"/>
      <c r="I190" s="45">
        <v>0</v>
      </c>
      <c r="J190" s="45"/>
      <c r="K190" s="45">
        <v>1083192</v>
      </c>
      <c r="L190" s="45"/>
      <c r="M190" s="45">
        <v>1905118</v>
      </c>
      <c r="N190" s="45"/>
      <c r="O190" s="45">
        <v>0</v>
      </c>
      <c r="P190" s="45"/>
      <c r="Q190" s="45">
        <v>291839</v>
      </c>
      <c r="R190" s="45"/>
      <c r="S190" s="44">
        <f t="shared" si="6"/>
        <v>104993</v>
      </c>
      <c r="T190" s="45"/>
      <c r="U190" s="45">
        <v>10269009</v>
      </c>
      <c r="V190" s="44"/>
      <c r="W190" s="45">
        <f>2021+1267030+417781</f>
        <v>1686832</v>
      </c>
    </row>
    <row r="191" spans="1:23" s="116" customFormat="1" ht="12.75" customHeight="1" x14ac:dyDescent="0.2">
      <c r="A191" s="44" t="s">
        <v>217</v>
      </c>
      <c r="C191" s="44" t="s">
        <v>43</v>
      </c>
      <c r="D191" s="35"/>
      <c r="E191" s="45">
        <v>14546665</v>
      </c>
      <c r="F191" s="45"/>
      <c r="G191" s="45">
        <v>0</v>
      </c>
      <c r="H191" s="45"/>
      <c r="I191" s="45">
        <v>0</v>
      </c>
      <c r="J191" s="45"/>
      <c r="K191" s="45">
        <v>254885</v>
      </c>
      <c r="L191" s="45"/>
      <c r="M191" s="45">
        <v>5796606</v>
      </c>
      <c r="N191" s="45"/>
      <c r="O191" s="45">
        <v>44446</v>
      </c>
      <c r="P191" s="45"/>
      <c r="Q191" s="45">
        <f>680878+272031</f>
        <v>952909</v>
      </c>
      <c r="R191" s="45"/>
      <c r="S191" s="44">
        <f t="shared" si="6"/>
        <v>774725</v>
      </c>
      <c r="T191" s="45"/>
      <c r="U191" s="45">
        <v>22370236</v>
      </c>
      <c r="V191" s="44"/>
      <c r="W191" s="45">
        <v>150000</v>
      </c>
    </row>
    <row r="192" spans="1:23" s="116" customFormat="1" ht="12.75" customHeight="1" x14ac:dyDescent="0.2">
      <c r="A192" s="44" t="s">
        <v>218</v>
      </c>
      <c r="B192" s="118"/>
      <c r="C192" s="44" t="s">
        <v>27</v>
      </c>
      <c r="D192" s="35"/>
      <c r="E192" s="45">
        <v>3745070</v>
      </c>
      <c r="F192" s="45"/>
      <c r="G192" s="45">
        <v>4436243</v>
      </c>
      <c r="H192" s="45"/>
      <c r="I192" s="45">
        <v>66164</v>
      </c>
      <c r="J192" s="45"/>
      <c r="K192" s="45">
        <v>336547</v>
      </c>
      <c r="L192" s="45"/>
      <c r="M192" s="45">
        <v>2169564</v>
      </c>
      <c r="N192" s="45"/>
      <c r="O192" s="45">
        <v>610705</v>
      </c>
      <c r="P192" s="45"/>
      <c r="Q192" s="45">
        <v>409377</v>
      </c>
      <c r="R192" s="45"/>
      <c r="S192" s="44">
        <f t="shared" si="6"/>
        <v>878948</v>
      </c>
      <c r="T192" s="45"/>
      <c r="U192" s="45">
        <v>12652618</v>
      </c>
      <c r="V192" s="44"/>
      <c r="W192" s="45">
        <f>30660+4222775</f>
        <v>4253435</v>
      </c>
    </row>
    <row r="193" spans="1:24" s="116" customFormat="1" ht="12.75" customHeight="1" x14ac:dyDescent="0.2">
      <c r="A193" s="44" t="s">
        <v>219</v>
      </c>
      <c r="C193" s="44" t="s">
        <v>199</v>
      </c>
      <c r="D193" s="35"/>
      <c r="E193" s="45">
        <v>621395</v>
      </c>
      <c r="F193" s="45"/>
      <c r="G193" s="45">
        <v>990823</v>
      </c>
      <c r="H193" s="45"/>
      <c r="I193" s="45">
        <v>0</v>
      </c>
      <c r="J193" s="45"/>
      <c r="K193" s="45">
        <v>1225084</v>
      </c>
      <c r="L193" s="45"/>
      <c r="M193" s="45">
        <v>954681</v>
      </c>
      <c r="N193" s="45"/>
      <c r="O193" s="45">
        <v>18113</v>
      </c>
      <c r="P193" s="45"/>
      <c r="Q193" s="45">
        <v>33394</v>
      </c>
      <c r="R193" s="45"/>
      <c r="S193" s="44">
        <f t="shared" si="6"/>
        <v>83890</v>
      </c>
      <c r="T193" s="45"/>
      <c r="U193" s="45">
        <v>3927380</v>
      </c>
      <c r="V193" s="44"/>
      <c r="W193" s="45">
        <v>198364</v>
      </c>
    </row>
    <row r="194" spans="1:24" s="116" customFormat="1" ht="12.75" customHeight="1" x14ac:dyDescent="0.2">
      <c r="A194" s="44" t="s">
        <v>220</v>
      </c>
      <c r="C194" s="44" t="s">
        <v>66</v>
      </c>
      <c r="D194" s="35"/>
      <c r="E194" s="45">
        <v>2338318</v>
      </c>
      <c r="F194" s="45"/>
      <c r="G194" s="45">
        <v>4000696</v>
      </c>
      <c r="H194" s="45"/>
      <c r="I194" s="45">
        <f>262960+101512</f>
        <v>364472</v>
      </c>
      <c r="J194" s="45"/>
      <c r="K194" s="45">
        <v>1803276</v>
      </c>
      <c r="L194" s="45"/>
      <c r="M194" s="45">
        <v>2946453</v>
      </c>
      <c r="N194" s="45"/>
      <c r="O194" s="45">
        <v>185538</v>
      </c>
      <c r="P194" s="45"/>
      <c r="Q194" s="45">
        <f>42194+17030</f>
        <v>59224</v>
      </c>
      <c r="R194" s="45"/>
      <c r="S194" s="44">
        <f t="shared" si="6"/>
        <v>96697</v>
      </c>
      <c r="T194" s="45"/>
      <c r="U194" s="45">
        <v>11794674</v>
      </c>
      <c r="V194" s="44"/>
      <c r="W194" s="45">
        <f>24799+23100+3025939</f>
        <v>3073838</v>
      </c>
    </row>
    <row r="195" spans="1:24" s="116" customFormat="1" ht="12.75" customHeight="1" x14ac:dyDescent="0.2">
      <c r="A195" s="44" t="s">
        <v>221</v>
      </c>
      <c r="C195" s="44" t="s">
        <v>27</v>
      </c>
      <c r="D195" s="35"/>
      <c r="E195" s="45">
        <v>6472059</v>
      </c>
      <c r="F195" s="45"/>
      <c r="G195" s="45">
        <v>8570317</v>
      </c>
      <c r="H195" s="45"/>
      <c r="I195" s="45">
        <v>234169</v>
      </c>
      <c r="J195" s="45"/>
      <c r="K195" s="45">
        <v>3711407</v>
      </c>
      <c r="L195" s="45"/>
      <c r="M195" s="45">
        <v>4749825</v>
      </c>
      <c r="N195" s="45"/>
      <c r="O195" s="45">
        <v>60120</v>
      </c>
      <c r="P195" s="45"/>
      <c r="Q195" s="45">
        <v>3504950</v>
      </c>
      <c r="R195" s="45"/>
      <c r="S195" s="44">
        <f t="shared" si="6"/>
        <v>887157</v>
      </c>
      <c r="T195" s="45"/>
      <c r="U195" s="45">
        <v>28190004</v>
      </c>
      <c r="V195" s="44"/>
      <c r="W195" s="45">
        <f>4691540+52694+3680000</f>
        <v>8424234</v>
      </c>
    </row>
    <row r="196" spans="1:24" s="116" customFormat="1" ht="12.75" customHeight="1" x14ac:dyDescent="0.2">
      <c r="A196" s="44" t="s">
        <v>222</v>
      </c>
      <c r="C196" s="44" t="s">
        <v>47</v>
      </c>
      <c r="D196" s="35"/>
      <c r="E196" s="45">
        <v>1286556</v>
      </c>
      <c r="F196" s="45"/>
      <c r="G196" s="45">
        <v>3000128</v>
      </c>
      <c r="H196" s="45"/>
      <c r="I196" s="45">
        <v>874505</v>
      </c>
      <c r="J196" s="45"/>
      <c r="K196" s="45">
        <v>275420</v>
      </c>
      <c r="L196" s="45"/>
      <c r="M196" s="45">
        <v>1123724</v>
      </c>
      <c r="N196" s="45"/>
      <c r="O196" s="45">
        <v>473548</v>
      </c>
      <c r="P196" s="45"/>
      <c r="Q196" s="45">
        <v>117720</v>
      </c>
      <c r="R196" s="45"/>
      <c r="S196" s="44">
        <f t="shared" si="6"/>
        <v>90633</v>
      </c>
      <c r="T196" s="45"/>
      <c r="U196" s="45">
        <v>7242234</v>
      </c>
      <c r="V196" s="44"/>
      <c r="W196" s="45">
        <v>660000</v>
      </c>
    </row>
    <row r="197" spans="1:24" s="116" customFormat="1" ht="12.75" customHeight="1" x14ac:dyDescent="0.2">
      <c r="A197" s="44" t="s">
        <v>223</v>
      </c>
      <c r="C197" s="44" t="s">
        <v>94</v>
      </c>
      <c r="D197" s="35"/>
      <c r="E197" s="45">
        <v>1009011</v>
      </c>
      <c r="F197" s="45"/>
      <c r="G197" s="45">
        <v>4243658</v>
      </c>
      <c r="H197" s="45"/>
      <c r="I197" s="45">
        <v>85961</v>
      </c>
      <c r="J197" s="45"/>
      <c r="K197" s="45">
        <v>126497</v>
      </c>
      <c r="L197" s="45"/>
      <c r="M197" s="45">
        <v>1561941</v>
      </c>
      <c r="N197" s="45"/>
      <c r="O197" s="45">
        <v>20273</v>
      </c>
      <c r="P197" s="45"/>
      <c r="Q197" s="45">
        <f>133450+17267</f>
        <v>150717</v>
      </c>
      <c r="R197" s="45"/>
      <c r="S197" s="44">
        <f t="shared" si="6"/>
        <v>305553</v>
      </c>
      <c r="T197" s="45"/>
      <c r="U197" s="45">
        <v>7503611</v>
      </c>
      <c r="V197" s="44"/>
      <c r="W197" s="45">
        <f>9026+376179+297483</f>
        <v>682688</v>
      </c>
    </row>
    <row r="198" spans="1:24" s="116" customFormat="1" ht="12.75" customHeight="1" x14ac:dyDescent="0.2">
      <c r="A198" s="44" t="s">
        <v>76</v>
      </c>
      <c r="C198" s="44" t="s">
        <v>132</v>
      </c>
      <c r="D198" s="35"/>
      <c r="E198" s="45">
        <v>2290106</v>
      </c>
      <c r="F198" s="45"/>
      <c r="G198" s="45">
        <v>7240793</v>
      </c>
      <c r="H198" s="45"/>
      <c r="I198" s="45">
        <f>554005+4287830</f>
        <v>4841835</v>
      </c>
      <c r="J198" s="45"/>
      <c r="K198" s="45">
        <v>1408172</v>
      </c>
      <c r="L198" s="45"/>
      <c r="M198" s="45">
        <v>5717042</v>
      </c>
      <c r="N198" s="45"/>
      <c r="O198" s="45">
        <v>329360</v>
      </c>
      <c r="P198" s="45"/>
      <c r="Q198" s="45">
        <f>940663+1027377</f>
        <v>1968040</v>
      </c>
      <c r="R198" s="45"/>
      <c r="S198" s="44">
        <f t="shared" si="6"/>
        <v>1567548</v>
      </c>
      <c r="T198" s="45"/>
      <c r="U198" s="45">
        <v>25362896</v>
      </c>
      <c r="V198" s="44"/>
      <c r="W198" s="45">
        <f>4090000+120335+385637+4961338</f>
        <v>9557310</v>
      </c>
    </row>
    <row r="199" spans="1:24" s="116" customFormat="1" ht="12.75" customHeight="1" x14ac:dyDescent="0.2">
      <c r="A199" s="44" t="s">
        <v>224</v>
      </c>
      <c r="C199" s="44" t="s">
        <v>27</v>
      </c>
      <c r="D199" s="35"/>
      <c r="E199" s="45">
        <v>7451738</v>
      </c>
      <c r="F199" s="45"/>
      <c r="G199" s="45">
        <v>0</v>
      </c>
      <c r="H199" s="45"/>
      <c r="I199" s="45">
        <v>0</v>
      </c>
      <c r="J199" s="45"/>
      <c r="K199" s="45">
        <v>1175612</v>
      </c>
      <c r="L199" s="45"/>
      <c r="M199" s="45">
        <v>2833339</v>
      </c>
      <c r="N199" s="45"/>
      <c r="O199" s="45">
        <v>199617</v>
      </c>
      <c r="P199" s="45"/>
      <c r="Q199" s="45">
        <v>519580</v>
      </c>
      <c r="R199" s="45"/>
      <c r="S199" s="44">
        <f t="shared" si="6"/>
        <v>934449</v>
      </c>
      <c r="T199" s="45"/>
      <c r="U199" s="45">
        <v>13114335</v>
      </c>
      <c r="V199" s="44"/>
      <c r="W199" s="45">
        <f>116633+10765000+217906+1474130</f>
        <v>12573669</v>
      </c>
    </row>
    <row r="200" spans="1:24" s="116" customFormat="1" ht="12.75" customHeight="1" x14ac:dyDescent="0.2">
      <c r="A200" s="44" t="s">
        <v>225</v>
      </c>
      <c r="C200" s="44" t="s">
        <v>27</v>
      </c>
      <c r="D200" s="35"/>
      <c r="E200" s="45">
        <v>6768107</v>
      </c>
      <c r="F200" s="45"/>
      <c r="G200" s="45">
        <v>21185654</v>
      </c>
      <c r="H200" s="45"/>
      <c r="I200" s="45">
        <v>63867</v>
      </c>
      <c r="J200" s="45"/>
      <c r="K200" s="45">
        <v>6949653</v>
      </c>
      <c r="L200" s="45"/>
      <c r="M200" s="45">
        <v>13177336</v>
      </c>
      <c r="N200" s="45"/>
      <c r="O200" s="45">
        <v>1559342</v>
      </c>
      <c r="P200" s="45"/>
      <c r="Q200" s="45">
        <f>639272+940688</f>
        <v>1579960</v>
      </c>
      <c r="R200" s="45"/>
      <c r="S200" s="44">
        <f t="shared" ref="S200" si="7">+U200-SUM(E200:Q200)</f>
        <v>674065</v>
      </c>
      <c r="T200" s="45"/>
      <c r="U200" s="53">
        <v>51957984</v>
      </c>
      <c r="V200" s="44"/>
      <c r="W200" s="44">
        <f>2250000+119970+5149498</f>
        <v>7519468</v>
      </c>
    </row>
    <row r="201" spans="1:24" s="116" customFormat="1" ht="12.75" customHeight="1" x14ac:dyDescent="0.2">
      <c r="A201" s="44" t="s">
        <v>226</v>
      </c>
      <c r="C201" s="44" t="s">
        <v>45</v>
      </c>
      <c r="D201" s="64"/>
      <c r="E201" s="45">
        <v>19964937</v>
      </c>
      <c r="F201" s="45"/>
      <c r="G201" s="45">
        <v>0</v>
      </c>
      <c r="H201" s="45"/>
      <c r="I201" s="45">
        <v>476448</v>
      </c>
      <c r="J201" s="45"/>
      <c r="K201" s="45">
        <v>846721</v>
      </c>
      <c r="L201" s="45"/>
      <c r="M201" s="45">
        <v>3919570</v>
      </c>
      <c r="N201" s="45"/>
      <c r="O201" s="45">
        <v>236426</v>
      </c>
      <c r="P201" s="45"/>
      <c r="Q201" s="45">
        <f>427874+525503</f>
        <v>953377</v>
      </c>
      <c r="R201" s="45"/>
      <c r="S201" s="44">
        <f t="shared" ref="S201:S240" si="8">+U201-SUM(E201:Q201)</f>
        <v>785910</v>
      </c>
      <c r="T201" s="45"/>
      <c r="U201" s="45">
        <v>27183389</v>
      </c>
      <c r="V201" s="44"/>
      <c r="W201" s="45">
        <f>285304+2999168</f>
        <v>3284472</v>
      </c>
    </row>
    <row r="202" spans="1:24" s="117" customFormat="1" ht="12.75" customHeight="1" x14ac:dyDescent="0.2">
      <c r="A202" s="46" t="s">
        <v>227</v>
      </c>
      <c r="C202" s="46" t="s">
        <v>17</v>
      </c>
      <c r="D202" s="64"/>
      <c r="E202" s="45">
        <v>1247182</v>
      </c>
      <c r="F202" s="45"/>
      <c r="G202" s="45">
        <v>2044952</v>
      </c>
      <c r="H202" s="45"/>
      <c r="I202" s="45">
        <v>0</v>
      </c>
      <c r="J202" s="45"/>
      <c r="K202" s="45">
        <v>983047</v>
      </c>
      <c r="L202" s="45"/>
      <c r="M202" s="45">
        <v>1078506</v>
      </c>
      <c r="N202" s="45"/>
      <c r="O202" s="45">
        <v>974</v>
      </c>
      <c r="P202" s="45"/>
      <c r="Q202" s="45">
        <v>172667</v>
      </c>
      <c r="R202" s="45"/>
      <c r="S202" s="44">
        <f t="shared" si="8"/>
        <v>635621</v>
      </c>
      <c r="T202" s="45"/>
      <c r="U202" s="45">
        <v>6162949</v>
      </c>
      <c r="V202" s="44"/>
      <c r="W202" s="45">
        <f>167237+430000+90390</f>
        <v>687627</v>
      </c>
    </row>
    <row r="203" spans="1:24" s="116" customFormat="1" ht="12.75" customHeight="1" x14ac:dyDescent="0.2">
      <c r="A203" s="44" t="s">
        <v>228</v>
      </c>
      <c r="C203" s="44" t="s">
        <v>153</v>
      </c>
      <c r="D203" s="35"/>
      <c r="E203" s="45">
        <v>4076942</v>
      </c>
      <c r="F203" s="45"/>
      <c r="G203" s="45">
        <v>0</v>
      </c>
      <c r="H203" s="45"/>
      <c r="I203" s="45">
        <v>0</v>
      </c>
      <c r="J203" s="45"/>
      <c r="K203" s="45">
        <v>516223</v>
      </c>
      <c r="L203" s="45"/>
      <c r="M203" s="45">
        <v>2801391</v>
      </c>
      <c r="N203" s="45"/>
      <c r="O203" s="45">
        <v>33210</v>
      </c>
      <c r="P203" s="45"/>
      <c r="Q203" s="45">
        <v>318818</v>
      </c>
      <c r="R203" s="45"/>
      <c r="S203" s="44">
        <f t="shared" si="8"/>
        <v>79561</v>
      </c>
      <c r="T203" s="45"/>
      <c r="U203" s="45">
        <v>7826145</v>
      </c>
      <c r="V203" s="44"/>
      <c r="W203" s="45">
        <f>2250+6385000+148802+253250</f>
        <v>6789302</v>
      </c>
    </row>
    <row r="204" spans="1:24" s="116" customFormat="1" ht="12.75" customHeight="1" x14ac:dyDescent="0.2">
      <c r="A204" s="44" t="s">
        <v>229</v>
      </c>
      <c r="C204" s="44" t="s">
        <v>228</v>
      </c>
      <c r="D204" s="35"/>
      <c r="E204" s="45">
        <v>14021437</v>
      </c>
      <c r="F204" s="45"/>
      <c r="G204" s="45">
        <v>0</v>
      </c>
      <c r="H204" s="45"/>
      <c r="I204" s="45">
        <v>0</v>
      </c>
      <c r="J204" s="45"/>
      <c r="K204" s="45">
        <v>1641677</v>
      </c>
      <c r="L204" s="45"/>
      <c r="M204" s="45">
        <v>5907208</v>
      </c>
      <c r="N204" s="45"/>
      <c r="O204" s="45">
        <v>296942</v>
      </c>
      <c r="P204" s="45"/>
      <c r="Q204" s="45">
        <v>181183</v>
      </c>
      <c r="R204" s="45"/>
      <c r="S204" s="44">
        <f t="shared" si="8"/>
        <v>637305</v>
      </c>
      <c r="T204" s="45"/>
      <c r="U204" s="45">
        <v>22685752</v>
      </c>
      <c r="V204" s="44"/>
      <c r="W204" s="45">
        <f>235000+56952+1605000+27176</f>
        <v>1924128</v>
      </c>
    </row>
    <row r="205" spans="1:24" s="134" customFormat="1" ht="12.75" hidden="1" customHeight="1" x14ac:dyDescent="0.2">
      <c r="A205" s="123" t="s">
        <v>230</v>
      </c>
      <c r="B205" s="155"/>
      <c r="C205" s="123" t="s">
        <v>45</v>
      </c>
      <c r="D205" s="126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1">
        <f t="shared" si="8"/>
        <v>0</v>
      </c>
      <c r="T205" s="127"/>
      <c r="U205" s="127"/>
      <c r="V205" s="121"/>
      <c r="W205" s="127"/>
      <c r="X205" s="121" t="s">
        <v>509</v>
      </c>
    </row>
    <row r="206" spans="1:24" s="116" customFormat="1" ht="12.75" customHeight="1" x14ac:dyDescent="0.2">
      <c r="A206" s="44" t="s">
        <v>231</v>
      </c>
      <c r="C206" s="44" t="s">
        <v>27</v>
      </c>
      <c r="D206" s="35"/>
      <c r="E206" s="45">
        <v>4175477</v>
      </c>
      <c r="F206" s="45"/>
      <c r="G206" s="45">
        <v>38635456</v>
      </c>
      <c r="H206" s="45"/>
      <c r="I206" s="45">
        <v>0</v>
      </c>
      <c r="J206" s="45"/>
      <c r="K206" s="45">
        <v>3741157</v>
      </c>
      <c r="L206" s="45"/>
      <c r="M206" s="45">
        <v>3369326</v>
      </c>
      <c r="N206" s="45"/>
      <c r="O206" s="45">
        <v>722102</v>
      </c>
      <c r="P206" s="45"/>
      <c r="Q206" s="45">
        <f>722408+397909</f>
        <v>1120317</v>
      </c>
      <c r="R206" s="45"/>
      <c r="S206" s="44">
        <f t="shared" si="8"/>
        <v>1259024</v>
      </c>
      <c r="T206" s="45"/>
      <c r="U206" s="45">
        <v>53022859</v>
      </c>
      <c r="V206" s="44"/>
      <c r="W206" s="45">
        <f>66462+4363775</f>
        <v>4430237</v>
      </c>
    </row>
    <row r="207" spans="1:24" s="116" customFormat="1" ht="12.75" customHeight="1" x14ac:dyDescent="0.2">
      <c r="A207" s="44" t="s">
        <v>232</v>
      </c>
      <c r="C207" s="44" t="s">
        <v>27</v>
      </c>
      <c r="D207" s="35"/>
      <c r="E207" s="45">
        <v>4461493</v>
      </c>
      <c r="F207" s="45"/>
      <c r="G207" s="45">
        <v>8722342</v>
      </c>
      <c r="H207" s="45"/>
      <c r="I207" s="45">
        <v>0</v>
      </c>
      <c r="J207" s="45"/>
      <c r="K207" s="45">
        <v>617720</v>
      </c>
      <c r="L207" s="45"/>
      <c r="M207" s="45">
        <v>5729726</v>
      </c>
      <c r="N207" s="45"/>
      <c r="O207" s="45">
        <v>2878565</v>
      </c>
      <c r="P207" s="45"/>
      <c r="Q207" s="45">
        <f>515075+679711</f>
        <v>1194786</v>
      </c>
      <c r="R207" s="45"/>
      <c r="S207" s="44">
        <f t="shared" si="8"/>
        <v>1037389</v>
      </c>
      <c r="T207" s="45"/>
      <c r="U207" s="45">
        <v>24642021</v>
      </c>
      <c r="V207" s="44"/>
      <c r="W207" s="45">
        <f>4115+150326+304060+680545+403400+233666</f>
        <v>1776112</v>
      </c>
    </row>
    <row r="208" spans="1:24" s="116" customFormat="1" ht="12.75" customHeight="1" x14ac:dyDescent="0.2">
      <c r="A208" s="44" t="s">
        <v>233</v>
      </c>
      <c r="C208" s="44" t="s">
        <v>111</v>
      </c>
      <c r="D208" s="35"/>
      <c r="E208" s="45">
        <v>702381</v>
      </c>
      <c r="F208" s="45"/>
      <c r="G208" s="45">
        <v>10362125</v>
      </c>
      <c r="H208" s="45"/>
      <c r="I208" s="45">
        <v>217620</v>
      </c>
      <c r="J208" s="45"/>
      <c r="K208" s="45">
        <v>1301646</v>
      </c>
      <c r="L208" s="45"/>
      <c r="M208" s="45">
        <v>2026299</v>
      </c>
      <c r="N208" s="45"/>
      <c r="O208" s="45">
        <v>402343</v>
      </c>
      <c r="P208" s="45"/>
      <c r="Q208" s="45">
        <v>406845</v>
      </c>
      <c r="R208" s="45"/>
      <c r="S208" s="44">
        <f t="shared" si="8"/>
        <v>726460</v>
      </c>
      <c r="T208" s="45"/>
      <c r="U208" s="45">
        <v>16145719</v>
      </c>
      <c r="V208" s="44"/>
      <c r="W208" s="45">
        <v>5036406</v>
      </c>
    </row>
    <row r="209" spans="1:24" s="116" customFormat="1" ht="12.75" customHeight="1" x14ac:dyDescent="0.2">
      <c r="A209" s="44" t="s">
        <v>234</v>
      </c>
      <c r="C209" s="44" t="s">
        <v>45</v>
      </c>
      <c r="D209" s="35"/>
      <c r="E209" s="45">
        <v>1245380</v>
      </c>
      <c r="F209" s="45"/>
      <c r="G209" s="45">
        <v>12058356</v>
      </c>
      <c r="H209" s="45"/>
      <c r="I209" s="45">
        <v>531861</v>
      </c>
      <c r="J209" s="45"/>
      <c r="K209" s="45">
        <v>309450</v>
      </c>
      <c r="L209" s="45"/>
      <c r="M209" s="45">
        <v>2070566</v>
      </c>
      <c r="N209" s="45"/>
      <c r="O209" s="45">
        <v>104712</v>
      </c>
      <c r="P209" s="45"/>
      <c r="Q209" s="45">
        <f>292462+418156</f>
        <v>710618</v>
      </c>
      <c r="R209" s="45"/>
      <c r="S209" s="44">
        <f t="shared" si="8"/>
        <v>450003</v>
      </c>
      <c r="T209" s="45"/>
      <c r="U209" s="45">
        <v>17480946</v>
      </c>
      <c r="V209" s="44"/>
      <c r="W209" s="45">
        <f>135000+763800</f>
        <v>898800</v>
      </c>
    </row>
    <row r="210" spans="1:24" s="116" customFormat="1" ht="12.75" customHeight="1" x14ac:dyDescent="0.2">
      <c r="A210" s="44" t="s">
        <v>235</v>
      </c>
      <c r="C210" s="44" t="s">
        <v>183</v>
      </c>
      <c r="D210" s="35"/>
      <c r="E210" s="45">
        <v>2611990</v>
      </c>
      <c r="F210" s="45"/>
      <c r="G210" s="45">
        <v>29086793</v>
      </c>
      <c r="H210" s="45"/>
      <c r="I210" s="45">
        <f>911200+6864580</f>
        <v>7775780</v>
      </c>
      <c r="J210" s="45"/>
      <c r="K210" s="45">
        <v>4509212</v>
      </c>
      <c r="L210" s="45"/>
      <c r="M210" s="45">
        <v>25223193</v>
      </c>
      <c r="N210" s="45"/>
      <c r="O210" s="45">
        <v>171677</v>
      </c>
      <c r="P210" s="45"/>
      <c r="Q210" s="45">
        <f>2341462+588781</f>
        <v>2930243</v>
      </c>
      <c r="R210" s="45"/>
      <c r="S210" s="44">
        <f t="shared" si="8"/>
        <v>3215102</v>
      </c>
      <c r="T210" s="45"/>
      <c r="U210" s="45">
        <v>75523990</v>
      </c>
      <c r="V210" s="44"/>
      <c r="W210" s="45">
        <f>408872+4465153</f>
        <v>4874025</v>
      </c>
    </row>
    <row r="211" spans="1:24" s="116" customFormat="1" ht="12.75" customHeight="1" x14ac:dyDescent="0.2">
      <c r="A211" s="44" t="s">
        <v>236</v>
      </c>
      <c r="B211" s="118"/>
      <c r="C211" s="44" t="s">
        <v>45</v>
      </c>
      <c r="D211" s="35"/>
      <c r="E211" s="45">
        <v>11647927</v>
      </c>
      <c r="F211" s="45"/>
      <c r="G211" s="45">
        <v>0</v>
      </c>
      <c r="H211" s="45"/>
      <c r="I211" s="45">
        <v>0</v>
      </c>
      <c r="J211" s="45"/>
      <c r="K211" s="45">
        <v>349131</v>
      </c>
      <c r="L211" s="45"/>
      <c r="M211" s="45">
        <v>2216012</v>
      </c>
      <c r="N211" s="45"/>
      <c r="O211" s="45">
        <v>0</v>
      </c>
      <c r="P211" s="45"/>
      <c r="Q211" s="45">
        <f>67312+49072</f>
        <v>116384</v>
      </c>
      <c r="R211" s="45"/>
      <c r="S211" s="44">
        <f t="shared" si="8"/>
        <v>382163</v>
      </c>
      <c r="T211" s="45"/>
      <c r="U211" s="45">
        <v>14711617</v>
      </c>
      <c r="V211" s="44"/>
      <c r="W211" s="45">
        <f>549174+2800000+2696376</f>
        <v>6045550</v>
      </c>
    </row>
    <row r="212" spans="1:24" s="116" customFormat="1" ht="12.75" customHeight="1" x14ac:dyDescent="0.2">
      <c r="A212" s="44" t="s">
        <v>237</v>
      </c>
      <c r="C212" s="44" t="s">
        <v>33</v>
      </c>
      <c r="D212" s="35"/>
      <c r="E212" s="45">
        <v>975190</v>
      </c>
      <c r="F212" s="45"/>
      <c r="G212" s="45">
        <v>497338</v>
      </c>
      <c r="H212" s="45"/>
      <c r="I212" s="45">
        <v>0</v>
      </c>
      <c r="J212" s="45"/>
      <c r="K212" s="45">
        <v>141923</v>
      </c>
      <c r="L212" s="45"/>
      <c r="M212" s="45">
        <v>1040989</v>
      </c>
      <c r="N212" s="45"/>
      <c r="O212" s="45">
        <v>0</v>
      </c>
      <c r="P212" s="45"/>
      <c r="Q212" s="45">
        <f>119146+12553</f>
        <v>131699</v>
      </c>
      <c r="R212" s="45"/>
      <c r="S212" s="44">
        <f t="shared" si="8"/>
        <v>136683</v>
      </c>
      <c r="T212" s="45"/>
      <c r="U212" s="45">
        <v>2923822</v>
      </c>
      <c r="V212" s="44"/>
      <c r="W212" s="45">
        <f>844420+76320+29056</f>
        <v>949796</v>
      </c>
    </row>
    <row r="213" spans="1:24" s="116" customFormat="1" ht="12.75" customHeight="1" x14ac:dyDescent="0.2">
      <c r="A213" s="44" t="s">
        <v>238</v>
      </c>
      <c r="C213" s="44" t="s">
        <v>239</v>
      </c>
      <c r="D213" s="35"/>
      <c r="E213" s="45">
        <v>1181299</v>
      </c>
      <c r="F213" s="45"/>
      <c r="G213" s="45">
        <v>3760915</v>
      </c>
      <c r="H213" s="45"/>
      <c r="I213" s="45">
        <v>0</v>
      </c>
      <c r="J213" s="45"/>
      <c r="K213" s="45">
        <v>562501</v>
      </c>
      <c r="L213" s="45"/>
      <c r="M213" s="45">
        <v>1116247</v>
      </c>
      <c r="N213" s="45"/>
      <c r="O213" s="45">
        <v>133538</v>
      </c>
      <c r="P213" s="45"/>
      <c r="Q213" s="45">
        <f>92787+17196</f>
        <v>109983</v>
      </c>
      <c r="R213" s="45"/>
      <c r="S213" s="44">
        <f t="shared" si="8"/>
        <v>281732</v>
      </c>
      <c r="T213" s="45"/>
      <c r="U213" s="45">
        <v>7146215</v>
      </c>
      <c r="V213" s="44"/>
      <c r="W213" s="45">
        <f>95000+298773</f>
        <v>393773</v>
      </c>
    </row>
    <row r="214" spans="1:24" s="116" customFormat="1" ht="12.75" customHeight="1" x14ac:dyDescent="0.2">
      <c r="A214" s="44" t="s">
        <v>486</v>
      </c>
      <c r="C214" s="44" t="s">
        <v>249</v>
      </c>
      <c r="D214" s="35"/>
      <c r="E214" s="45">
        <v>1462783</v>
      </c>
      <c r="F214" s="45"/>
      <c r="G214" s="45">
        <v>8682757</v>
      </c>
      <c r="H214" s="45"/>
      <c r="I214" s="45">
        <v>0</v>
      </c>
      <c r="J214" s="45"/>
      <c r="K214" s="45">
        <v>80638</v>
      </c>
      <c r="L214" s="45"/>
      <c r="M214" s="45">
        <v>13908820</v>
      </c>
      <c r="N214" s="45"/>
      <c r="O214" s="45">
        <v>11071</v>
      </c>
      <c r="P214" s="45"/>
      <c r="Q214" s="45">
        <f>707714+334151</f>
        <v>1041865</v>
      </c>
      <c r="R214" s="45"/>
      <c r="S214" s="44">
        <f t="shared" si="8"/>
        <v>319732</v>
      </c>
      <c r="T214" s="45"/>
      <c r="U214" s="45">
        <v>25507666</v>
      </c>
      <c r="V214" s="44"/>
      <c r="W214" s="45">
        <v>42008</v>
      </c>
    </row>
    <row r="215" spans="1:24" s="116" customFormat="1" ht="12.75" customHeight="1" x14ac:dyDescent="0.2">
      <c r="A215" s="44" t="s">
        <v>240</v>
      </c>
      <c r="C215" s="44" t="s">
        <v>13</v>
      </c>
      <c r="D215" s="35"/>
      <c r="E215" s="45">
        <v>7439333</v>
      </c>
      <c r="F215" s="45"/>
      <c r="G215" s="45">
        <v>12558052</v>
      </c>
      <c r="H215" s="45"/>
      <c r="I215" s="45">
        <v>0</v>
      </c>
      <c r="J215" s="45"/>
      <c r="K215" s="45">
        <v>989297</v>
      </c>
      <c r="L215" s="45"/>
      <c r="M215" s="45">
        <v>7229340</v>
      </c>
      <c r="N215" s="45"/>
      <c r="O215" s="45">
        <v>79284</v>
      </c>
      <c r="P215" s="45"/>
      <c r="Q215" s="45">
        <f>610777+3318885</f>
        <v>3929662</v>
      </c>
      <c r="R215" s="45"/>
      <c r="S215" s="44">
        <f t="shared" si="8"/>
        <v>999700</v>
      </c>
      <c r="T215" s="45"/>
      <c r="U215" s="45">
        <v>33224668</v>
      </c>
      <c r="V215" s="44"/>
      <c r="W215" s="45">
        <f>7025000+55535+1948887</f>
        <v>9029422</v>
      </c>
    </row>
    <row r="216" spans="1:24" s="116" customFormat="1" ht="12.75" customHeight="1" x14ac:dyDescent="0.2">
      <c r="A216" s="44" t="s">
        <v>241</v>
      </c>
      <c r="C216" s="44" t="s">
        <v>22</v>
      </c>
      <c r="D216" s="35"/>
      <c r="E216" s="45">
        <v>1648309</v>
      </c>
      <c r="F216" s="45"/>
      <c r="G216" s="45">
        <v>10184354</v>
      </c>
      <c r="H216" s="45"/>
      <c r="I216" s="45">
        <v>0</v>
      </c>
      <c r="J216" s="45"/>
      <c r="K216" s="45">
        <v>582274</v>
      </c>
      <c r="L216" s="45"/>
      <c r="M216" s="45">
        <v>1386356</v>
      </c>
      <c r="N216" s="45"/>
      <c r="O216" s="45">
        <v>134985</v>
      </c>
      <c r="P216" s="45"/>
      <c r="Q216" s="45">
        <f>414285+114669</f>
        <v>528954</v>
      </c>
      <c r="R216" s="45"/>
      <c r="S216" s="44">
        <f t="shared" si="8"/>
        <v>401783</v>
      </c>
      <c r="T216" s="45"/>
      <c r="U216" s="45">
        <v>14867015</v>
      </c>
      <c r="V216" s="44"/>
      <c r="W216" s="45">
        <f>4300000+342991+76000</f>
        <v>4718991</v>
      </c>
    </row>
    <row r="217" spans="1:24" s="116" customFormat="1" ht="12.75" customHeight="1" x14ac:dyDescent="0.2">
      <c r="A217" s="44" t="s">
        <v>242</v>
      </c>
      <c r="C217" s="44" t="s">
        <v>27</v>
      </c>
      <c r="D217" s="35"/>
      <c r="E217" s="45">
        <v>9327017</v>
      </c>
      <c r="F217" s="45"/>
      <c r="G217" s="45">
        <v>28203761</v>
      </c>
      <c r="H217" s="45"/>
      <c r="I217" s="45">
        <f>171572+325245+645974+848939</f>
        <v>1991730</v>
      </c>
      <c r="J217" s="45"/>
      <c r="K217" s="45">
        <v>4270678</v>
      </c>
      <c r="L217" s="45"/>
      <c r="M217" s="45">
        <v>9660513</v>
      </c>
      <c r="N217" s="45"/>
      <c r="O217" s="45">
        <v>181198</v>
      </c>
      <c r="P217" s="45"/>
      <c r="Q217" s="45">
        <f>829427+575280</f>
        <v>1404707</v>
      </c>
      <c r="R217" s="45"/>
      <c r="S217" s="44">
        <f t="shared" si="8"/>
        <v>2177546</v>
      </c>
      <c r="T217" s="45"/>
      <c r="U217" s="45">
        <v>57217150</v>
      </c>
      <c r="V217" s="44"/>
      <c r="W217" s="45">
        <f>54159+10735000+734553+15045506</f>
        <v>26569218</v>
      </c>
    </row>
    <row r="218" spans="1:24" s="116" customFormat="1" ht="12.75" customHeight="1" x14ac:dyDescent="0.2">
      <c r="A218" s="44" t="s">
        <v>243</v>
      </c>
      <c r="C218" s="44" t="s">
        <v>163</v>
      </c>
      <c r="D218" s="35"/>
      <c r="E218" s="45">
        <v>1334514</v>
      </c>
      <c r="F218" s="45"/>
      <c r="G218" s="45">
        <v>8588782</v>
      </c>
      <c r="H218" s="45"/>
      <c r="I218" s="45">
        <v>0</v>
      </c>
      <c r="J218" s="45"/>
      <c r="K218" s="45">
        <v>504393</v>
      </c>
      <c r="L218" s="45"/>
      <c r="M218" s="45">
        <v>2850808</v>
      </c>
      <c r="N218" s="45"/>
      <c r="O218" s="45">
        <v>749227</v>
      </c>
      <c r="P218" s="45"/>
      <c r="Q218" s="45">
        <f>1047501+304913</f>
        <v>1352414</v>
      </c>
      <c r="R218" s="45"/>
      <c r="S218" s="44">
        <f t="shared" si="8"/>
        <v>628047</v>
      </c>
      <c r="T218" s="45"/>
      <c r="U218" s="45">
        <v>16008185</v>
      </c>
      <c r="V218" s="44"/>
      <c r="W218" s="45">
        <f>11730000+9395741</f>
        <v>21125741</v>
      </c>
    </row>
    <row r="219" spans="1:24" s="116" customFormat="1" ht="12.75" customHeight="1" x14ac:dyDescent="0.2">
      <c r="A219" s="44" t="s">
        <v>244</v>
      </c>
      <c r="C219" s="44" t="s">
        <v>13</v>
      </c>
      <c r="D219" s="35"/>
      <c r="E219" s="45">
        <v>2252159</v>
      </c>
      <c r="F219" s="45"/>
      <c r="G219" s="45">
        <v>7893880</v>
      </c>
      <c r="H219" s="45"/>
      <c r="I219" s="45">
        <v>0</v>
      </c>
      <c r="J219" s="45"/>
      <c r="K219" s="45">
        <v>2201320</v>
      </c>
      <c r="L219" s="45"/>
      <c r="M219" s="45">
        <v>3385703</v>
      </c>
      <c r="N219" s="45"/>
      <c r="O219" s="45">
        <v>115692</v>
      </c>
      <c r="P219" s="45"/>
      <c r="Q219" s="45">
        <v>425414</v>
      </c>
      <c r="R219" s="45"/>
      <c r="S219" s="44">
        <f t="shared" si="8"/>
        <v>133028</v>
      </c>
      <c r="T219" s="45"/>
      <c r="U219" s="45">
        <v>16407196</v>
      </c>
      <c r="V219" s="44"/>
      <c r="W219" s="45">
        <f>110859+3196000</f>
        <v>3306859</v>
      </c>
    </row>
    <row r="220" spans="1:24" s="116" customFormat="1" ht="12.75" customHeight="1" x14ac:dyDescent="0.2">
      <c r="A220" s="44" t="s">
        <v>245</v>
      </c>
      <c r="C220" s="44" t="s">
        <v>110</v>
      </c>
      <c r="D220" s="35"/>
      <c r="E220" s="45">
        <v>1141156</v>
      </c>
      <c r="F220" s="45"/>
      <c r="G220" s="45">
        <v>7118045</v>
      </c>
      <c r="H220" s="45"/>
      <c r="I220" s="45">
        <v>84151</v>
      </c>
      <c r="J220" s="45"/>
      <c r="K220" s="45">
        <v>585873</v>
      </c>
      <c r="L220" s="45"/>
      <c r="M220" s="45">
        <v>2684238</v>
      </c>
      <c r="N220" s="45"/>
      <c r="O220" s="45">
        <v>103889</v>
      </c>
      <c r="P220" s="45"/>
      <c r="Q220" s="45">
        <f>28872+531772</f>
        <v>560644</v>
      </c>
      <c r="R220" s="45"/>
      <c r="S220" s="44">
        <f t="shared" si="8"/>
        <v>410646</v>
      </c>
      <c r="T220" s="45"/>
      <c r="U220" s="45">
        <v>12688642</v>
      </c>
      <c r="V220" s="44"/>
      <c r="W220" s="45">
        <f>22888+1280474</f>
        <v>1303362</v>
      </c>
    </row>
    <row r="221" spans="1:24" s="116" customFormat="1" ht="12.75" customHeight="1" x14ac:dyDescent="0.2">
      <c r="A221" s="44" t="s">
        <v>246</v>
      </c>
      <c r="C221" s="44" t="s">
        <v>209</v>
      </c>
      <c r="D221" s="35"/>
      <c r="E221" s="45">
        <v>4480781</v>
      </c>
      <c r="F221" s="45"/>
      <c r="G221" s="45">
        <v>0</v>
      </c>
      <c r="H221" s="45"/>
      <c r="I221" s="45">
        <v>0</v>
      </c>
      <c r="J221" s="45"/>
      <c r="K221" s="45">
        <v>1892452</v>
      </c>
      <c r="L221" s="45"/>
      <c r="M221" s="45">
        <v>2833417</v>
      </c>
      <c r="N221" s="45"/>
      <c r="O221" s="45">
        <v>132872</v>
      </c>
      <c r="P221" s="45"/>
      <c r="Q221" s="45">
        <f>15326+13092</f>
        <v>28418</v>
      </c>
      <c r="R221" s="45"/>
      <c r="S221" s="44">
        <f t="shared" si="8"/>
        <v>645533</v>
      </c>
      <c r="T221" s="45"/>
      <c r="U221" s="45">
        <v>10013473</v>
      </c>
      <c r="V221" s="44"/>
      <c r="W221" s="45">
        <v>1088573</v>
      </c>
    </row>
    <row r="222" spans="1:24" s="134" customFormat="1" ht="12.75" hidden="1" customHeight="1" x14ac:dyDescent="0.2">
      <c r="A222" s="121" t="s">
        <v>247</v>
      </c>
      <c r="C222" s="121" t="s">
        <v>163</v>
      </c>
      <c r="D222" s="126"/>
      <c r="E222" s="127">
        <v>11845000</v>
      </c>
      <c r="F222" s="127"/>
      <c r="G222" s="127">
        <v>153581000</v>
      </c>
      <c r="H222" s="127"/>
      <c r="I222" s="127">
        <v>0</v>
      </c>
      <c r="J222" s="127"/>
      <c r="K222" s="127">
        <v>27987000</v>
      </c>
      <c r="L222" s="127"/>
      <c r="M222" s="127">
        <v>40371000</v>
      </c>
      <c r="N222" s="127"/>
      <c r="O222" s="127">
        <v>25691000</v>
      </c>
      <c r="P222" s="127"/>
      <c r="Q222" s="127">
        <f>2303000+5829000</f>
        <v>8132000</v>
      </c>
      <c r="R222" s="127"/>
      <c r="S222" s="121">
        <f t="shared" si="8"/>
        <v>52520000</v>
      </c>
      <c r="T222" s="127"/>
      <c r="U222" s="127">
        <v>320127000</v>
      </c>
      <c r="V222" s="121"/>
      <c r="W222" s="127">
        <f>79996000+231000+1664000+89000+12129000</f>
        <v>94109000</v>
      </c>
      <c r="X222" s="122" t="s">
        <v>513</v>
      </c>
    </row>
    <row r="223" spans="1:24" s="116" customFormat="1" ht="12.75" customHeight="1" x14ac:dyDescent="0.2">
      <c r="A223" s="44" t="s">
        <v>471</v>
      </c>
      <c r="C223" s="44"/>
      <c r="D223" s="3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4"/>
      <c r="T223" s="45"/>
      <c r="U223" s="45"/>
      <c r="V223" s="44"/>
      <c r="W223" s="48" t="s">
        <v>484</v>
      </c>
    </row>
    <row r="224" spans="1:24" s="116" customFormat="1" ht="12.75" customHeight="1" x14ac:dyDescent="0.2">
      <c r="A224" s="44" t="s">
        <v>248</v>
      </c>
      <c r="C224" s="44" t="s">
        <v>249</v>
      </c>
      <c r="D224" s="35"/>
      <c r="E224" s="94">
        <v>149169</v>
      </c>
      <c r="F224" s="94"/>
      <c r="G224" s="94">
        <v>2428194</v>
      </c>
      <c r="H224" s="94"/>
      <c r="I224" s="94">
        <v>50076</v>
      </c>
      <c r="J224" s="94"/>
      <c r="K224" s="94">
        <v>129715</v>
      </c>
      <c r="L224" s="94"/>
      <c r="M224" s="94">
        <v>1015904</v>
      </c>
      <c r="N224" s="94"/>
      <c r="O224" s="94">
        <v>0</v>
      </c>
      <c r="P224" s="94"/>
      <c r="Q224" s="94">
        <f>35284+41885</f>
        <v>77169</v>
      </c>
      <c r="R224" s="94"/>
      <c r="S224" s="46">
        <f t="shared" si="8"/>
        <v>44325</v>
      </c>
      <c r="T224" s="94"/>
      <c r="U224" s="94">
        <v>3894552</v>
      </c>
      <c r="V224" s="46"/>
      <c r="W224" s="94">
        <f>450750+40000</f>
        <v>490750</v>
      </c>
    </row>
    <row r="225" spans="1:23" s="116" customFormat="1" ht="12.75" customHeight="1" x14ac:dyDescent="0.2">
      <c r="A225" s="44" t="s">
        <v>250</v>
      </c>
      <c r="C225" s="44" t="s">
        <v>103</v>
      </c>
      <c r="D225" s="35"/>
      <c r="E225" s="45">
        <v>493594</v>
      </c>
      <c r="F225" s="45"/>
      <c r="G225" s="45">
        <v>1542230</v>
      </c>
      <c r="H225" s="45"/>
      <c r="I225" s="45">
        <v>118176</v>
      </c>
      <c r="J225" s="45"/>
      <c r="K225" s="45">
        <v>290433</v>
      </c>
      <c r="L225" s="45"/>
      <c r="M225" s="45">
        <v>1085435</v>
      </c>
      <c r="N225" s="45"/>
      <c r="O225" s="45">
        <v>83800</v>
      </c>
      <c r="P225" s="45"/>
      <c r="Q225" s="45">
        <f>219902+67520</f>
        <v>287422</v>
      </c>
      <c r="R225" s="45"/>
      <c r="S225" s="44">
        <f t="shared" si="8"/>
        <v>155614</v>
      </c>
      <c r="T225" s="45"/>
      <c r="U225" s="45">
        <v>4056704</v>
      </c>
      <c r="V225" s="44"/>
      <c r="W225" s="45">
        <v>472705</v>
      </c>
    </row>
    <row r="226" spans="1:23" s="116" customFormat="1" ht="12.75" customHeight="1" x14ac:dyDescent="0.2">
      <c r="A226" s="44" t="s">
        <v>251</v>
      </c>
      <c r="C226" s="44" t="s">
        <v>66</v>
      </c>
      <c r="D226" s="35"/>
      <c r="E226" s="45">
        <v>9470903</v>
      </c>
      <c r="F226" s="45"/>
      <c r="G226" s="45">
        <v>0</v>
      </c>
      <c r="H226" s="45"/>
      <c r="I226" s="45">
        <v>285046</v>
      </c>
      <c r="J226" s="45"/>
      <c r="K226" s="45">
        <v>1385887</v>
      </c>
      <c r="L226" s="45"/>
      <c r="M226" s="45">
        <v>4089584</v>
      </c>
      <c r="N226" s="45"/>
      <c r="O226" s="45">
        <v>47361</v>
      </c>
      <c r="P226" s="45"/>
      <c r="Q226" s="45">
        <v>727987</v>
      </c>
      <c r="R226" s="45"/>
      <c r="S226" s="44">
        <f t="shared" si="8"/>
        <v>263113</v>
      </c>
      <c r="T226" s="45"/>
      <c r="U226" s="45">
        <v>16269881</v>
      </c>
      <c r="V226" s="44"/>
      <c r="W226" s="45">
        <v>258410</v>
      </c>
    </row>
    <row r="227" spans="1:23" s="116" customFormat="1" ht="12.75" customHeight="1" x14ac:dyDescent="0.2">
      <c r="A227" s="44" t="s">
        <v>252</v>
      </c>
      <c r="C227" s="44" t="s">
        <v>209</v>
      </c>
      <c r="D227" s="35"/>
      <c r="E227" s="45">
        <v>15993488</v>
      </c>
      <c r="F227" s="45"/>
      <c r="G227" s="45">
        <v>0</v>
      </c>
      <c r="H227" s="45"/>
      <c r="I227" s="45">
        <v>208268</v>
      </c>
      <c r="J227" s="45"/>
      <c r="K227" s="45">
        <v>3745558</v>
      </c>
      <c r="L227" s="45"/>
      <c r="M227" s="45">
        <v>4242916</v>
      </c>
      <c r="N227" s="45"/>
      <c r="O227" s="45">
        <v>80669</v>
      </c>
      <c r="P227" s="45"/>
      <c r="Q227" s="45">
        <v>93590</v>
      </c>
      <c r="R227" s="45"/>
      <c r="S227" s="44">
        <f t="shared" si="8"/>
        <v>1550838</v>
      </c>
      <c r="T227" s="45"/>
      <c r="U227" s="45">
        <v>25915327</v>
      </c>
      <c r="V227" s="44"/>
      <c r="W227" s="45">
        <f>12863+2005000+13541+3068270</f>
        <v>5099674</v>
      </c>
    </row>
    <row r="228" spans="1:23" s="117" customFormat="1" ht="12.75" customHeight="1" x14ac:dyDescent="0.2">
      <c r="A228" s="44" t="s">
        <v>253</v>
      </c>
      <c r="B228" s="116"/>
      <c r="C228" s="44" t="s">
        <v>13</v>
      </c>
      <c r="D228" s="35"/>
      <c r="E228" s="45">
        <v>1316496</v>
      </c>
      <c r="F228" s="45"/>
      <c r="G228" s="45">
        <v>20254599</v>
      </c>
      <c r="H228" s="45"/>
      <c r="I228" s="45">
        <v>119445</v>
      </c>
      <c r="J228" s="45"/>
      <c r="K228" s="45">
        <v>1557010</v>
      </c>
      <c r="L228" s="45"/>
      <c r="M228" s="45">
        <v>2479117</v>
      </c>
      <c r="N228" s="45"/>
      <c r="O228" s="45">
        <v>0</v>
      </c>
      <c r="P228" s="45"/>
      <c r="Q228" s="45">
        <f>483159+108670</f>
        <v>591829</v>
      </c>
      <c r="R228" s="45"/>
      <c r="S228" s="44">
        <f t="shared" si="8"/>
        <v>780873</v>
      </c>
      <c r="T228" s="45"/>
      <c r="U228" s="45">
        <v>27099369</v>
      </c>
      <c r="V228" s="44"/>
      <c r="W228" s="45">
        <f>1436234+10660447+477662</f>
        <v>12574343</v>
      </c>
    </row>
    <row r="229" spans="1:23" s="116" customFormat="1" ht="12.75" customHeight="1" x14ac:dyDescent="0.2">
      <c r="A229" s="44" t="s">
        <v>254</v>
      </c>
      <c r="B229" s="118"/>
      <c r="C229" s="44" t="s">
        <v>89</v>
      </c>
      <c r="D229" s="35"/>
      <c r="E229" s="45">
        <v>552466</v>
      </c>
      <c r="F229" s="45"/>
      <c r="G229" s="45">
        <v>1214317</v>
      </c>
      <c r="H229" s="45"/>
      <c r="I229" s="45">
        <v>0</v>
      </c>
      <c r="J229" s="45"/>
      <c r="K229" s="45">
        <v>57374</v>
      </c>
      <c r="L229" s="45"/>
      <c r="M229" s="45">
        <v>754118</v>
      </c>
      <c r="N229" s="45"/>
      <c r="O229" s="45">
        <v>144527</v>
      </c>
      <c r="P229" s="45"/>
      <c r="Q229" s="45">
        <f>69644+12247</f>
        <v>81891</v>
      </c>
      <c r="R229" s="45"/>
      <c r="S229" s="44">
        <f t="shared" si="8"/>
        <v>98844</v>
      </c>
      <c r="T229" s="45"/>
      <c r="U229" s="45">
        <v>2903537</v>
      </c>
      <c r="V229" s="44"/>
      <c r="W229" s="45">
        <f>105756+75000+17640+173749+67000+234996</f>
        <v>674141</v>
      </c>
    </row>
    <row r="230" spans="1:23" s="116" customFormat="1" ht="12.75" customHeight="1" x14ac:dyDescent="0.2">
      <c r="A230" s="44" t="s">
        <v>159</v>
      </c>
      <c r="C230" s="44" t="s">
        <v>66</v>
      </c>
      <c r="D230" s="35"/>
      <c r="E230" s="45">
        <v>1570930</v>
      </c>
      <c r="F230" s="45"/>
      <c r="G230" s="45">
        <v>541420</v>
      </c>
      <c r="H230" s="45"/>
      <c r="I230" s="45">
        <v>0</v>
      </c>
      <c r="J230" s="45"/>
      <c r="K230" s="45">
        <v>823804</v>
      </c>
      <c r="L230" s="45"/>
      <c r="M230" s="45">
        <v>950639</v>
      </c>
      <c r="N230" s="45"/>
      <c r="O230" s="45">
        <v>460515</v>
      </c>
      <c r="P230" s="45"/>
      <c r="Q230" s="45">
        <v>31878</v>
      </c>
      <c r="R230" s="45"/>
      <c r="S230" s="44">
        <f t="shared" si="8"/>
        <v>7233</v>
      </c>
      <c r="T230" s="45"/>
      <c r="U230" s="45">
        <v>4386419</v>
      </c>
      <c r="V230" s="44"/>
      <c r="W230" s="45">
        <f>22499+274182+135759</f>
        <v>432440</v>
      </c>
    </row>
    <row r="231" spans="1:23" s="116" customFormat="1" ht="12.75" customHeight="1" x14ac:dyDescent="0.2">
      <c r="A231" s="44" t="s">
        <v>255</v>
      </c>
      <c r="C231" s="44" t="s">
        <v>27</v>
      </c>
      <c r="D231" s="35"/>
      <c r="E231" s="45">
        <v>2748297</v>
      </c>
      <c r="F231" s="45"/>
      <c r="G231" s="45">
        <v>8016952</v>
      </c>
      <c r="H231" s="45"/>
      <c r="I231" s="45">
        <f>2091391+149108</f>
        <v>2240499</v>
      </c>
      <c r="J231" s="45"/>
      <c r="K231" s="45">
        <v>424473</v>
      </c>
      <c r="L231" s="45"/>
      <c r="M231" s="45">
        <v>4387592</v>
      </c>
      <c r="N231" s="45"/>
      <c r="O231" s="45">
        <v>1017900</v>
      </c>
      <c r="P231" s="45"/>
      <c r="Q231" s="45">
        <v>573135</v>
      </c>
      <c r="R231" s="45"/>
      <c r="S231" s="44">
        <f t="shared" si="8"/>
        <v>118167</v>
      </c>
      <c r="T231" s="45"/>
      <c r="U231" s="45">
        <v>19527015</v>
      </c>
      <c r="V231" s="44"/>
      <c r="W231" s="45">
        <f>2716000+3911254</f>
        <v>6627254</v>
      </c>
    </row>
    <row r="232" spans="1:23" s="118" customFormat="1" ht="12.75" customHeight="1" x14ac:dyDescent="0.2">
      <c r="A232" s="44" t="s">
        <v>256</v>
      </c>
      <c r="C232" s="44" t="s">
        <v>43</v>
      </c>
      <c r="D232" s="35"/>
      <c r="E232" s="45">
        <v>9031735</v>
      </c>
      <c r="F232" s="45"/>
      <c r="G232" s="45">
        <v>14546542</v>
      </c>
      <c r="H232" s="45"/>
      <c r="I232" s="45">
        <f>3520361+1245332</f>
        <v>4765693</v>
      </c>
      <c r="J232" s="45"/>
      <c r="K232" s="45">
        <v>1899440</v>
      </c>
      <c r="L232" s="45"/>
      <c r="M232" s="45">
        <v>5624239</v>
      </c>
      <c r="N232" s="45"/>
      <c r="O232" s="45">
        <v>0</v>
      </c>
      <c r="P232" s="45"/>
      <c r="Q232" s="45">
        <f>944459+429462</f>
        <v>1373921</v>
      </c>
      <c r="R232" s="45"/>
      <c r="S232" s="44">
        <f t="shared" si="8"/>
        <v>2102101</v>
      </c>
      <c r="T232" s="45"/>
      <c r="U232" s="45">
        <v>39343671</v>
      </c>
      <c r="V232" s="44"/>
      <c r="W232" s="45">
        <f>5035633+6000000+284317+207897</f>
        <v>11527847</v>
      </c>
    </row>
    <row r="233" spans="1:23" s="116" customFormat="1" ht="12.75" customHeight="1" x14ac:dyDescent="0.2">
      <c r="A233" s="44" t="s">
        <v>257</v>
      </c>
      <c r="C233" s="44" t="s">
        <v>258</v>
      </c>
      <c r="D233" s="49"/>
      <c r="E233" s="45">
        <v>287708</v>
      </c>
      <c r="F233" s="45"/>
      <c r="G233" s="45">
        <v>2278883</v>
      </c>
      <c r="H233" s="45"/>
      <c r="I233" s="45">
        <v>109295</v>
      </c>
      <c r="J233" s="45"/>
      <c r="K233" s="45">
        <v>105717</v>
      </c>
      <c r="L233" s="45"/>
      <c r="M233" s="45">
        <v>1195702</v>
      </c>
      <c r="N233" s="45"/>
      <c r="O233" s="45">
        <v>0</v>
      </c>
      <c r="P233" s="45"/>
      <c r="Q233" s="45">
        <f>122361+740955</f>
        <v>863316</v>
      </c>
      <c r="R233" s="45"/>
      <c r="S233" s="44">
        <f t="shared" si="8"/>
        <v>6889</v>
      </c>
      <c r="T233" s="45"/>
      <c r="U233" s="45">
        <v>4847510</v>
      </c>
      <c r="V233" s="44"/>
      <c r="W233" s="45">
        <f>228088+61552+885052</f>
        <v>1174692</v>
      </c>
    </row>
    <row r="234" spans="1:23" s="116" customFormat="1" ht="12.75" customHeight="1" x14ac:dyDescent="0.2">
      <c r="A234" s="44" t="s">
        <v>259</v>
      </c>
      <c r="C234" s="44" t="s">
        <v>260</v>
      </c>
      <c r="D234" s="35"/>
      <c r="E234" s="45">
        <v>570680</v>
      </c>
      <c r="F234" s="45"/>
      <c r="G234" s="45">
        <v>5057941</v>
      </c>
      <c r="H234" s="45"/>
      <c r="I234" s="45">
        <v>0</v>
      </c>
      <c r="J234" s="45"/>
      <c r="K234" s="45">
        <v>1088467</v>
      </c>
      <c r="L234" s="45"/>
      <c r="M234" s="45">
        <v>4642730</v>
      </c>
      <c r="N234" s="45"/>
      <c r="O234" s="45">
        <v>0</v>
      </c>
      <c r="P234" s="45"/>
      <c r="Q234" s="45">
        <v>830347</v>
      </c>
      <c r="R234" s="45"/>
      <c r="S234" s="44">
        <f t="shared" si="8"/>
        <v>463958</v>
      </c>
      <c r="T234" s="45"/>
      <c r="U234" s="45">
        <v>12654123</v>
      </c>
      <c r="V234" s="44"/>
      <c r="W234" s="45">
        <f>1350+278500</f>
        <v>279850</v>
      </c>
    </row>
    <row r="235" spans="1:23" s="116" customFormat="1" ht="12.75" customHeight="1" x14ac:dyDescent="0.2">
      <c r="A235" s="44" t="s">
        <v>261</v>
      </c>
      <c r="C235" s="44" t="s">
        <v>66</v>
      </c>
      <c r="D235" s="35"/>
      <c r="E235" s="45">
        <v>1722455</v>
      </c>
      <c r="F235" s="45"/>
      <c r="G235" s="45">
        <v>11811152</v>
      </c>
      <c r="H235" s="45"/>
      <c r="I235" s="45">
        <v>0</v>
      </c>
      <c r="J235" s="45"/>
      <c r="K235" s="45">
        <v>3685674</v>
      </c>
      <c r="L235" s="45"/>
      <c r="M235" s="45">
        <v>3669156</v>
      </c>
      <c r="N235" s="45"/>
      <c r="O235" s="45">
        <v>7862</v>
      </c>
      <c r="P235" s="45"/>
      <c r="Q235" s="45">
        <f>149335+1411330</f>
        <v>1560665</v>
      </c>
      <c r="R235" s="45"/>
      <c r="S235" s="44">
        <f t="shared" si="8"/>
        <v>568824</v>
      </c>
      <c r="T235" s="45"/>
      <c r="U235" s="45">
        <v>23025788</v>
      </c>
      <c r="V235" s="44"/>
      <c r="W235" s="45">
        <v>2561151</v>
      </c>
    </row>
    <row r="236" spans="1:23" s="116" customFormat="1" ht="12.75" customHeight="1" x14ac:dyDescent="0.2">
      <c r="A236" s="44" t="s">
        <v>262</v>
      </c>
      <c r="C236" s="44" t="s">
        <v>132</v>
      </c>
      <c r="D236" s="35"/>
      <c r="E236" s="45">
        <v>2777957</v>
      </c>
      <c r="F236" s="45"/>
      <c r="G236" s="45">
        <v>1320898</v>
      </c>
      <c r="H236" s="45"/>
      <c r="I236" s="45">
        <v>1798</v>
      </c>
      <c r="J236" s="45"/>
      <c r="K236" s="45">
        <v>1626494</v>
      </c>
      <c r="L236" s="45"/>
      <c r="M236" s="45">
        <v>1893166</v>
      </c>
      <c r="N236" s="45"/>
      <c r="O236" s="45">
        <v>12871</v>
      </c>
      <c r="P236" s="45"/>
      <c r="Q236" s="45">
        <f>214184+530759</f>
        <v>744943</v>
      </c>
      <c r="R236" s="45"/>
      <c r="S236" s="44">
        <f t="shared" si="8"/>
        <v>664453</v>
      </c>
      <c r="T236" s="45"/>
      <c r="U236" s="45">
        <v>9042580</v>
      </c>
      <c r="V236" s="44"/>
      <c r="W236" s="45">
        <f>2792000+2500+704034</f>
        <v>3498534</v>
      </c>
    </row>
    <row r="237" spans="1:23" s="116" customFormat="1" ht="12.75" customHeight="1" x14ac:dyDescent="0.2">
      <c r="A237" s="44" t="s">
        <v>512</v>
      </c>
      <c r="B237" s="47"/>
      <c r="C237" s="44" t="s">
        <v>45</v>
      </c>
      <c r="D237" s="35"/>
      <c r="E237" s="45">
        <v>813785</v>
      </c>
      <c r="F237" s="45"/>
      <c r="G237" s="45">
        <v>5685073</v>
      </c>
      <c r="H237" s="45"/>
      <c r="I237" s="45">
        <v>0</v>
      </c>
      <c r="J237" s="45"/>
      <c r="K237" s="45">
        <v>465029</v>
      </c>
      <c r="L237" s="45"/>
      <c r="M237" s="45">
        <v>6168284</v>
      </c>
      <c r="N237" s="45"/>
      <c r="O237" s="45">
        <v>0</v>
      </c>
      <c r="P237" s="45"/>
      <c r="Q237" s="45">
        <f>39351+400</f>
        <v>39751</v>
      </c>
      <c r="R237" s="45"/>
      <c r="S237" s="44">
        <f t="shared" si="8"/>
        <v>860166</v>
      </c>
      <c r="T237" s="45"/>
      <c r="U237" s="45">
        <v>14032088</v>
      </c>
      <c r="V237" s="44"/>
      <c r="W237" s="45">
        <v>1531978</v>
      </c>
    </row>
    <row r="238" spans="1:23" s="116" customFormat="1" ht="12.75" customHeight="1" x14ac:dyDescent="0.2">
      <c r="A238" s="44" t="s">
        <v>263</v>
      </c>
      <c r="C238" s="44" t="s">
        <v>53</v>
      </c>
      <c r="D238" s="35"/>
      <c r="E238" s="45">
        <v>3121651</v>
      </c>
      <c r="F238" s="45"/>
      <c r="G238" s="45">
        <v>6741133</v>
      </c>
      <c r="H238" s="45"/>
      <c r="I238" s="45">
        <v>105000</v>
      </c>
      <c r="J238" s="45"/>
      <c r="K238" s="45">
        <v>1128411</v>
      </c>
      <c r="L238" s="45"/>
      <c r="M238" s="45">
        <v>4537339</v>
      </c>
      <c r="N238" s="45"/>
      <c r="O238" s="45">
        <v>117146</v>
      </c>
      <c r="P238" s="45"/>
      <c r="Q238" s="45">
        <f>407278+715652</f>
        <v>1122930</v>
      </c>
      <c r="R238" s="45"/>
      <c r="S238" s="44">
        <f t="shared" si="8"/>
        <v>287031</v>
      </c>
      <c r="T238" s="45"/>
      <c r="U238" s="45">
        <v>17160641</v>
      </c>
      <c r="V238" s="44"/>
      <c r="W238" s="45">
        <f>6883635+3810</f>
        <v>6887445</v>
      </c>
    </row>
    <row r="239" spans="1:23" s="116" customFormat="1" ht="12.75" customHeight="1" x14ac:dyDescent="0.2">
      <c r="A239" s="44" t="s">
        <v>264</v>
      </c>
      <c r="C239" s="44" t="s">
        <v>239</v>
      </c>
      <c r="D239" s="35"/>
      <c r="E239" s="45">
        <v>467205</v>
      </c>
      <c r="F239" s="45"/>
      <c r="G239" s="45">
        <v>2230352</v>
      </c>
      <c r="H239" s="45"/>
      <c r="I239" s="45">
        <v>707507</v>
      </c>
      <c r="J239" s="45"/>
      <c r="K239" s="45">
        <v>686888</v>
      </c>
      <c r="L239" s="45"/>
      <c r="M239" s="45">
        <v>2111174</v>
      </c>
      <c r="N239" s="45"/>
      <c r="O239" s="45">
        <v>49364</v>
      </c>
      <c r="P239" s="45"/>
      <c r="Q239" s="45">
        <f>90097+21706</f>
        <v>111803</v>
      </c>
      <c r="R239" s="45"/>
      <c r="S239" s="44">
        <f t="shared" si="8"/>
        <v>131876</v>
      </c>
      <c r="T239" s="45"/>
      <c r="U239" s="45">
        <v>6496169</v>
      </c>
      <c r="V239" s="44"/>
      <c r="W239" s="45">
        <v>1052712</v>
      </c>
    </row>
    <row r="240" spans="1:23" s="116" customFormat="1" ht="12.75" customHeight="1" x14ac:dyDescent="0.2">
      <c r="A240" s="44" t="s">
        <v>111</v>
      </c>
      <c r="C240" s="44" t="s">
        <v>80</v>
      </c>
      <c r="D240" s="64"/>
      <c r="E240" s="45">
        <v>1404962</v>
      </c>
      <c r="F240" s="45"/>
      <c r="G240" s="45">
        <v>16996981</v>
      </c>
      <c r="H240" s="45"/>
      <c r="I240" s="45">
        <v>0</v>
      </c>
      <c r="J240" s="45"/>
      <c r="K240" s="45">
        <v>2085260</v>
      </c>
      <c r="L240" s="45"/>
      <c r="M240" s="45">
        <v>13551987</v>
      </c>
      <c r="N240" s="45"/>
      <c r="O240" s="45">
        <v>65724</v>
      </c>
      <c r="P240" s="45"/>
      <c r="Q240" s="45">
        <f>2193463+1827530</f>
        <v>4020993</v>
      </c>
      <c r="R240" s="45"/>
      <c r="S240" s="44">
        <f t="shared" si="8"/>
        <v>1219491</v>
      </c>
      <c r="T240" s="45"/>
      <c r="U240" s="45">
        <v>39345398</v>
      </c>
      <c r="V240" s="44"/>
      <c r="W240" s="45">
        <v>552103</v>
      </c>
    </row>
    <row r="241" spans="1:23" s="116" customFormat="1" ht="12.75" customHeight="1" x14ac:dyDescent="0.2">
      <c r="A241" s="44" t="s">
        <v>265</v>
      </c>
      <c r="C241" s="44" t="s">
        <v>27</v>
      </c>
      <c r="D241" s="35"/>
      <c r="E241" s="45">
        <v>1560346</v>
      </c>
      <c r="F241" s="45"/>
      <c r="G241" s="45">
        <v>13326443</v>
      </c>
      <c r="H241" s="45"/>
      <c r="I241" s="45">
        <v>263982</v>
      </c>
      <c r="J241" s="45"/>
      <c r="K241" s="45">
        <v>433371</v>
      </c>
      <c r="L241" s="45"/>
      <c r="M241" s="45">
        <v>2252454</v>
      </c>
      <c r="N241" s="45"/>
      <c r="O241" s="45">
        <v>222362</v>
      </c>
      <c r="P241" s="45"/>
      <c r="Q241" s="45">
        <f>385966+597017</f>
        <v>982983</v>
      </c>
      <c r="R241" s="45"/>
      <c r="S241" s="44">
        <f t="shared" ref="S241:S262" si="9">+U241-SUM(E241:Q241)</f>
        <v>217355</v>
      </c>
      <c r="T241" s="45"/>
      <c r="U241" s="45">
        <v>19259296</v>
      </c>
      <c r="V241" s="44"/>
      <c r="W241" s="45">
        <f>705826+11200000+8680060+94976+1617682</f>
        <v>22298544</v>
      </c>
    </row>
    <row r="242" spans="1:23" s="117" customFormat="1" ht="12.75" customHeight="1" x14ac:dyDescent="0.2">
      <c r="A242" s="44" t="s">
        <v>514</v>
      </c>
      <c r="B242" s="116"/>
      <c r="C242" s="47" t="s">
        <v>451</v>
      </c>
      <c r="D242" s="35"/>
      <c r="E242" s="45">
        <v>1346264</v>
      </c>
      <c r="F242" s="45"/>
      <c r="G242" s="45">
        <v>5144846</v>
      </c>
      <c r="H242" s="45"/>
      <c r="I242" s="45">
        <v>852197</v>
      </c>
      <c r="J242" s="45"/>
      <c r="K242" s="45">
        <v>1092748</v>
      </c>
      <c r="L242" s="45"/>
      <c r="M242" s="45">
        <v>2224076</v>
      </c>
      <c r="N242" s="45"/>
      <c r="O242" s="45">
        <v>0</v>
      </c>
      <c r="P242" s="45"/>
      <c r="Q242" s="45">
        <v>803576</v>
      </c>
      <c r="R242" s="45"/>
      <c r="S242" s="44">
        <f t="shared" si="9"/>
        <v>294990</v>
      </c>
      <c r="T242" s="45"/>
      <c r="U242" s="45">
        <v>11758697</v>
      </c>
      <c r="V242" s="44"/>
      <c r="W242" s="45">
        <f>2135000+33365+238161</f>
        <v>2406526</v>
      </c>
    </row>
    <row r="243" spans="1:23" s="117" customFormat="1" ht="12.75" customHeight="1" x14ac:dyDescent="0.2">
      <c r="A243" s="44" t="s">
        <v>515</v>
      </c>
      <c r="B243" s="47"/>
      <c r="C243" s="44" t="s">
        <v>163</v>
      </c>
      <c r="D243" s="35"/>
      <c r="E243" s="45">
        <v>398342</v>
      </c>
      <c r="F243" s="45"/>
      <c r="G243" s="45">
        <v>2624263</v>
      </c>
      <c r="H243" s="45"/>
      <c r="I243" s="45">
        <v>27462</v>
      </c>
      <c r="J243" s="45"/>
      <c r="K243" s="45">
        <v>313371</v>
      </c>
      <c r="L243" s="45"/>
      <c r="M243" s="45">
        <v>1340405</v>
      </c>
      <c r="N243" s="45"/>
      <c r="O243" s="45">
        <v>28756</v>
      </c>
      <c r="P243" s="45"/>
      <c r="Q243" s="45">
        <f>96455+14532</f>
        <v>110987</v>
      </c>
      <c r="R243" s="45"/>
      <c r="S243" s="44">
        <f t="shared" ref="S243" si="10">+U243-SUM(E243:Q243)</f>
        <v>138329</v>
      </c>
      <c r="T243" s="45"/>
      <c r="U243" s="45">
        <v>4981915</v>
      </c>
      <c r="V243" s="44"/>
      <c r="W243" s="45">
        <f>2352821+200000</f>
        <v>2552821</v>
      </c>
    </row>
    <row r="244" spans="1:23" s="116" customFormat="1" ht="12.75" customHeight="1" x14ac:dyDescent="0.2">
      <c r="A244" s="44" t="s">
        <v>266</v>
      </c>
      <c r="C244" s="44" t="s">
        <v>267</v>
      </c>
      <c r="D244" s="35"/>
      <c r="E244" s="45">
        <v>3444028</v>
      </c>
      <c r="F244" s="45"/>
      <c r="G244" s="45">
        <v>0</v>
      </c>
      <c r="H244" s="45"/>
      <c r="I244" s="45">
        <v>0</v>
      </c>
      <c r="J244" s="45"/>
      <c r="K244" s="45">
        <v>398581</v>
      </c>
      <c r="L244" s="45"/>
      <c r="M244" s="45">
        <v>978652</v>
      </c>
      <c r="N244" s="45"/>
      <c r="O244" s="45">
        <v>0</v>
      </c>
      <c r="P244" s="45"/>
      <c r="Q244" s="45">
        <f>7755+122974</f>
        <v>130729</v>
      </c>
      <c r="R244" s="45"/>
      <c r="S244" s="44">
        <f t="shared" si="9"/>
        <v>271494</v>
      </c>
      <c r="T244" s="45"/>
      <c r="U244" s="45">
        <v>5223484</v>
      </c>
      <c r="V244" s="44"/>
      <c r="W244" s="45">
        <f>3000000+98802+700000</f>
        <v>3798802</v>
      </c>
    </row>
    <row r="245" spans="1:23" s="118" customFormat="1" ht="12.75" customHeight="1" x14ac:dyDescent="0.2">
      <c r="A245" s="44" t="s">
        <v>268</v>
      </c>
      <c r="B245" s="116"/>
      <c r="C245" s="44" t="s">
        <v>269</v>
      </c>
      <c r="D245" s="35"/>
      <c r="E245" s="45">
        <v>1868206</v>
      </c>
      <c r="F245" s="45"/>
      <c r="G245" s="45">
        <v>0</v>
      </c>
      <c r="H245" s="45"/>
      <c r="I245" s="45">
        <v>0</v>
      </c>
      <c r="J245" s="45"/>
      <c r="K245" s="45">
        <v>30610</v>
      </c>
      <c r="L245" s="45"/>
      <c r="M245" s="45">
        <v>704382</v>
      </c>
      <c r="N245" s="45"/>
      <c r="O245" s="45">
        <v>0</v>
      </c>
      <c r="P245" s="45"/>
      <c r="Q245" s="45">
        <f>10941+104712</f>
        <v>115653</v>
      </c>
      <c r="R245" s="45"/>
      <c r="S245" s="44">
        <f t="shared" si="9"/>
        <v>114149</v>
      </c>
      <c r="T245" s="45"/>
      <c r="U245" s="45">
        <v>2833000</v>
      </c>
      <c r="V245" s="44"/>
      <c r="W245" s="45">
        <f>740600+1725+1009556</f>
        <v>1751881</v>
      </c>
    </row>
    <row r="246" spans="1:23" s="116" customFormat="1" ht="12.75" customHeight="1" x14ac:dyDescent="0.2">
      <c r="A246" s="44" t="s">
        <v>270</v>
      </c>
      <c r="C246" s="44" t="s">
        <v>136</v>
      </c>
      <c r="D246" s="35"/>
      <c r="E246" s="45">
        <v>401676</v>
      </c>
      <c r="F246" s="45"/>
      <c r="G246" s="45">
        <v>1069108</v>
      </c>
      <c r="H246" s="45"/>
      <c r="I246" s="45">
        <v>72085</v>
      </c>
      <c r="J246" s="45"/>
      <c r="K246" s="45">
        <v>60852</v>
      </c>
      <c r="L246" s="45"/>
      <c r="M246" s="45">
        <v>1142359</v>
      </c>
      <c r="N246" s="45"/>
      <c r="O246" s="45">
        <v>0</v>
      </c>
      <c r="P246" s="45"/>
      <c r="Q246" s="45">
        <f>26779+10868</f>
        <v>37647</v>
      </c>
      <c r="R246" s="45"/>
      <c r="S246" s="44">
        <f t="shared" si="9"/>
        <v>256149</v>
      </c>
      <c r="T246" s="45"/>
      <c r="U246" s="45">
        <v>3039876</v>
      </c>
      <c r="V246" s="44"/>
      <c r="W246" s="45">
        <f>76383+5031+428764</f>
        <v>510178</v>
      </c>
    </row>
    <row r="247" spans="1:23" s="118" customFormat="1" ht="12.75" customHeight="1" x14ac:dyDescent="0.2">
      <c r="A247" s="44" t="s">
        <v>271</v>
      </c>
      <c r="B247" s="116"/>
      <c r="C247" s="44" t="s">
        <v>66</v>
      </c>
      <c r="D247" s="35"/>
      <c r="E247" s="45">
        <v>0</v>
      </c>
      <c r="F247" s="45"/>
      <c r="G247" s="45">
        <v>7364644</v>
      </c>
      <c r="H247" s="45"/>
      <c r="I247" s="45">
        <v>0</v>
      </c>
      <c r="J247" s="45"/>
      <c r="K247" s="45">
        <v>335645</v>
      </c>
      <c r="L247" s="45"/>
      <c r="M247" s="45">
        <v>1452135</v>
      </c>
      <c r="N247" s="45"/>
      <c r="O247" s="45">
        <v>331434</v>
      </c>
      <c r="P247" s="45"/>
      <c r="Q247" s="45">
        <f>321099+75153</f>
        <v>396252</v>
      </c>
      <c r="R247" s="45"/>
      <c r="S247" s="44">
        <f t="shared" si="9"/>
        <v>278648</v>
      </c>
      <c r="T247" s="45"/>
      <c r="U247" s="45">
        <v>10158758</v>
      </c>
      <c r="V247" s="44"/>
      <c r="W247" s="45">
        <v>1997461</v>
      </c>
    </row>
    <row r="248" spans="1:23" s="116" customFormat="1" ht="12.75" customHeight="1" x14ac:dyDescent="0.2">
      <c r="A248" s="44" t="s">
        <v>272</v>
      </c>
      <c r="C248" s="44" t="s">
        <v>43</v>
      </c>
      <c r="D248" s="35"/>
      <c r="E248" s="45">
        <v>12347684</v>
      </c>
      <c r="F248" s="45"/>
      <c r="G248" s="45">
        <v>37442625</v>
      </c>
      <c r="H248" s="45"/>
      <c r="I248" s="45">
        <f>682087+3274530</f>
        <v>3956617</v>
      </c>
      <c r="J248" s="45"/>
      <c r="K248" s="45">
        <v>5334848</v>
      </c>
      <c r="L248" s="45"/>
      <c r="M248" s="45">
        <v>13431523</v>
      </c>
      <c r="N248" s="45"/>
      <c r="O248" s="45">
        <v>0</v>
      </c>
      <c r="P248" s="45"/>
      <c r="Q248" s="45">
        <f>706186+709742</f>
        <v>1415928</v>
      </c>
      <c r="R248" s="45"/>
      <c r="S248" s="44">
        <f t="shared" si="9"/>
        <v>2118766</v>
      </c>
      <c r="T248" s="45"/>
      <c r="U248" s="45">
        <v>76047991</v>
      </c>
      <c r="V248" s="44"/>
      <c r="W248" s="45">
        <f>3175000+1417199+2854+10207324</f>
        <v>14802377</v>
      </c>
    </row>
    <row r="249" spans="1:23" s="116" customFormat="1" ht="12.75" customHeight="1" x14ac:dyDescent="0.2">
      <c r="A249" s="44" t="s">
        <v>273</v>
      </c>
      <c r="C249" s="44" t="s">
        <v>27</v>
      </c>
      <c r="D249" s="35"/>
      <c r="E249" s="45">
        <v>11669377</v>
      </c>
      <c r="F249" s="45"/>
      <c r="G249" s="45">
        <v>20314848</v>
      </c>
      <c r="H249" s="45"/>
      <c r="I249" s="45">
        <f>187280+431774+523339+223842</f>
        <v>1366235</v>
      </c>
      <c r="J249" s="45"/>
      <c r="K249" s="45">
        <v>3478751</v>
      </c>
      <c r="L249" s="45"/>
      <c r="M249" s="45">
        <v>9866191</v>
      </c>
      <c r="N249" s="45"/>
      <c r="O249" s="45">
        <v>290000</v>
      </c>
      <c r="P249" s="45"/>
      <c r="Q249" s="45">
        <f>569913+361168</f>
        <v>931081</v>
      </c>
      <c r="R249" s="45"/>
      <c r="S249" s="44">
        <f t="shared" si="9"/>
        <v>2387866</v>
      </c>
      <c r="T249" s="45"/>
      <c r="U249" s="45">
        <v>50304349</v>
      </c>
      <c r="V249" s="44"/>
      <c r="W249" s="45">
        <f>73427+7350000+263453+12326+1242799</f>
        <v>8942005</v>
      </c>
    </row>
    <row r="250" spans="1:23" s="116" customFormat="1" ht="12.75" customHeight="1" x14ac:dyDescent="0.2">
      <c r="A250" s="44" t="s">
        <v>274</v>
      </c>
      <c r="C250" s="44" t="s">
        <v>43</v>
      </c>
      <c r="D250" s="35"/>
      <c r="E250" s="45">
        <v>502032</v>
      </c>
      <c r="F250" s="45"/>
      <c r="G250" s="45">
        <v>21034376</v>
      </c>
      <c r="H250" s="45"/>
      <c r="I250" s="45">
        <v>408308</v>
      </c>
      <c r="J250" s="45"/>
      <c r="K250" s="45">
        <v>696089</v>
      </c>
      <c r="L250" s="45"/>
      <c r="M250" s="45">
        <v>4688673</v>
      </c>
      <c r="N250" s="45"/>
      <c r="O250" s="45">
        <v>144067</v>
      </c>
      <c r="P250" s="45"/>
      <c r="Q250" s="45">
        <f>816219+311240</f>
        <v>1127459</v>
      </c>
      <c r="R250" s="45"/>
      <c r="S250" s="44">
        <f t="shared" si="9"/>
        <v>622047</v>
      </c>
      <c r="T250" s="45"/>
      <c r="U250" s="45">
        <v>29223051</v>
      </c>
      <c r="V250" s="44"/>
      <c r="W250" s="45">
        <f>63152+3153317</f>
        <v>3216469</v>
      </c>
    </row>
    <row r="251" spans="1:23" s="116" customFormat="1" ht="12.75" customHeight="1" x14ac:dyDescent="0.2">
      <c r="A251" s="44" t="s">
        <v>275</v>
      </c>
      <c r="C251" s="44" t="s">
        <v>92</v>
      </c>
      <c r="D251" s="35"/>
      <c r="E251" s="45">
        <v>2466907</v>
      </c>
      <c r="F251" s="45"/>
      <c r="G251" s="45">
        <v>14083605</v>
      </c>
      <c r="H251" s="45"/>
      <c r="I251" s="45">
        <v>203472</v>
      </c>
      <c r="J251" s="45"/>
      <c r="K251" s="45">
        <v>562996</v>
      </c>
      <c r="L251" s="45"/>
      <c r="M251" s="45">
        <f>2816041+781401</f>
        <v>3597442</v>
      </c>
      <c r="N251" s="45"/>
      <c r="O251" s="45">
        <v>0</v>
      </c>
      <c r="P251" s="45"/>
      <c r="Q251" s="45">
        <f>466069+132170</f>
        <v>598239</v>
      </c>
      <c r="R251" s="45"/>
      <c r="S251" s="44">
        <f t="shared" si="9"/>
        <v>568450</v>
      </c>
      <c r="T251" s="45"/>
      <c r="U251" s="45">
        <v>22081111</v>
      </c>
      <c r="V251" s="44"/>
      <c r="W251" s="45">
        <f>710+221515</f>
        <v>222225</v>
      </c>
    </row>
    <row r="252" spans="1:23" s="116" customFormat="1" ht="12.75" customHeight="1" x14ac:dyDescent="0.2">
      <c r="A252" s="44" t="s">
        <v>276</v>
      </c>
      <c r="C252" s="44" t="s">
        <v>38</v>
      </c>
      <c r="D252" s="35"/>
      <c r="E252" s="45">
        <v>313705</v>
      </c>
      <c r="F252" s="45"/>
      <c r="G252" s="45">
        <v>3138783</v>
      </c>
      <c r="H252" s="45"/>
      <c r="I252" s="45">
        <v>64540</v>
      </c>
      <c r="J252" s="45"/>
      <c r="K252" s="45">
        <v>737593</v>
      </c>
      <c r="L252" s="45"/>
      <c r="M252" s="45">
        <v>1274910</v>
      </c>
      <c r="N252" s="45"/>
      <c r="O252" s="45">
        <v>0</v>
      </c>
      <c r="P252" s="45"/>
      <c r="Q252" s="45">
        <f>48028+33613</f>
        <v>81641</v>
      </c>
      <c r="R252" s="45"/>
      <c r="S252" s="44">
        <f t="shared" si="9"/>
        <v>101492</v>
      </c>
      <c r="T252" s="45"/>
      <c r="U252" s="45">
        <v>5712664</v>
      </c>
      <c r="V252" s="44"/>
      <c r="W252" s="45">
        <f>20000+11700+320000</f>
        <v>351700</v>
      </c>
    </row>
    <row r="253" spans="1:23" s="116" customFormat="1" ht="12.75" customHeight="1" x14ac:dyDescent="0.2">
      <c r="A253" s="44" t="s">
        <v>277</v>
      </c>
      <c r="C253" s="44" t="s">
        <v>92</v>
      </c>
      <c r="D253" s="35"/>
      <c r="E253" s="45">
        <v>4449742</v>
      </c>
      <c r="F253" s="45"/>
      <c r="G253" s="45">
        <v>15125338</v>
      </c>
      <c r="H253" s="45"/>
      <c r="I253" s="45">
        <v>0</v>
      </c>
      <c r="J253" s="45"/>
      <c r="K253" s="45">
        <v>1665892</v>
      </c>
      <c r="L253" s="45"/>
      <c r="M253" s="45">
        <v>6402454</v>
      </c>
      <c r="N253" s="45"/>
      <c r="O253" s="45">
        <v>644076</v>
      </c>
      <c r="P253" s="45"/>
      <c r="Q253" s="45">
        <f>2398512+235241</f>
        <v>2633753</v>
      </c>
      <c r="R253" s="45"/>
      <c r="S253" s="44">
        <f t="shared" si="9"/>
        <v>453430</v>
      </c>
      <c r="T253" s="45"/>
      <c r="U253" s="45">
        <v>31374685</v>
      </c>
      <c r="V253" s="44"/>
      <c r="W253" s="45">
        <f>3525000+390</f>
        <v>3525390</v>
      </c>
    </row>
    <row r="254" spans="1:23" s="116" customFormat="1" ht="12.75" customHeight="1" x14ac:dyDescent="0.2">
      <c r="A254" s="44" t="s">
        <v>278</v>
      </c>
      <c r="C254" s="44" t="s">
        <v>92</v>
      </c>
      <c r="D254" s="35"/>
      <c r="E254" s="45">
        <v>1960946</v>
      </c>
      <c r="F254" s="45"/>
      <c r="G254" s="45">
        <v>4297907</v>
      </c>
      <c r="H254" s="45"/>
      <c r="I254" s="45">
        <f>19776+112080+94539</f>
        <v>226395</v>
      </c>
      <c r="J254" s="45"/>
      <c r="K254" s="45">
        <v>402432</v>
      </c>
      <c r="L254" s="45"/>
      <c r="M254" s="45">
        <v>2131937</v>
      </c>
      <c r="N254" s="45"/>
      <c r="O254" s="45">
        <v>17358</v>
      </c>
      <c r="P254" s="45"/>
      <c r="Q254" s="45">
        <f>243808+2130539</f>
        <v>2374347</v>
      </c>
      <c r="R254" s="45"/>
      <c r="S254" s="44">
        <f t="shared" si="9"/>
        <v>230750</v>
      </c>
      <c r="T254" s="45"/>
      <c r="U254" s="45">
        <v>11642072</v>
      </c>
      <c r="V254" s="44"/>
      <c r="W254" s="45">
        <f>17230+126099+200000+1000000+4509845</f>
        <v>5853174</v>
      </c>
    </row>
    <row r="255" spans="1:23" s="116" customFormat="1" ht="12.75" customHeight="1" x14ac:dyDescent="0.2">
      <c r="A255" s="44" t="s">
        <v>279</v>
      </c>
      <c r="C255" s="44" t="s">
        <v>92</v>
      </c>
      <c r="D255" s="35"/>
      <c r="E255" s="45">
        <v>4124069</v>
      </c>
      <c r="F255" s="45"/>
      <c r="G255" s="45">
        <v>2315934</v>
      </c>
      <c r="H255" s="45"/>
      <c r="I255" s="45">
        <v>247051</v>
      </c>
      <c r="J255" s="45"/>
      <c r="K255" s="45">
        <v>734547</v>
      </c>
      <c r="L255" s="45"/>
      <c r="M255" s="45">
        <v>4717244</v>
      </c>
      <c r="N255" s="45"/>
      <c r="O255" s="45">
        <v>0</v>
      </c>
      <c r="P255" s="45"/>
      <c r="Q255" s="45">
        <f>312455+70338</f>
        <v>382793</v>
      </c>
      <c r="R255" s="45"/>
      <c r="S255" s="44">
        <f t="shared" si="9"/>
        <v>110195</v>
      </c>
      <c r="T255" s="45"/>
      <c r="U255" s="45">
        <v>12631833</v>
      </c>
      <c r="V255" s="44"/>
      <c r="W255" s="45">
        <f>5745+2368534+351307</f>
        <v>2725586</v>
      </c>
    </row>
    <row r="256" spans="1:23" s="116" customFormat="1" ht="12.75" customHeight="1" x14ac:dyDescent="0.2">
      <c r="A256" s="44" t="s">
        <v>280</v>
      </c>
      <c r="C256" s="44" t="s">
        <v>281</v>
      </c>
      <c r="D256" s="35"/>
      <c r="E256" s="45">
        <v>1672521</v>
      </c>
      <c r="F256" s="45"/>
      <c r="G256" s="45">
        <v>4050378</v>
      </c>
      <c r="H256" s="45"/>
      <c r="I256" s="45">
        <v>0</v>
      </c>
      <c r="J256" s="45"/>
      <c r="K256" s="45">
        <v>1360481</v>
      </c>
      <c r="L256" s="45"/>
      <c r="M256" s="45">
        <v>3789740</v>
      </c>
      <c r="N256" s="45"/>
      <c r="O256" s="45">
        <v>296485</v>
      </c>
      <c r="P256" s="45"/>
      <c r="Q256" s="45">
        <f>36671+809881</f>
        <v>846552</v>
      </c>
      <c r="R256" s="45"/>
      <c r="S256" s="44">
        <f t="shared" si="9"/>
        <v>370987</v>
      </c>
      <c r="T256" s="45"/>
      <c r="U256" s="45">
        <v>12387144</v>
      </c>
      <c r="V256" s="44"/>
      <c r="W256" s="45">
        <v>4318627</v>
      </c>
    </row>
    <row r="257" spans="1:23" s="116" customFormat="1" ht="12.75" customHeight="1" x14ac:dyDescent="0.2">
      <c r="A257" s="44" t="s">
        <v>282</v>
      </c>
      <c r="C257" s="44" t="s">
        <v>199</v>
      </c>
      <c r="D257" s="35"/>
      <c r="E257" s="45">
        <v>12924136</v>
      </c>
      <c r="F257" s="45"/>
      <c r="G257" s="45">
        <v>0</v>
      </c>
      <c r="H257" s="45"/>
      <c r="I257" s="45">
        <v>0</v>
      </c>
      <c r="J257" s="45"/>
      <c r="K257" s="45">
        <v>1494105</v>
      </c>
      <c r="L257" s="45"/>
      <c r="M257" s="45">
        <v>4741165</v>
      </c>
      <c r="N257" s="45"/>
      <c r="O257" s="45">
        <v>223910</v>
      </c>
      <c r="P257" s="45"/>
      <c r="Q257" s="45">
        <v>625145</v>
      </c>
      <c r="R257" s="45"/>
      <c r="S257" s="44">
        <f t="shared" si="9"/>
        <v>1919027</v>
      </c>
      <c r="T257" s="45"/>
      <c r="U257" s="45">
        <v>21927488</v>
      </c>
      <c r="V257" s="44"/>
      <c r="W257" s="45">
        <v>73950</v>
      </c>
    </row>
    <row r="258" spans="1:23" s="116" customFormat="1" ht="12.75" customHeight="1" x14ac:dyDescent="0.2">
      <c r="A258" s="44" t="s">
        <v>283</v>
      </c>
      <c r="C258" s="44" t="s">
        <v>43</v>
      </c>
      <c r="D258" s="35"/>
      <c r="E258" s="45">
        <v>2530891</v>
      </c>
      <c r="F258" s="45"/>
      <c r="G258" s="45">
        <v>19804006</v>
      </c>
      <c r="H258" s="45"/>
      <c r="I258" s="45">
        <v>170836</v>
      </c>
      <c r="J258" s="45"/>
      <c r="K258" s="45">
        <v>3399462</v>
      </c>
      <c r="L258" s="45"/>
      <c r="M258" s="45">
        <v>2389804</v>
      </c>
      <c r="N258" s="45"/>
      <c r="O258" s="45">
        <v>54144</v>
      </c>
      <c r="P258" s="45"/>
      <c r="Q258" s="45">
        <f>403710+186895</f>
        <v>590605</v>
      </c>
      <c r="R258" s="45"/>
      <c r="S258" s="44">
        <f t="shared" si="9"/>
        <v>366822</v>
      </c>
      <c r="T258" s="45"/>
      <c r="U258" s="45">
        <v>29306570</v>
      </c>
      <c r="V258" s="44"/>
      <c r="W258" s="45">
        <v>1703526</v>
      </c>
    </row>
    <row r="259" spans="1:23" s="116" customFormat="1" ht="12.75" customHeight="1" x14ac:dyDescent="0.2">
      <c r="A259" s="44" t="s">
        <v>284</v>
      </c>
      <c r="C259" s="44" t="s">
        <v>45</v>
      </c>
      <c r="D259" s="35"/>
      <c r="E259" s="45">
        <v>6765678</v>
      </c>
      <c r="F259" s="45"/>
      <c r="G259" s="45">
        <v>0</v>
      </c>
      <c r="H259" s="45"/>
      <c r="I259" s="45">
        <v>0</v>
      </c>
      <c r="J259" s="45"/>
      <c r="K259" s="45">
        <v>1138102</v>
      </c>
      <c r="L259" s="45"/>
      <c r="M259" s="45">
        <v>2218007</v>
      </c>
      <c r="N259" s="45"/>
      <c r="O259" s="45">
        <v>0</v>
      </c>
      <c r="P259" s="45"/>
      <c r="Q259" s="45">
        <v>118712</v>
      </c>
      <c r="R259" s="45"/>
      <c r="S259" s="44">
        <f t="shared" si="9"/>
        <v>180645</v>
      </c>
      <c r="T259" s="45"/>
      <c r="U259" s="45">
        <v>10421144</v>
      </c>
      <c r="V259" s="44"/>
      <c r="W259" s="45">
        <f>18466+1167325</f>
        <v>1185791</v>
      </c>
    </row>
    <row r="260" spans="1:23" s="116" customFormat="1" ht="12.75" customHeight="1" x14ac:dyDescent="0.2">
      <c r="A260" s="44" t="s">
        <v>285</v>
      </c>
      <c r="C260" s="44" t="s">
        <v>30</v>
      </c>
      <c r="D260" s="35"/>
      <c r="E260" s="45">
        <v>0</v>
      </c>
      <c r="F260" s="45"/>
      <c r="G260" s="45">
        <v>10933675</v>
      </c>
      <c r="H260" s="45"/>
      <c r="I260" s="45">
        <v>1400707</v>
      </c>
      <c r="J260" s="45"/>
      <c r="K260" s="45">
        <v>1485407</v>
      </c>
      <c r="L260" s="45"/>
      <c r="M260" s="45">
        <f>3109036+2100211</f>
        <v>5209247</v>
      </c>
      <c r="N260" s="45"/>
      <c r="O260" s="45">
        <v>0</v>
      </c>
      <c r="P260" s="45"/>
      <c r="Q260" s="45">
        <v>1357962</v>
      </c>
      <c r="R260" s="45"/>
      <c r="S260" s="44">
        <f t="shared" si="9"/>
        <v>835188</v>
      </c>
      <c r="T260" s="45"/>
      <c r="U260" s="45">
        <v>21222186</v>
      </c>
      <c r="V260" s="44"/>
      <c r="W260" s="45">
        <f>953814+5370000</f>
        <v>6323814</v>
      </c>
    </row>
    <row r="261" spans="1:23" s="134" customFormat="1" ht="12.75" customHeight="1" x14ac:dyDescent="0.2">
      <c r="A261" s="44" t="s">
        <v>286</v>
      </c>
      <c r="B261" s="116"/>
      <c r="C261" s="44" t="s">
        <v>61</v>
      </c>
      <c r="D261" s="64"/>
      <c r="E261" s="45">
        <v>2207647</v>
      </c>
      <c r="F261" s="45"/>
      <c r="G261" s="45">
        <v>44629569</v>
      </c>
      <c r="H261" s="45"/>
      <c r="I261" s="45">
        <f>597137+588159</f>
        <v>1185296</v>
      </c>
      <c r="J261" s="45"/>
      <c r="K261" s="45">
        <v>7463574</v>
      </c>
      <c r="L261" s="45"/>
      <c r="M261" s="45">
        <v>23875051</v>
      </c>
      <c r="N261" s="45"/>
      <c r="O261" s="45">
        <v>0</v>
      </c>
      <c r="P261" s="45"/>
      <c r="Q261" s="45">
        <f>511952+1012594</f>
        <v>1524546</v>
      </c>
      <c r="R261" s="45"/>
      <c r="S261" s="44">
        <f t="shared" si="9"/>
        <v>5131599</v>
      </c>
      <c r="T261" s="45"/>
      <c r="U261" s="45">
        <v>86017282</v>
      </c>
      <c r="V261" s="44"/>
      <c r="W261" s="45">
        <f>72445+23070088</f>
        <v>23142533</v>
      </c>
    </row>
    <row r="262" spans="1:23" s="116" customFormat="1" ht="12.75" customHeight="1" x14ac:dyDescent="0.2">
      <c r="A262" s="44" t="s">
        <v>287</v>
      </c>
      <c r="C262" s="44" t="s">
        <v>288</v>
      </c>
      <c r="D262" s="35"/>
      <c r="E262" s="45">
        <v>1163362</v>
      </c>
      <c r="F262" s="45"/>
      <c r="G262" s="45">
        <v>14695992</v>
      </c>
      <c r="H262" s="45"/>
      <c r="I262" s="45">
        <f>112985+606855+396603</f>
        <v>1116443</v>
      </c>
      <c r="J262" s="45"/>
      <c r="K262" s="45">
        <v>1364428</v>
      </c>
      <c r="L262" s="45"/>
      <c r="M262" s="45">
        <v>7967918</v>
      </c>
      <c r="N262" s="45"/>
      <c r="O262" s="45">
        <v>0</v>
      </c>
      <c r="P262" s="45"/>
      <c r="Q262" s="45">
        <v>851913</v>
      </c>
      <c r="R262" s="45"/>
      <c r="S262" s="44">
        <f t="shared" si="9"/>
        <v>248120</v>
      </c>
      <c r="T262" s="45"/>
      <c r="U262" s="45">
        <v>27408176</v>
      </c>
      <c r="V262" s="44"/>
      <c r="W262" s="45">
        <f>7658874+26553</f>
        <v>7685427</v>
      </c>
    </row>
    <row r="263" spans="1:23" s="49" customFormat="1" ht="12.75" customHeight="1" x14ac:dyDescent="0.2">
      <c r="A263" s="44" t="s">
        <v>471</v>
      </c>
      <c r="B263" s="116"/>
      <c r="C263" s="47"/>
      <c r="D263" s="47"/>
      <c r="F263" s="44"/>
      <c r="H263" s="44"/>
      <c r="J263" s="44"/>
      <c r="L263" s="44"/>
      <c r="N263" s="44"/>
      <c r="P263" s="44"/>
      <c r="R263" s="44"/>
      <c r="S263" s="44"/>
      <c r="T263" s="44"/>
    </row>
    <row r="264" spans="1:23" s="116" customFormat="1" ht="12.75" customHeight="1" x14ac:dyDescent="0.2">
      <c r="A264" s="49"/>
      <c r="B264" s="49"/>
      <c r="C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4"/>
      <c r="T264" s="49"/>
      <c r="U264" s="48"/>
      <c r="V264" s="47"/>
      <c r="W264" s="44"/>
    </row>
    <row r="265" spans="1:23" s="116" customFormat="1" ht="12.75" customHeight="1" x14ac:dyDescent="0.2">
      <c r="A265" s="49"/>
      <c r="C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4"/>
      <c r="T265" s="49"/>
      <c r="U265" s="48"/>
      <c r="V265" s="47"/>
      <c r="W265" s="44"/>
    </row>
    <row r="266" spans="1:23" s="116" customFormat="1" ht="12.75" customHeight="1" x14ac:dyDescent="0.2">
      <c r="A266" s="49"/>
      <c r="C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4"/>
      <c r="T266" s="49"/>
      <c r="U266" s="48"/>
      <c r="V266" s="47"/>
      <c r="W266" s="44"/>
    </row>
    <row r="267" spans="1:23" s="116" customFormat="1" ht="12.75" customHeight="1" x14ac:dyDescent="0.2">
      <c r="A267" s="49"/>
      <c r="C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4"/>
      <c r="T267" s="49"/>
      <c r="U267" s="48"/>
      <c r="V267" s="47"/>
      <c r="W267" s="44"/>
    </row>
    <row r="268" spans="1:23" s="116" customFormat="1" ht="12.75" customHeight="1" x14ac:dyDescent="0.2">
      <c r="A268" s="49"/>
      <c r="C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4"/>
      <c r="T268" s="49"/>
      <c r="U268" s="48"/>
      <c r="V268" s="47"/>
      <c r="W268" s="44"/>
    </row>
    <row r="269" spans="1:23" s="116" customFormat="1" ht="12.75" customHeight="1" x14ac:dyDescent="0.2">
      <c r="A269" s="49"/>
      <c r="C269" s="4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8"/>
      <c r="T269" s="119"/>
      <c r="U269" s="120"/>
      <c r="W269" s="44"/>
    </row>
    <row r="270" spans="1:23" s="116" customFormat="1" ht="12.75" customHeight="1" x14ac:dyDescent="0.2">
      <c r="A270" s="119"/>
      <c r="C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8"/>
      <c r="T270" s="119"/>
      <c r="U270" s="120"/>
      <c r="W270" s="44"/>
    </row>
    <row r="271" spans="1:23" s="116" customFormat="1" ht="12.75" customHeight="1" x14ac:dyDescent="0.2">
      <c r="A271" s="119"/>
      <c r="C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8"/>
      <c r="T271" s="119"/>
      <c r="U271" s="120"/>
      <c r="W271" s="44"/>
    </row>
    <row r="272" spans="1:23" s="116" customFormat="1" ht="12.75" customHeight="1" x14ac:dyDescent="0.2">
      <c r="A272" s="119"/>
      <c r="C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8"/>
      <c r="T272" s="119"/>
      <c r="U272" s="120"/>
      <c r="W272" s="44"/>
    </row>
    <row r="273" spans="1:23" s="116" customFormat="1" ht="12.75" customHeight="1" x14ac:dyDescent="0.2">
      <c r="A273" s="119"/>
      <c r="C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8"/>
      <c r="T273" s="119"/>
      <c r="U273" s="120"/>
      <c r="W273" s="44"/>
    </row>
    <row r="274" spans="1:23" s="116" customFormat="1" ht="12.75" customHeight="1" x14ac:dyDescent="0.2">
      <c r="A274" s="119"/>
      <c r="C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8"/>
      <c r="T274" s="119"/>
      <c r="U274" s="120"/>
      <c r="W274" s="44"/>
    </row>
    <row r="275" spans="1:23" s="116" customFormat="1" ht="12.75" customHeight="1" x14ac:dyDescent="0.2">
      <c r="A275" s="119"/>
      <c r="C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8"/>
      <c r="T275" s="119"/>
      <c r="U275" s="120"/>
      <c r="W275" s="44"/>
    </row>
    <row r="276" spans="1:23" s="116" customFormat="1" ht="12.75" customHeight="1" x14ac:dyDescent="0.2">
      <c r="A276" s="119"/>
      <c r="C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8"/>
      <c r="T276" s="119"/>
      <c r="U276" s="120"/>
      <c r="W276" s="44"/>
    </row>
    <row r="277" spans="1:23" s="116" customFormat="1" ht="12.75" customHeight="1" x14ac:dyDescent="0.2">
      <c r="A277" s="119"/>
      <c r="C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8"/>
      <c r="T277" s="119"/>
      <c r="U277" s="120"/>
      <c r="W277" s="44"/>
    </row>
    <row r="278" spans="1:23" s="116" customFormat="1" ht="12.75" customHeight="1" x14ac:dyDescent="0.2">
      <c r="A278" s="119"/>
      <c r="C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8"/>
      <c r="T278" s="119"/>
      <c r="U278" s="120"/>
      <c r="W278" s="44"/>
    </row>
    <row r="279" spans="1:23" s="116" customFormat="1" ht="12.75" customHeight="1" x14ac:dyDescent="0.2">
      <c r="A279" s="119"/>
      <c r="C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8"/>
      <c r="T279" s="119"/>
      <c r="U279" s="120"/>
      <c r="W279" s="44"/>
    </row>
    <row r="280" spans="1:23" s="116" customFormat="1" ht="12.75" customHeight="1" x14ac:dyDescent="0.2">
      <c r="A280" s="119"/>
      <c r="C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8"/>
      <c r="T280" s="119"/>
      <c r="U280" s="120"/>
      <c r="W280" s="44"/>
    </row>
    <row r="281" spans="1:23" s="116" customFormat="1" ht="12.75" customHeight="1" x14ac:dyDescent="0.2">
      <c r="A281" s="119"/>
      <c r="C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8"/>
      <c r="T281" s="119"/>
      <c r="U281" s="120"/>
      <c r="W281" s="44"/>
    </row>
    <row r="282" spans="1:23" s="116" customFormat="1" ht="12.75" customHeight="1" x14ac:dyDescent="0.2">
      <c r="A282" s="119"/>
      <c r="C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8"/>
      <c r="T282" s="119"/>
      <c r="U282" s="120"/>
      <c r="W282" s="44"/>
    </row>
    <row r="283" spans="1:23" s="116" customFormat="1" ht="12.75" customHeight="1" x14ac:dyDescent="0.2">
      <c r="A283" s="119"/>
      <c r="C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8"/>
      <c r="T283" s="119"/>
      <c r="U283" s="120"/>
      <c r="W283" s="44"/>
    </row>
    <row r="284" spans="1:23" s="116" customFormat="1" ht="12.75" customHeight="1" x14ac:dyDescent="0.2">
      <c r="A284" s="119"/>
      <c r="C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8"/>
      <c r="T284" s="119"/>
      <c r="U284" s="120"/>
      <c r="W284" s="44"/>
    </row>
    <row r="285" spans="1:23" s="116" customFormat="1" ht="12.75" customHeight="1" x14ac:dyDescent="0.2">
      <c r="A285" s="119"/>
      <c r="C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8"/>
      <c r="T285" s="119"/>
      <c r="U285" s="120"/>
      <c r="W285" s="44"/>
    </row>
    <row r="286" spans="1:23" s="116" customFormat="1" ht="12.75" customHeight="1" x14ac:dyDescent="0.2">
      <c r="A286" s="119"/>
      <c r="C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8"/>
      <c r="T286" s="119"/>
      <c r="U286" s="120"/>
      <c r="W286" s="44"/>
    </row>
    <row r="287" spans="1:23" s="116" customFormat="1" ht="12.75" customHeight="1" x14ac:dyDescent="0.2">
      <c r="A287" s="119"/>
      <c r="C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8"/>
      <c r="T287" s="119"/>
      <c r="U287" s="120"/>
      <c r="W287" s="44"/>
    </row>
    <row r="288" spans="1:23" s="116" customFormat="1" ht="12.75" customHeight="1" x14ac:dyDescent="0.2">
      <c r="A288" s="119"/>
      <c r="C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8"/>
      <c r="T288" s="119"/>
      <c r="U288" s="120"/>
      <c r="W288" s="44"/>
    </row>
    <row r="289" spans="1:23" s="116" customFormat="1" ht="12.75" customHeight="1" x14ac:dyDescent="0.2">
      <c r="A289" s="119"/>
      <c r="C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8"/>
      <c r="T289" s="119"/>
      <c r="U289" s="120"/>
      <c r="W289" s="44"/>
    </row>
    <row r="290" spans="1:23" s="116" customFormat="1" ht="12.75" customHeight="1" x14ac:dyDescent="0.2">
      <c r="A290" s="119"/>
      <c r="C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8"/>
      <c r="T290" s="119"/>
      <c r="U290" s="120"/>
      <c r="W290" s="44"/>
    </row>
    <row r="291" spans="1:23" s="116" customFormat="1" ht="12.75" customHeight="1" x14ac:dyDescent="0.2">
      <c r="A291" s="119"/>
      <c r="C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8"/>
      <c r="T291" s="119"/>
      <c r="U291" s="120"/>
      <c r="W291" s="44"/>
    </row>
    <row r="292" spans="1:23" s="116" customFormat="1" ht="12.75" customHeight="1" x14ac:dyDescent="0.2">
      <c r="A292" s="119"/>
      <c r="C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8"/>
      <c r="T292" s="119"/>
      <c r="U292" s="120"/>
      <c r="W292" s="44"/>
    </row>
    <row r="293" spans="1:23" s="116" customFormat="1" ht="12.75" customHeight="1" x14ac:dyDescent="0.2">
      <c r="A293" s="119"/>
      <c r="C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8"/>
      <c r="T293" s="119"/>
      <c r="U293" s="120"/>
      <c r="W293" s="44"/>
    </row>
    <row r="294" spans="1:23" s="116" customFormat="1" ht="12.75" customHeight="1" x14ac:dyDescent="0.2">
      <c r="A294" s="119"/>
      <c r="C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8"/>
      <c r="T294" s="119"/>
      <c r="U294" s="120"/>
      <c r="W294" s="44"/>
    </row>
    <row r="295" spans="1:23" s="116" customFormat="1" ht="12.75" customHeight="1" x14ac:dyDescent="0.2">
      <c r="A295" s="119"/>
      <c r="C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8"/>
      <c r="T295" s="119"/>
      <c r="U295" s="120"/>
      <c r="W295" s="44"/>
    </row>
    <row r="296" spans="1:23" s="116" customFormat="1" ht="12.75" customHeight="1" x14ac:dyDescent="0.2">
      <c r="A296" s="119"/>
      <c r="C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8"/>
      <c r="T296" s="119"/>
      <c r="U296" s="120"/>
      <c r="W296" s="44"/>
    </row>
    <row r="297" spans="1:23" s="116" customFormat="1" ht="12.75" customHeight="1" x14ac:dyDescent="0.2">
      <c r="A297" s="119"/>
      <c r="C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8"/>
      <c r="T297" s="119"/>
      <c r="U297" s="120"/>
      <c r="W297" s="44"/>
    </row>
    <row r="298" spans="1:23" s="116" customFormat="1" ht="12.75" customHeight="1" x14ac:dyDescent="0.2">
      <c r="A298" s="119"/>
      <c r="C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8"/>
      <c r="T298" s="119"/>
      <c r="U298" s="120"/>
      <c r="W298" s="44"/>
    </row>
    <row r="299" spans="1:23" s="116" customFormat="1" ht="12.75" customHeight="1" x14ac:dyDescent="0.2">
      <c r="A299" s="119"/>
      <c r="C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8"/>
      <c r="T299" s="119"/>
      <c r="U299" s="120"/>
      <c r="W299" s="44"/>
    </row>
    <row r="300" spans="1:23" s="116" customFormat="1" ht="12.75" customHeight="1" x14ac:dyDescent="0.2">
      <c r="A300" s="119"/>
      <c r="C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8"/>
      <c r="T300" s="119"/>
      <c r="U300" s="120"/>
      <c r="W300" s="44"/>
    </row>
    <row r="301" spans="1:23" s="116" customFormat="1" ht="12.75" customHeight="1" x14ac:dyDescent="0.2">
      <c r="A301" s="119"/>
      <c r="C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8"/>
      <c r="T301" s="119"/>
      <c r="U301" s="120"/>
      <c r="W301" s="44"/>
    </row>
    <row r="302" spans="1:23" s="116" customFormat="1" ht="12.75" customHeight="1" x14ac:dyDescent="0.2">
      <c r="A302" s="119"/>
      <c r="C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8"/>
      <c r="T302" s="119"/>
      <c r="U302" s="120"/>
      <c r="W302" s="44"/>
    </row>
    <row r="303" spans="1:23" s="116" customFormat="1" ht="12.75" customHeight="1" x14ac:dyDescent="0.2">
      <c r="A303" s="119"/>
      <c r="C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8"/>
      <c r="T303" s="119"/>
      <c r="U303" s="120"/>
      <c r="W303" s="44"/>
    </row>
    <row r="304" spans="1:23" s="116" customFormat="1" ht="12.75" customHeight="1" x14ac:dyDescent="0.2">
      <c r="A304" s="119"/>
      <c r="C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8"/>
      <c r="T304" s="119"/>
      <c r="U304" s="120"/>
      <c r="W304" s="44"/>
    </row>
    <row r="305" spans="1:23" s="116" customFormat="1" ht="12.75" customHeight="1" x14ac:dyDescent="0.2">
      <c r="A305" s="119"/>
      <c r="C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8"/>
      <c r="T305" s="119"/>
      <c r="U305" s="120"/>
      <c r="W305" s="44"/>
    </row>
    <row r="306" spans="1:23" s="116" customFormat="1" ht="12.75" customHeight="1" x14ac:dyDescent="0.2">
      <c r="A306" s="119"/>
      <c r="C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8"/>
      <c r="T306" s="119"/>
      <c r="U306" s="120"/>
      <c r="W306" s="44"/>
    </row>
    <row r="307" spans="1:23" s="116" customFormat="1" ht="12.75" customHeight="1" x14ac:dyDescent="0.2">
      <c r="A307" s="119"/>
      <c r="C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8"/>
      <c r="T307" s="119"/>
      <c r="U307" s="120"/>
      <c r="W307" s="44"/>
    </row>
    <row r="308" spans="1:23" s="116" customFormat="1" ht="12.75" customHeight="1" x14ac:dyDescent="0.2">
      <c r="A308" s="119"/>
      <c r="C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8"/>
      <c r="T308" s="119"/>
      <c r="U308" s="120"/>
      <c r="W308" s="44"/>
    </row>
    <row r="309" spans="1:23" s="116" customFormat="1" ht="12.75" customHeight="1" x14ac:dyDescent="0.2">
      <c r="A309" s="119"/>
      <c r="C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8"/>
      <c r="T309" s="119"/>
      <c r="U309" s="120"/>
      <c r="W309" s="44"/>
    </row>
    <row r="310" spans="1:23" s="116" customFormat="1" ht="12.75" customHeight="1" x14ac:dyDescent="0.2">
      <c r="A310" s="119"/>
      <c r="C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8"/>
      <c r="T310" s="119"/>
      <c r="U310" s="120"/>
      <c r="W310" s="44"/>
    </row>
    <row r="311" spans="1:23" s="116" customFormat="1" ht="12.75" customHeight="1" x14ac:dyDescent="0.2">
      <c r="A311" s="119"/>
      <c r="C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8"/>
      <c r="T311" s="119"/>
      <c r="U311" s="120"/>
      <c r="W311" s="44"/>
    </row>
    <row r="312" spans="1:23" s="116" customFormat="1" ht="12.75" customHeight="1" x14ac:dyDescent="0.2">
      <c r="A312" s="119"/>
      <c r="C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8"/>
      <c r="T312" s="119"/>
      <c r="U312" s="120"/>
      <c r="W312" s="44"/>
    </row>
    <row r="313" spans="1:23" s="116" customFormat="1" ht="12.75" customHeight="1" x14ac:dyDescent="0.2">
      <c r="A313" s="119"/>
      <c r="C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8"/>
      <c r="T313" s="119"/>
      <c r="U313" s="120"/>
      <c r="W313" s="44"/>
    </row>
    <row r="314" spans="1:23" s="116" customFormat="1" ht="12.75" customHeight="1" x14ac:dyDescent="0.2">
      <c r="A314" s="119"/>
      <c r="C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8"/>
      <c r="T314" s="119"/>
      <c r="U314" s="120"/>
      <c r="W314" s="44"/>
    </row>
    <row r="315" spans="1:23" s="116" customFormat="1" ht="12.75" customHeight="1" x14ac:dyDescent="0.2">
      <c r="A315" s="119"/>
      <c r="C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8"/>
      <c r="T315" s="119"/>
      <c r="U315" s="120"/>
      <c r="W315" s="44"/>
    </row>
    <row r="316" spans="1:23" s="116" customFormat="1" ht="12.75" customHeight="1" x14ac:dyDescent="0.2">
      <c r="A316" s="119"/>
      <c r="C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8"/>
      <c r="T316" s="119"/>
      <c r="U316" s="120"/>
      <c r="W316" s="44"/>
    </row>
    <row r="317" spans="1:23" s="116" customFormat="1" ht="12.75" customHeight="1" x14ac:dyDescent="0.2">
      <c r="A317" s="119"/>
      <c r="C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8"/>
      <c r="T317" s="119"/>
      <c r="U317" s="120"/>
      <c r="W317" s="44"/>
    </row>
    <row r="318" spans="1:23" s="116" customFormat="1" ht="12.75" customHeight="1" x14ac:dyDescent="0.2">
      <c r="A318" s="119"/>
      <c r="C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8"/>
      <c r="T318" s="119"/>
      <c r="U318" s="120"/>
      <c r="W318" s="44"/>
    </row>
    <row r="319" spans="1:23" s="116" customFormat="1" ht="12.75" customHeight="1" x14ac:dyDescent="0.2">
      <c r="A319" s="119"/>
      <c r="C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8"/>
      <c r="T319" s="119"/>
      <c r="U319" s="120"/>
      <c r="W319" s="44"/>
    </row>
    <row r="320" spans="1:23" s="116" customFormat="1" ht="12.75" customHeight="1" x14ac:dyDescent="0.2">
      <c r="A320" s="119"/>
      <c r="C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8"/>
      <c r="T320" s="119"/>
      <c r="U320" s="120"/>
      <c r="W320" s="44"/>
    </row>
    <row r="321" spans="1:23" s="116" customFormat="1" ht="12.75" customHeight="1" x14ac:dyDescent="0.2">
      <c r="A321" s="119"/>
      <c r="C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8"/>
      <c r="T321" s="119"/>
      <c r="U321" s="120"/>
      <c r="W321" s="44"/>
    </row>
    <row r="322" spans="1:23" s="116" customFormat="1" ht="12.75" customHeight="1" x14ac:dyDescent="0.2">
      <c r="A322" s="119"/>
      <c r="C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8"/>
      <c r="T322" s="119"/>
      <c r="U322" s="120"/>
      <c r="W322" s="44"/>
    </row>
    <row r="323" spans="1:23" s="116" customFormat="1" ht="12.75" customHeight="1" x14ac:dyDescent="0.2">
      <c r="A323" s="119"/>
      <c r="C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8"/>
      <c r="T323" s="119"/>
      <c r="U323" s="120"/>
      <c r="W323" s="44"/>
    </row>
    <row r="324" spans="1:23" s="116" customFormat="1" ht="12.75" customHeight="1" x14ac:dyDescent="0.2">
      <c r="A324" s="119"/>
      <c r="C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8"/>
      <c r="T324" s="119"/>
      <c r="U324" s="120"/>
      <c r="W324" s="44"/>
    </row>
    <row r="325" spans="1:23" s="116" customFormat="1" ht="12.75" customHeight="1" x14ac:dyDescent="0.2">
      <c r="A325" s="119"/>
      <c r="C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8"/>
      <c r="T325" s="119"/>
      <c r="U325" s="120"/>
      <c r="W325" s="44"/>
    </row>
    <row r="326" spans="1:23" s="116" customFormat="1" ht="12.75" customHeight="1" x14ac:dyDescent="0.2">
      <c r="A326" s="119"/>
      <c r="C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8"/>
      <c r="T326" s="119"/>
      <c r="U326" s="120"/>
      <c r="W326" s="44"/>
    </row>
    <row r="327" spans="1:23" s="116" customFormat="1" ht="12.75" customHeight="1" x14ac:dyDescent="0.2">
      <c r="A327" s="119"/>
      <c r="C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8"/>
      <c r="T327" s="119"/>
      <c r="U327" s="120"/>
      <c r="W327" s="44"/>
    </row>
    <row r="328" spans="1:23" s="116" customFormat="1" ht="12.75" customHeight="1" x14ac:dyDescent="0.2">
      <c r="A328" s="119"/>
      <c r="C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8"/>
      <c r="T328" s="119"/>
      <c r="U328" s="120"/>
      <c r="W328" s="44"/>
    </row>
    <row r="329" spans="1:23" s="116" customFormat="1" ht="12.75" customHeight="1" x14ac:dyDescent="0.2">
      <c r="A329" s="119"/>
      <c r="C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8"/>
      <c r="T329" s="119"/>
      <c r="U329" s="120"/>
      <c r="W329" s="44"/>
    </row>
    <row r="330" spans="1:23" s="116" customFormat="1" ht="12.75" customHeight="1" x14ac:dyDescent="0.2">
      <c r="A330" s="119"/>
      <c r="C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8"/>
      <c r="T330" s="119"/>
      <c r="U330" s="120"/>
      <c r="W330" s="44"/>
    </row>
    <row r="331" spans="1:23" s="116" customFormat="1" ht="12.75" customHeight="1" x14ac:dyDescent="0.2">
      <c r="A331" s="119"/>
      <c r="C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8"/>
      <c r="T331" s="119"/>
      <c r="U331" s="120"/>
      <c r="W331" s="44"/>
    </row>
    <row r="332" spans="1:23" s="116" customFormat="1" ht="12.75" customHeight="1" x14ac:dyDescent="0.2">
      <c r="A332" s="119"/>
      <c r="C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8"/>
      <c r="T332" s="119"/>
      <c r="U332" s="120"/>
      <c r="W332" s="44"/>
    </row>
    <row r="333" spans="1:23" s="116" customFormat="1" ht="12.75" customHeight="1" x14ac:dyDescent="0.2">
      <c r="A333" s="119"/>
      <c r="C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8"/>
      <c r="T333" s="119"/>
      <c r="U333" s="120"/>
      <c r="W333" s="44"/>
    </row>
    <row r="334" spans="1:23" s="116" customFormat="1" ht="12.75" customHeight="1" x14ac:dyDescent="0.2">
      <c r="A334" s="119"/>
      <c r="C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8"/>
      <c r="T334" s="119"/>
      <c r="U334" s="120"/>
      <c r="W334" s="44"/>
    </row>
    <row r="335" spans="1:23" s="116" customFormat="1" ht="12.75" customHeight="1" x14ac:dyDescent="0.2">
      <c r="A335" s="119"/>
      <c r="C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8"/>
      <c r="T335" s="119"/>
      <c r="U335" s="120"/>
      <c r="W335" s="44"/>
    </row>
    <row r="336" spans="1:23" s="116" customFormat="1" ht="12.75" customHeight="1" x14ac:dyDescent="0.2">
      <c r="A336" s="119"/>
      <c r="C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8"/>
      <c r="T336" s="119"/>
      <c r="U336" s="120"/>
      <c r="W336" s="44"/>
    </row>
    <row r="337" spans="1:23" s="116" customFormat="1" ht="12.75" customHeight="1" x14ac:dyDescent="0.2">
      <c r="A337" s="119"/>
      <c r="C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8"/>
      <c r="T337" s="119"/>
      <c r="U337" s="120"/>
      <c r="W337" s="44"/>
    </row>
    <row r="338" spans="1:23" s="116" customFormat="1" ht="12.75" customHeight="1" x14ac:dyDescent="0.2">
      <c r="A338" s="119"/>
      <c r="C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8"/>
      <c r="T338" s="119"/>
      <c r="U338" s="120"/>
      <c r="W338" s="44"/>
    </row>
    <row r="339" spans="1:23" s="116" customFormat="1" ht="12.75" customHeight="1" x14ac:dyDescent="0.2">
      <c r="A339" s="119"/>
      <c r="C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8"/>
      <c r="T339" s="119"/>
      <c r="U339" s="120"/>
      <c r="W339" s="44"/>
    </row>
    <row r="340" spans="1:23" s="116" customFormat="1" ht="12.75" customHeight="1" x14ac:dyDescent="0.2">
      <c r="A340" s="119"/>
      <c r="C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8"/>
      <c r="T340" s="119"/>
      <c r="U340" s="120"/>
      <c r="W340" s="44"/>
    </row>
    <row r="341" spans="1:23" s="116" customFormat="1" ht="12.75" customHeight="1" x14ac:dyDescent="0.2">
      <c r="A341" s="119"/>
      <c r="C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8"/>
      <c r="T341" s="119"/>
      <c r="U341" s="120"/>
      <c r="W341" s="44"/>
    </row>
    <row r="342" spans="1:23" s="116" customFormat="1" ht="12.75" customHeight="1" x14ac:dyDescent="0.2">
      <c r="A342" s="119"/>
      <c r="C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8"/>
      <c r="T342" s="119"/>
      <c r="U342" s="120"/>
      <c r="W342" s="44"/>
    </row>
    <row r="343" spans="1:23" s="116" customFormat="1" ht="12.75" customHeight="1" x14ac:dyDescent="0.2">
      <c r="A343" s="119"/>
      <c r="C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8"/>
      <c r="T343" s="119"/>
      <c r="U343" s="120"/>
      <c r="W343" s="44"/>
    </row>
  </sheetData>
  <phoneticPr fontId="4" type="noConversion"/>
  <printOptions horizontalCentered="1"/>
  <pageMargins left="0.75" right="0.75" top="0.5" bottom="0.5" header="0" footer="0.3"/>
  <pageSetup scale="90" firstPageNumber="72" pageOrder="overThenDown" orientation="portrait" useFirstPageNumber="1" r:id="rId1"/>
  <headerFooter alignWithMargins="0">
    <oddFooter>&amp;C&amp;"Times New Roman,Regular"&amp;11&amp;P</oddFooter>
  </headerFooter>
  <rowBreaks count="4" manualBreakCount="4">
    <brk id="62" max="22" man="1"/>
    <brk id="118" max="22" man="1"/>
    <brk id="171" max="22" man="1"/>
    <brk id="223" max="22" man="1"/>
  </rowBreaks>
  <colBreaks count="1" manualBreakCount="1">
    <brk id="11" min="9" max="25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9"/>
  <sheetViews>
    <sheetView view="pageBreakPreview" zoomScale="80" zoomScaleNormal="100" zoomScaleSheetLayoutView="80" workbookViewId="0">
      <pane xSplit="3" ySplit="8" topLeftCell="D24" activePane="bottomRight" state="frozen"/>
      <selection pane="topRight" activeCell="D1" sqref="D1"/>
      <selection pane="bottomLeft" activeCell="A9" sqref="A9"/>
      <selection pane="bottomRight" activeCell="A4" sqref="A4"/>
    </sheetView>
  </sheetViews>
  <sheetFormatPr defaultColWidth="0" defaultRowHeight="12.75" customHeight="1" x14ac:dyDescent="0.2"/>
  <cols>
    <col min="1" max="1" width="21.5703125" style="17" customWidth="1"/>
    <col min="2" max="2" width="1.7109375" customWidth="1"/>
    <col min="3" max="3" width="12.140625" style="17" customWidth="1"/>
    <col min="4" max="4" width="1.7109375" style="10" customWidth="1"/>
    <col min="5" max="5" width="11.42578125" style="17" bestFit="1" customWidth="1"/>
    <col min="6" max="6" width="1.7109375" style="17" customWidth="1"/>
    <col min="7" max="7" width="12.140625" style="17" bestFit="1" customWidth="1"/>
    <col min="8" max="8" width="1.7109375" style="17" customWidth="1"/>
    <col min="9" max="9" width="11.42578125" style="17" bestFit="1" customWidth="1"/>
    <col min="10" max="10" width="1.7109375" style="17" customWidth="1"/>
    <col min="11" max="11" width="11.42578125" style="17" bestFit="1" customWidth="1"/>
    <col min="12" max="12" width="1.7109375" style="17" customWidth="1"/>
    <col min="13" max="13" width="13.140625" style="17" bestFit="1" customWidth="1"/>
    <col min="14" max="14" width="1.7109375" style="17" customWidth="1"/>
    <col min="15" max="15" width="12.140625" style="17" bestFit="1" customWidth="1"/>
    <col min="16" max="16" width="1.7109375" style="17" customWidth="1"/>
    <col min="17" max="17" width="19.7109375" style="17" bestFit="1" customWidth="1"/>
    <col min="18" max="18" width="1.7109375" style="17" customWidth="1"/>
    <col min="19" max="19" width="12.140625" style="17" bestFit="1" customWidth="1"/>
    <col min="20" max="20" width="1.7109375" style="17" customWidth="1"/>
    <col min="21" max="21" width="10.7109375" style="17" customWidth="1"/>
    <col min="22" max="22" width="11.7109375" style="17" hidden="1" customWidth="1"/>
    <col min="23" max="23" width="1.7109375" style="60" hidden="1" customWidth="1"/>
    <col min="24" max="24" width="13.42578125" style="17" hidden="1" customWidth="1"/>
    <col min="25" max="25" width="1.7109375" style="10" hidden="1" customWidth="1"/>
    <col min="26" max="26" width="9.85546875" style="17" hidden="1" customWidth="1"/>
    <col min="27" max="27" width="1.7109375" style="17" customWidth="1"/>
    <col min="28" max="28" width="11.28515625" style="17" bestFit="1" customWidth="1"/>
    <col min="29" max="29" width="1.7109375" customWidth="1"/>
    <col min="30" max="30" width="11.42578125" style="17" bestFit="1" customWidth="1"/>
    <col min="31" max="31" width="1.7109375" customWidth="1"/>
    <col min="32" max="32" width="11.7109375" customWidth="1"/>
    <col min="33" max="33" width="1.7109375" customWidth="1"/>
    <col min="34" max="34" width="13.7109375" style="17" bestFit="1" customWidth="1"/>
    <col min="35" max="35" width="1.7109375" style="17" customWidth="1"/>
    <col min="36" max="36" width="10.7109375" style="17" hidden="1" customWidth="1"/>
    <col min="37" max="37" width="1.7109375" style="17" hidden="1" customWidth="1"/>
    <col min="38" max="38" width="12.7109375" style="17" customWidth="1"/>
    <col min="39" max="39" width="1.7109375" style="17" customWidth="1"/>
    <col min="40" max="40" width="12.7109375" style="17" customWidth="1"/>
    <col min="41" max="41" width="1.7109375" style="17" customWidth="1"/>
    <col min="42" max="42" width="12.7109375" style="17" customWidth="1"/>
    <col min="43" max="43" width="1.7109375" style="17" customWidth="1"/>
    <col min="44" max="44" width="11.7109375" style="17" customWidth="1"/>
    <col min="45" max="45" width="10.7109375" style="17" customWidth="1"/>
    <col min="46" max="46" width="9.140625" customWidth="1"/>
    <col min="47" max="16384" width="0" style="10" hidden="1"/>
  </cols>
  <sheetData>
    <row r="1" spans="1:46" s="9" customFormat="1" ht="12.75" customHeight="1" x14ac:dyDescent="0.2">
      <c r="A1" s="23" t="s">
        <v>389</v>
      </c>
      <c r="C1" s="24"/>
      <c r="D1" s="10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3"/>
      <c r="R1" s="24"/>
      <c r="S1" s="24"/>
      <c r="T1" s="24"/>
      <c r="U1" s="24"/>
      <c r="V1" s="24"/>
      <c r="W1" s="58"/>
      <c r="X1" s="23" t="s">
        <v>389</v>
      </c>
      <c r="AA1" s="24"/>
      <c r="AB1" s="24"/>
      <c r="AD1" s="23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</row>
    <row r="2" spans="1:46" s="9" customFormat="1" ht="12.75" customHeight="1" x14ac:dyDescent="0.2">
      <c r="A2" s="23" t="s">
        <v>501</v>
      </c>
      <c r="C2" s="24"/>
      <c r="D2" s="10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3"/>
      <c r="R2" s="24"/>
      <c r="S2" s="24"/>
      <c r="T2" s="24"/>
      <c r="U2" s="24"/>
      <c r="V2" s="24"/>
      <c r="W2" s="58"/>
      <c r="X2" s="23" t="s">
        <v>316</v>
      </c>
      <c r="AA2" s="24"/>
      <c r="AB2" s="24"/>
      <c r="AD2" s="23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</row>
    <row r="3" spans="1:46" ht="12.75" customHeight="1" x14ac:dyDescent="0.2">
      <c r="A3" s="24" t="s">
        <v>289</v>
      </c>
      <c r="C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24"/>
      <c r="R3" s="11"/>
      <c r="S3" s="11"/>
      <c r="T3" s="11"/>
      <c r="U3" s="11"/>
      <c r="V3" s="11"/>
      <c r="W3" s="59"/>
      <c r="X3" s="24" t="s">
        <v>289</v>
      </c>
      <c r="AA3" s="11"/>
      <c r="AB3" s="11"/>
      <c r="AD3" s="24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</row>
    <row r="4" spans="1:46" ht="12.75" customHeight="1" x14ac:dyDescent="0.2">
      <c r="A4" s="22" t="s">
        <v>484</v>
      </c>
      <c r="C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24"/>
      <c r="R4" s="11"/>
      <c r="S4" s="11"/>
      <c r="T4" s="11"/>
      <c r="U4" s="11"/>
      <c r="V4" s="11"/>
      <c r="W4" s="59"/>
      <c r="X4" s="24"/>
      <c r="AA4" s="11"/>
      <c r="AB4" s="11"/>
      <c r="AD4" s="24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</row>
    <row r="5" spans="1:46" s="47" customFormat="1" ht="12.75" customHeight="1" x14ac:dyDescent="0.2">
      <c r="A5" s="49"/>
      <c r="B5" s="51"/>
      <c r="C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Z5" s="49"/>
      <c r="AA5" s="49"/>
      <c r="AB5" s="49"/>
      <c r="AC5" s="51"/>
      <c r="AD5" s="49"/>
      <c r="AE5" s="51"/>
      <c r="AF5" s="51"/>
      <c r="AG5" s="51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51"/>
    </row>
    <row r="6" spans="1:46" s="97" customFormat="1" ht="12.75" customHeight="1" x14ac:dyDescent="0.2">
      <c r="A6" s="26"/>
      <c r="C6" s="26"/>
      <c r="E6" s="26"/>
      <c r="F6" s="26"/>
      <c r="G6" s="26" t="s">
        <v>396</v>
      </c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Z6" s="26"/>
      <c r="AA6" s="26"/>
      <c r="AB6" s="26"/>
      <c r="AD6" s="26"/>
      <c r="AL6" s="26"/>
      <c r="AM6" s="26"/>
      <c r="AN6" s="26" t="s">
        <v>325</v>
      </c>
      <c r="AO6" s="26"/>
      <c r="AP6" s="97" t="s">
        <v>456</v>
      </c>
      <c r="AQ6" s="26"/>
      <c r="AR6" s="26"/>
    </row>
    <row r="7" spans="1:46" s="97" customFormat="1" ht="12.75" customHeight="1" x14ac:dyDescent="0.2">
      <c r="A7" s="26"/>
      <c r="C7" s="26"/>
      <c r="D7" s="26"/>
      <c r="E7" s="26" t="s">
        <v>296</v>
      </c>
      <c r="F7" s="26"/>
      <c r="G7" s="98" t="s">
        <v>422</v>
      </c>
      <c r="H7" s="26"/>
      <c r="I7" s="26" t="s">
        <v>333</v>
      </c>
      <c r="J7" s="26"/>
      <c r="K7" s="26"/>
      <c r="L7" s="26"/>
      <c r="M7" s="26"/>
      <c r="N7" s="26"/>
      <c r="O7" s="26" t="s">
        <v>306</v>
      </c>
      <c r="P7" s="26"/>
      <c r="Q7" s="26" t="s">
        <v>334</v>
      </c>
      <c r="R7" s="26"/>
      <c r="S7" s="26" t="s">
        <v>4</v>
      </c>
      <c r="T7" s="26"/>
      <c r="U7" s="26" t="s">
        <v>327</v>
      </c>
      <c r="V7" s="26"/>
      <c r="W7" s="26"/>
      <c r="X7" s="26"/>
      <c r="Z7" s="26"/>
      <c r="AA7" s="26"/>
      <c r="AB7" s="26"/>
      <c r="AD7" s="26" t="s">
        <v>344</v>
      </c>
      <c r="AF7" s="97" t="s">
        <v>294</v>
      </c>
      <c r="AH7" s="26" t="s">
        <v>6</v>
      </c>
      <c r="AI7" s="26"/>
      <c r="AJ7" s="26" t="s">
        <v>447</v>
      </c>
      <c r="AK7" s="26"/>
      <c r="AL7" s="26" t="s">
        <v>432</v>
      </c>
      <c r="AM7" s="26"/>
      <c r="AN7" s="26" t="s">
        <v>452</v>
      </c>
      <c r="AO7" s="26"/>
      <c r="AP7" s="26" t="s">
        <v>457</v>
      </c>
      <c r="AQ7" s="26"/>
      <c r="AR7" s="26" t="s">
        <v>428</v>
      </c>
      <c r="AS7" s="26"/>
    </row>
    <row r="8" spans="1:46" s="97" customFormat="1" ht="12.75" customHeight="1" x14ac:dyDescent="0.2">
      <c r="A8" s="99" t="s">
        <v>8</v>
      </c>
      <c r="C8" s="99" t="s">
        <v>9</v>
      </c>
      <c r="D8" s="26"/>
      <c r="E8" s="100" t="s">
        <v>314</v>
      </c>
      <c r="F8" s="26"/>
      <c r="G8" s="100" t="s">
        <v>293</v>
      </c>
      <c r="H8" s="26"/>
      <c r="I8" s="100" t="s">
        <v>335</v>
      </c>
      <c r="J8" s="26"/>
      <c r="K8" s="100" t="s">
        <v>309</v>
      </c>
      <c r="L8" s="26"/>
      <c r="M8" s="100" t="s">
        <v>312</v>
      </c>
      <c r="N8" s="26"/>
      <c r="O8" s="100" t="s">
        <v>336</v>
      </c>
      <c r="P8" s="26"/>
      <c r="Q8" s="100" t="s">
        <v>337</v>
      </c>
      <c r="R8" s="26"/>
      <c r="S8" s="100" t="s">
        <v>338</v>
      </c>
      <c r="T8" s="26"/>
      <c r="U8" s="100" t="s">
        <v>331</v>
      </c>
      <c r="V8" s="26"/>
      <c r="W8" s="26"/>
      <c r="X8" s="99" t="s">
        <v>8</v>
      </c>
      <c r="Z8" s="99" t="s">
        <v>9</v>
      </c>
      <c r="AA8" s="26"/>
      <c r="AB8" s="100" t="s">
        <v>339</v>
      </c>
      <c r="AD8" s="100" t="s">
        <v>340</v>
      </c>
      <c r="AF8" s="16" t="s">
        <v>337</v>
      </c>
      <c r="AH8" s="16" t="s">
        <v>337</v>
      </c>
      <c r="AI8" s="18"/>
      <c r="AJ8" s="16" t="s">
        <v>443</v>
      </c>
      <c r="AK8" s="18"/>
      <c r="AL8" s="99" t="s">
        <v>433</v>
      </c>
      <c r="AM8" s="26"/>
      <c r="AN8" s="99" t="s">
        <v>453</v>
      </c>
      <c r="AO8" s="26"/>
      <c r="AP8" s="99" t="s">
        <v>458</v>
      </c>
      <c r="AQ8" s="26"/>
      <c r="AR8" s="101" t="s">
        <v>429</v>
      </c>
      <c r="AS8" s="18"/>
    </row>
    <row r="9" spans="1:46" s="97" customFormat="1" ht="12.75" customHeight="1" x14ac:dyDescent="0.2">
      <c r="A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Z9" s="26"/>
      <c r="AA9" s="26"/>
      <c r="AB9" s="26"/>
      <c r="AD9" s="26"/>
      <c r="AH9" s="18"/>
      <c r="AI9" s="18"/>
      <c r="AJ9" s="18"/>
      <c r="AK9" s="18"/>
      <c r="AL9" s="8"/>
      <c r="AM9" s="8"/>
      <c r="AN9" s="8"/>
      <c r="AO9" s="8"/>
      <c r="AP9" s="8"/>
      <c r="AQ9" s="8"/>
      <c r="AR9" s="8"/>
      <c r="AS9" s="18"/>
    </row>
    <row r="10" spans="1:46" s="46" customFormat="1" ht="12.75" hidden="1" customHeight="1" x14ac:dyDescent="0.2">
      <c r="A10" s="64" t="s">
        <v>12</v>
      </c>
      <c r="C10" s="64" t="s">
        <v>13</v>
      </c>
      <c r="E10" s="68">
        <v>42400285</v>
      </c>
      <c r="F10" s="68"/>
      <c r="G10" s="68">
        <f>71513740+110814070</f>
        <v>182327810</v>
      </c>
      <c r="H10" s="68"/>
      <c r="I10" s="68">
        <v>77037268</v>
      </c>
      <c r="J10" s="68"/>
      <c r="K10" s="68">
        <v>3957653</v>
      </c>
      <c r="L10" s="68"/>
      <c r="M10" s="68">
        <v>0</v>
      </c>
      <c r="N10" s="68"/>
      <c r="O10" s="68">
        <v>5480847</v>
      </c>
      <c r="P10" s="68"/>
      <c r="Q10" s="68">
        <v>0</v>
      </c>
      <c r="R10" s="68"/>
      <c r="S10" s="68">
        <v>0</v>
      </c>
      <c r="T10" s="68"/>
      <c r="U10" s="68">
        <v>0</v>
      </c>
      <c r="V10" s="68"/>
      <c r="W10" s="68"/>
      <c r="X10" s="64"/>
      <c r="Z10" s="64"/>
      <c r="AA10" s="64"/>
      <c r="AB10" s="68">
        <v>42815931</v>
      </c>
      <c r="AC10" s="66"/>
      <c r="AD10" s="68">
        <v>33620136</v>
      </c>
      <c r="AE10" s="66"/>
      <c r="AF10" s="46">
        <v>1458659</v>
      </c>
      <c r="AG10" s="66"/>
      <c r="AH10" s="68">
        <f t="shared" ref="AH10:AH11" si="0">SUM(E10:AF10)</f>
        <v>389098589</v>
      </c>
      <c r="AI10" s="68"/>
      <c r="AJ10" s="68">
        <v>0</v>
      </c>
      <c r="AK10" s="68"/>
      <c r="AL10" s="94">
        <f>93235293+12706505</f>
        <v>105941798</v>
      </c>
      <c r="AM10" s="45"/>
      <c r="AN10" s="45">
        <v>140430717</v>
      </c>
      <c r="AO10" s="45"/>
      <c r="AP10" s="45">
        <v>0</v>
      </c>
      <c r="AQ10" s="45"/>
      <c r="AR10" s="45">
        <f>+'GVFund Rev'!U10+'GVFund Rev'!W10-'GVFund Exp'!AH10-'GVFund Exp'!AL10+AJ10+AN10+AP10-'GV Fund BS'!S10</f>
        <v>0</v>
      </c>
      <c r="AS10" s="68"/>
    </row>
    <row r="11" spans="1:46" s="46" customFormat="1" ht="12.75" customHeight="1" x14ac:dyDescent="0.2">
      <c r="A11" s="64" t="s">
        <v>14</v>
      </c>
      <c r="C11" s="64" t="s">
        <v>15</v>
      </c>
      <c r="E11" s="68">
        <v>2749939</v>
      </c>
      <c r="F11" s="68"/>
      <c r="G11" s="68">
        <v>8220965</v>
      </c>
      <c r="H11" s="68"/>
      <c r="I11" s="68">
        <v>1759825</v>
      </c>
      <c r="J11" s="68"/>
      <c r="K11" s="68">
        <v>956336</v>
      </c>
      <c r="L11" s="68"/>
      <c r="M11" s="68">
        <v>1106279</v>
      </c>
      <c r="N11" s="68"/>
      <c r="O11" s="68">
        <v>631225</v>
      </c>
      <c r="P11" s="68"/>
      <c r="Q11" s="68">
        <v>55238</v>
      </c>
      <c r="R11" s="68"/>
      <c r="S11" s="68">
        <v>2089454</v>
      </c>
      <c r="T11" s="68"/>
      <c r="U11" s="68">
        <v>0</v>
      </c>
      <c r="V11" s="68"/>
      <c r="W11" s="68"/>
      <c r="X11" s="64"/>
      <c r="Z11" s="64"/>
      <c r="AA11" s="64"/>
      <c r="AB11" s="68">
        <v>308740</v>
      </c>
      <c r="AC11" s="66"/>
      <c r="AD11" s="68">
        <v>73267</v>
      </c>
      <c r="AE11" s="66"/>
      <c r="AF11" s="46">
        <v>0</v>
      </c>
      <c r="AG11" s="66"/>
      <c r="AH11" s="68">
        <f t="shared" si="0"/>
        <v>17951268</v>
      </c>
      <c r="AI11" s="68"/>
      <c r="AJ11" s="68">
        <v>0</v>
      </c>
      <c r="AK11" s="68"/>
      <c r="AL11" s="94">
        <v>1593096</v>
      </c>
      <c r="AM11" s="45"/>
      <c r="AN11" s="45">
        <v>12018020</v>
      </c>
      <c r="AO11" s="45"/>
      <c r="AP11" s="45">
        <v>0</v>
      </c>
      <c r="AQ11" s="45"/>
      <c r="AR11" s="45">
        <f>+'GVFund Rev'!U11+'GVFund Rev'!W11-'GVFund Exp'!AH11-'GVFund Exp'!AL11+AJ11+AN11+AP11-'GV Fund BS'!S11</f>
        <v>0</v>
      </c>
      <c r="AS11" s="68"/>
    </row>
    <row r="12" spans="1:46" s="44" customFormat="1" ht="12.75" customHeight="1" x14ac:dyDescent="0.2">
      <c r="A12" s="35" t="s">
        <v>16</v>
      </c>
      <c r="C12" s="35" t="s">
        <v>17</v>
      </c>
      <c r="E12" s="45">
        <v>1064572</v>
      </c>
      <c r="F12" s="48"/>
      <c r="G12" s="45">
        <v>3337281</v>
      </c>
      <c r="H12" s="48"/>
      <c r="I12" s="45">
        <v>120958</v>
      </c>
      <c r="J12" s="48"/>
      <c r="K12" s="45">
        <v>169824</v>
      </c>
      <c r="L12" s="48"/>
      <c r="M12" s="45">
        <v>1117085</v>
      </c>
      <c r="N12" s="48"/>
      <c r="O12" s="45">
        <v>189708</v>
      </c>
      <c r="P12" s="48"/>
      <c r="Q12" s="45">
        <v>0</v>
      </c>
      <c r="R12" s="48"/>
      <c r="S12" s="45">
        <v>2367753</v>
      </c>
      <c r="T12" s="48"/>
      <c r="U12" s="45">
        <v>0</v>
      </c>
      <c r="V12" s="48"/>
      <c r="W12" s="48"/>
      <c r="X12" s="35"/>
      <c r="Z12" s="35"/>
      <c r="AA12" s="35"/>
      <c r="AB12" s="45">
        <v>315308</v>
      </c>
      <c r="AC12" s="65"/>
      <c r="AD12" s="45">
        <v>125913</v>
      </c>
      <c r="AE12" s="65"/>
      <c r="AF12" s="45">
        <v>0</v>
      </c>
      <c r="AG12" s="65"/>
      <c r="AH12" s="48">
        <f t="shared" ref="AH12:AH70" si="1">SUM(E12:AF12)</f>
        <v>8808402</v>
      </c>
      <c r="AI12" s="48"/>
      <c r="AJ12" s="48">
        <v>0</v>
      </c>
      <c r="AK12" s="48"/>
      <c r="AL12" s="45">
        <v>575711</v>
      </c>
      <c r="AM12" s="45"/>
      <c r="AN12" s="45">
        <v>10726659</v>
      </c>
      <c r="AO12" s="45"/>
      <c r="AP12" s="45">
        <v>0</v>
      </c>
      <c r="AQ12" s="45"/>
      <c r="AR12" s="45">
        <f>+'GVFund Rev'!U12+'GVFund Rev'!W12-'GVFund Exp'!AH12-'GVFund Exp'!AL12+AJ12+AN12+AP12-'GV Fund BS'!S12</f>
        <v>0</v>
      </c>
      <c r="AS12" s="48"/>
    </row>
    <row r="13" spans="1:46" s="44" customFormat="1" ht="12.75" customHeight="1" x14ac:dyDescent="0.2">
      <c r="A13" s="35" t="s">
        <v>18</v>
      </c>
      <c r="C13" s="35" t="s">
        <v>18</v>
      </c>
      <c r="E13" s="45">
        <v>5119520</v>
      </c>
      <c r="F13" s="48"/>
      <c r="G13" s="45">
        <v>6510302</v>
      </c>
      <c r="H13" s="48"/>
      <c r="I13" s="45">
        <v>445004</v>
      </c>
      <c r="J13" s="48"/>
      <c r="K13" s="45">
        <v>315944</v>
      </c>
      <c r="L13" s="48"/>
      <c r="M13" s="45">
        <v>1957277</v>
      </c>
      <c r="N13" s="48"/>
      <c r="O13" s="45">
        <v>1056252</v>
      </c>
      <c r="P13" s="48"/>
      <c r="Q13" s="45">
        <v>0</v>
      </c>
      <c r="R13" s="48"/>
      <c r="S13" s="45">
        <v>1561427</v>
      </c>
      <c r="T13" s="48"/>
      <c r="U13" s="45">
        <v>0</v>
      </c>
      <c r="V13" s="48"/>
      <c r="W13" s="48"/>
      <c r="X13" s="35"/>
      <c r="Z13" s="35"/>
      <c r="AA13" s="35"/>
      <c r="AB13" s="45">
        <v>424089</v>
      </c>
      <c r="AC13" s="65"/>
      <c r="AD13" s="45">
        <v>126813</v>
      </c>
      <c r="AE13" s="65"/>
      <c r="AF13" s="45">
        <v>0</v>
      </c>
      <c r="AG13" s="65"/>
      <c r="AH13" s="48">
        <f t="shared" si="1"/>
        <v>17516628</v>
      </c>
      <c r="AI13" s="48"/>
      <c r="AJ13" s="48">
        <v>0</v>
      </c>
      <c r="AK13" s="48"/>
      <c r="AL13" s="45">
        <v>909019</v>
      </c>
      <c r="AM13" s="45"/>
      <c r="AN13" s="45">
        <v>6087920</v>
      </c>
      <c r="AO13" s="45"/>
      <c r="AP13" s="45">
        <v>0</v>
      </c>
      <c r="AQ13" s="45"/>
      <c r="AR13" s="45">
        <f>+'GVFund Rev'!U13+'GVFund Rev'!W13-'GVFund Exp'!AH13-'GVFund Exp'!AL13+AJ13+AN13+AP13-'GV Fund BS'!S13</f>
        <v>0</v>
      </c>
      <c r="AS13" s="48"/>
    </row>
    <row r="14" spans="1:46" s="121" customFormat="1" ht="12.75" hidden="1" customHeight="1" x14ac:dyDescent="0.2">
      <c r="A14" s="126" t="s">
        <v>19</v>
      </c>
      <c r="C14" s="126" t="s">
        <v>19</v>
      </c>
      <c r="E14" s="127">
        <f>2539561+1111726</f>
        <v>3651287</v>
      </c>
      <c r="F14" s="130"/>
      <c r="G14" s="127">
        <f>3357299+2737548</f>
        <v>6094847</v>
      </c>
      <c r="H14" s="130"/>
      <c r="I14" s="127">
        <v>1002686</v>
      </c>
      <c r="J14" s="130"/>
      <c r="K14" s="127">
        <v>312972</v>
      </c>
      <c r="L14" s="130"/>
      <c r="M14" s="127">
        <v>1034253</v>
      </c>
      <c r="N14" s="130"/>
      <c r="O14" s="127">
        <v>24655</v>
      </c>
      <c r="P14" s="130"/>
      <c r="Q14" s="127">
        <v>21122</v>
      </c>
      <c r="R14" s="130"/>
      <c r="S14" s="127">
        <v>2474089</v>
      </c>
      <c r="T14" s="130"/>
      <c r="U14" s="127">
        <v>0</v>
      </c>
      <c r="V14" s="130"/>
      <c r="W14" s="130"/>
      <c r="X14" s="126"/>
      <c r="Z14" s="126"/>
      <c r="AA14" s="126"/>
      <c r="AB14" s="127">
        <v>165525</v>
      </c>
      <c r="AC14" s="125"/>
      <c r="AD14" s="127">
        <v>13263</v>
      </c>
      <c r="AE14" s="125"/>
      <c r="AF14" s="127">
        <v>0</v>
      </c>
      <c r="AG14" s="125"/>
      <c r="AH14" s="130">
        <f t="shared" si="1"/>
        <v>14794699</v>
      </c>
      <c r="AI14" s="130"/>
      <c r="AJ14" s="130">
        <v>0</v>
      </c>
      <c r="AK14" s="130"/>
      <c r="AL14" s="127">
        <v>487400</v>
      </c>
      <c r="AM14" s="127"/>
      <c r="AN14" s="127">
        <v>1656971</v>
      </c>
      <c r="AO14" s="127"/>
      <c r="AP14" s="127">
        <v>0</v>
      </c>
      <c r="AQ14" s="127"/>
      <c r="AR14" s="127">
        <f>+'GVFund Rev'!U14+'GVFund Rev'!W14-'GVFund Exp'!AH14-'GVFund Exp'!AL14+AJ14+AN14+AP14-'GV Fund BS'!S14</f>
        <v>0</v>
      </c>
      <c r="AS14" s="121" t="s">
        <v>502</v>
      </c>
    </row>
    <row r="15" spans="1:46" s="44" customFormat="1" ht="12.75" customHeight="1" x14ac:dyDescent="0.2">
      <c r="A15" s="35" t="s">
        <v>20</v>
      </c>
      <c r="C15" s="35" t="s">
        <v>20</v>
      </c>
      <c r="E15" s="45">
        <v>4866070</v>
      </c>
      <c r="F15" s="48"/>
      <c r="G15" s="45">
        <f>3476750+2802668</f>
        <v>6279418</v>
      </c>
      <c r="H15" s="48"/>
      <c r="I15" s="45">
        <v>752990</v>
      </c>
      <c r="J15" s="48"/>
      <c r="K15" s="45">
        <v>0</v>
      </c>
      <c r="L15" s="48"/>
      <c r="M15" s="45">
        <v>4346849</v>
      </c>
      <c r="N15" s="48"/>
      <c r="O15" s="45">
        <v>2119850</v>
      </c>
      <c r="P15" s="48"/>
      <c r="Q15" s="45">
        <v>0</v>
      </c>
      <c r="R15" s="48"/>
      <c r="S15" s="45">
        <v>3117732</v>
      </c>
      <c r="T15" s="48"/>
      <c r="U15" s="45">
        <v>0</v>
      </c>
      <c r="V15" s="48"/>
      <c r="W15" s="48"/>
      <c r="X15" s="35"/>
      <c r="Z15" s="35"/>
      <c r="AA15" s="35"/>
      <c r="AB15" s="45">
        <v>410000</v>
      </c>
      <c r="AC15" s="65"/>
      <c r="AD15" s="45">
        <v>81992</v>
      </c>
      <c r="AE15" s="65"/>
      <c r="AF15" s="45">
        <v>0</v>
      </c>
      <c r="AG15" s="65"/>
      <c r="AH15" s="48">
        <f t="shared" si="1"/>
        <v>21974901</v>
      </c>
      <c r="AI15" s="48"/>
      <c r="AJ15" s="48">
        <v>0</v>
      </c>
      <c r="AK15" s="48"/>
      <c r="AL15" s="45">
        <v>204000</v>
      </c>
      <c r="AM15" s="45"/>
      <c r="AN15" s="45">
        <v>6390963</v>
      </c>
      <c r="AO15" s="45"/>
      <c r="AP15" s="45">
        <v>0</v>
      </c>
      <c r="AQ15" s="45"/>
      <c r="AR15" s="45">
        <f>+'GVFund Rev'!U15+'GVFund Rev'!W15-'GVFund Exp'!AH15-'GVFund Exp'!AL15+AJ15+AN15+AP15-'GV Fund BS'!S15</f>
        <v>0</v>
      </c>
      <c r="AS15" s="48"/>
    </row>
    <row r="16" spans="1:46" s="44" customFormat="1" ht="12.75" customHeight="1" x14ac:dyDescent="0.2">
      <c r="A16" s="64" t="s">
        <v>21</v>
      </c>
      <c r="B16" s="46"/>
      <c r="C16" s="64" t="s">
        <v>22</v>
      </c>
      <c r="D16" s="46"/>
      <c r="E16" s="45">
        <v>2117945</v>
      </c>
      <c r="F16" s="48"/>
      <c r="G16" s="45">
        <v>6967912</v>
      </c>
      <c r="H16" s="48"/>
      <c r="I16" s="45">
        <v>818152</v>
      </c>
      <c r="J16" s="48"/>
      <c r="K16" s="45">
        <v>0</v>
      </c>
      <c r="L16" s="48"/>
      <c r="M16" s="45">
        <v>2779035</v>
      </c>
      <c r="N16" s="48"/>
      <c r="O16" s="45">
        <v>1290959</v>
      </c>
      <c r="P16" s="48"/>
      <c r="Q16" s="45">
        <v>1012</v>
      </c>
      <c r="R16" s="48"/>
      <c r="S16" s="45">
        <v>3755777</v>
      </c>
      <c r="T16" s="48"/>
      <c r="U16" s="45">
        <v>0</v>
      </c>
      <c r="V16" s="48"/>
      <c r="W16" s="48"/>
      <c r="X16" s="35"/>
      <c r="Z16" s="35"/>
      <c r="AA16" s="35"/>
      <c r="AB16" s="45">
        <v>723747</v>
      </c>
      <c r="AC16" s="65"/>
      <c r="AD16" s="45">
        <v>433469</v>
      </c>
      <c r="AE16" s="65"/>
      <c r="AF16" s="45">
        <v>0</v>
      </c>
      <c r="AG16" s="65"/>
      <c r="AH16" s="48">
        <f t="shared" si="1"/>
        <v>18888008</v>
      </c>
      <c r="AI16" s="48"/>
      <c r="AJ16" s="48">
        <v>0</v>
      </c>
      <c r="AK16" s="48"/>
      <c r="AL16" s="45">
        <v>2380281</v>
      </c>
      <c r="AM16" s="45"/>
      <c r="AN16" s="45">
        <v>14070677</v>
      </c>
      <c r="AO16" s="45"/>
      <c r="AP16" s="45">
        <v>0</v>
      </c>
      <c r="AQ16" s="45"/>
      <c r="AR16" s="45">
        <f>+'GVFund Rev'!U16+'GVFund Rev'!W16-'GVFund Exp'!AH16-'GVFund Exp'!AL16+AJ16+AN16+AP16-'GV Fund BS'!S16</f>
        <v>0</v>
      </c>
      <c r="AS16" s="48"/>
    </row>
    <row r="17" spans="1:45" s="44" customFormat="1" ht="12.75" customHeight="1" x14ac:dyDescent="0.2">
      <c r="A17" s="35" t="s">
        <v>23</v>
      </c>
      <c r="C17" s="35" t="s">
        <v>17</v>
      </c>
      <c r="E17" s="45">
        <v>3644554</v>
      </c>
      <c r="F17" s="48"/>
      <c r="G17" s="45">
        <v>8403805</v>
      </c>
      <c r="H17" s="48"/>
      <c r="I17" s="45">
        <v>1268823</v>
      </c>
      <c r="J17" s="48"/>
      <c r="K17" s="45">
        <v>0</v>
      </c>
      <c r="L17" s="48"/>
      <c r="M17" s="45">
        <v>2474040</v>
      </c>
      <c r="N17" s="48"/>
      <c r="O17" s="45">
        <v>1350087</v>
      </c>
      <c r="P17" s="48"/>
      <c r="Q17" s="45">
        <v>46497</v>
      </c>
      <c r="R17" s="48"/>
      <c r="S17" s="45">
        <v>3816253</v>
      </c>
      <c r="T17" s="48"/>
      <c r="U17" s="45">
        <v>0</v>
      </c>
      <c r="V17" s="48"/>
      <c r="W17" s="48"/>
      <c r="X17" s="35"/>
      <c r="Z17" s="35"/>
      <c r="AA17" s="35"/>
      <c r="AB17" s="45">
        <v>7530941</v>
      </c>
      <c r="AC17" s="65"/>
      <c r="AD17" s="45">
        <v>2363849</v>
      </c>
      <c r="AE17" s="65"/>
      <c r="AF17" s="45">
        <v>178073</v>
      </c>
      <c r="AG17" s="65"/>
      <c r="AH17" s="48">
        <f t="shared" si="1"/>
        <v>31076922</v>
      </c>
      <c r="AI17" s="48"/>
      <c r="AJ17" s="48">
        <v>0</v>
      </c>
      <c r="AK17" s="48"/>
      <c r="AL17" s="45">
        <f>2613042+9670948+9944692</f>
        <v>22228682</v>
      </c>
      <c r="AM17" s="45"/>
      <c r="AN17" s="45">
        <v>7543978</v>
      </c>
      <c r="AO17" s="45"/>
      <c r="AP17" s="45">
        <v>0</v>
      </c>
      <c r="AQ17" s="45"/>
      <c r="AR17" s="45">
        <f>+'GVFund Rev'!U17+'GVFund Rev'!W17-'GVFund Exp'!AH17-'GVFund Exp'!AL17+AJ17+AN17+AP17-'GV Fund BS'!S17</f>
        <v>0</v>
      </c>
      <c r="AS17" s="48"/>
    </row>
    <row r="18" spans="1:45" s="44" customFormat="1" ht="12.75" customHeight="1" x14ac:dyDescent="0.2">
      <c r="A18" s="35" t="s">
        <v>24</v>
      </c>
      <c r="C18" s="35" t="s">
        <v>17</v>
      </c>
      <c r="E18" s="45">
        <v>2720378</v>
      </c>
      <c r="F18" s="48"/>
      <c r="G18" s="45">
        <v>8309778</v>
      </c>
      <c r="H18" s="48"/>
      <c r="I18" s="45">
        <v>396484</v>
      </c>
      <c r="J18" s="48"/>
      <c r="K18" s="45">
        <v>153410</v>
      </c>
      <c r="L18" s="48"/>
      <c r="M18" s="45">
        <v>6031554</v>
      </c>
      <c r="N18" s="48"/>
      <c r="O18" s="45">
        <v>919497</v>
      </c>
      <c r="P18" s="48"/>
      <c r="Q18" s="45">
        <v>667103</v>
      </c>
      <c r="R18" s="48"/>
      <c r="S18" s="45">
        <v>1795595</v>
      </c>
      <c r="T18" s="48"/>
      <c r="U18" s="45">
        <v>0</v>
      </c>
      <c r="V18" s="48"/>
      <c r="W18" s="48"/>
      <c r="X18" s="35"/>
      <c r="Z18" s="35"/>
      <c r="AA18" s="35"/>
      <c r="AB18" s="45">
        <v>1062842</v>
      </c>
      <c r="AC18" s="65"/>
      <c r="AD18" s="45">
        <v>481950</v>
      </c>
      <c r="AE18" s="65"/>
      <c r="AF18" s="45">
        <v>0</v>
      </c>
      <c r="AG18" s="65"/>
      <c r="AH18" s="48">
        <f t="shared" ref="AH18" si="2">SUM(E18:AF18)</f>
        <v>22538591</v>
      </c>
      <c r="AI18" s="48"/>
      <c r="AJ18" s="48">
        <v>0</v>
      </c>
      <c r="AK18" s="48"/>
      <c r="AL18" s="45">
        <v>2287380</v>
      </c>
      <c r="AM18" s="45"/>
      <c r="AN18" s="45">
        <v>11801285</v>
      </c>
      <c r="AO18" s="45"/>
      <c r="AP18" s="45">
        <v>0</v>
      </c>
      <c r="AQ18" s="45"/>
      <c r="AR18" s="45">
        <f>+'GVFund Rev'!U18+'GVFund Rev'!W18-'GVFund Exp'!AH18-'GVFund Exp'!AL18+AJ18+AN18+AP18-'GV Fund BS'!S18</f>
        <v>0</v>
      </c>
      <c r="AS18" s="48"/>
    </row>
    <row r="19" spans="1:45" s="44" customFormat="1" ht="12.75" customHeight="1" x14ac:dyDescent="0.2">
      <c r="A19" s="35" t="s">
        <v>25</v>
      </c>
      <c r="C19" s="35" t="s">
        <v>13</v>
      </c>
      <c r="E19" s="45">
        <v>4345238</v>
      </c>
      <c r="F19" s="48"/>
      <c r="G19" s="45">
        <v>9773245</v>
      </c>
      <c r="H19" s="48"/>
      <c r="I19" s="45">
        <v>2676716</v>
      </c>
      <c r="J19" s="48"/>
      <c r="K19" s="45">
        <v>9531</v>
      </c>
      <c r="L19" s="48"/>
      <c r="M19" s="45">
        <v>1398722</v>
      </c>
      <c r="N19" s="48"/>
      <c r="O19" s="45">
        <v>1066909</v>
      </c>
      <c r="P19" s="48"/>
      <c r="Q19" s="45">
        <v>0</v>
      </c>
      <c r="R19" s="48"/>
      <c r="S19" s="45">
        <v>1556168</v>
      </c>
      <c r="T19" s="48"/>
      <c r="U19" s="45">
        <v>0</v>
      </c>
      <c r="V19" s="48"/>
      <c r="W19" s="48"/>
      <c r="X19" s="35"/>
      <c r="Z19" s="35"/>
      <c r="AA19" s="35"/>
      <c r="AB19" s="45">
        <v>1120994</v>
      </c>
      <c r="AC19" s="65"/>
      <c r="AD19" s="45">
        <v>224929</v>
      </c>
      <c r="AE19" s="65"/>
      <c r="AF19" s="45">
        <v>0</v>
      </c>
      <c r="AG19" s="65"/>
      <c r="AH19" s="48">
        <f t="shared" si="1"/>
        <v>22172452</v>
      </c>
      <c r="AI19" s="48"/>
      <c r="AJ19" s="48">
        <v>0</v>
      </c>
      <c r="AK19" s="48"/>
      <c r="AL19" s="45">
        <v>1434900</v>
      </c>
      <c r="AM19" s="45"/>
      <c r="AN19" s="45">
        <v>6801825</v>
      </c>
      <c r="AO19" s="45"/>
      <c r="AP19" s="45">
        <v>0</v>
      </c>
      <c r="AQ19" s="45"/>
      <c r="AR19" s="45">
        <f>+'GVFund Rev'!U19+'GVFund Rev'!W19-'GVFund Exp'!AH19-'GVFund Exp'!AL19+AJ19+AN19+AP19-'GV Fund BS'!S19</f>
        <v>0</v>
      </c>
      <c r="AS19" s="48"/>
    </row>
    <row r="20" spans="1:45" s="44" customFormat="1" ht="12.75" customHeight="1" x14ac:dyDescent="0.2">
      <c r="A20" s="35" t="s">
        <v>26</v>
      </c>
      <c r="C20" s="35" t="s">
        <v>27</v>
      </c>
      <c r="E20" s="45">
        <v>2872829</v>
      </c>
      <c r="F20" s="48"/>
      <c r="G20" s="45">
        <v>6861688</v>
      </c>
      <c r="H20" s="48"/>
      <c r="I20" s="45">
        <v>685722</v>
      </c>
      <c r="J20" s="48"/>
      <c r="K20" s="45">
        <v>288247</v>
      </c>
      <c r="L20" s="48"/>
      <c r="M20" s="45">
        <v>1268684</v>
      </c>
      <c r="N20" s="48"/>
      <c r="O20" s="45">
        <v>876317</v>
      </c>
      <c r="P20" s="48"/>
      <c r="Q20" s="45">
        <v>1834658</v>
      </c>
      <c r="R20" s="48"/>
      <c r="S20" s="45">
        <v>1915774</v>
      </c>
      <c r="T20" s="48"/>
      <c r="U20" s="45">
        <v>0</v>
      </c>
      <c r="V20" s="48"/>
      <c r="W20" s="48"/>
      <c r="X20" s="35"/>
      <c r="Z20" s="35"/>
      <c r="AA20" s="35"/>
      <c r="AB20" s="45">
        <v>1235000</v>
      </c>
      <c r="AC20" s="65"/>
      <c r="AD20" s="45">
        <v>423935</v>
      </c>
      <c r="AE20" s="65"/>
      <c r="AF20" s="45">
        <v>31500</v>
      </c>
      <c r="AG20" s="65"/>
      <c r="AH20" s="48">
        <f t="shared" si="1"/>
        <v>18294354</v>
      </c>
      <c r="AI20" s="48"/>
      <c r="AJ20" s="48">
        <v>0</v>
      </c>
      <c r="AK20" s="48"/>
      <c r="AL20" s="45">
        <f>2741067</f>
        <v>2741067</v>
      </c>
      <c r="AM20" s="45"/>
      <c r="AN20" s="45">
        <v>11334628</v>
      </c>
      <c r="AO20" s="45"/>
      <c r="AP20" s="45">
        <v>0</v>
      </c>
      <c r="AQ20" s="45"/>
      <c r="AR20" s="45">
        <f>+'GVFund Rev'!U20+'GVFund Rev'!W20-'GVFund Exp'!AH20-'GVFund Exp'!AL20+AJ20+AN20+AP20-'GV Fund BS'!S20</f>
        <v>0</v>
      </c>
      <c r="AS20" s="48"/>
    </row>
    <row r="21" spans="1:45" s="44" customFormat="1" ht="12.75" customHeight="1" x14ac:dyDescent="0.2">
      <c r="A21" s="35" t="s">
        <v>28</v>
      </c>
      <c r="C21" s="35" t="s">
        <v>27</v>
      </c>
      <c r="E21" s="45">
        <v>3989615</v>
      </c>
      <c r="F21" s="48"/>
      <c r="G21" s="45">
        <f>7774404+6671619</f>
        <v>14446023</v>
      </c>
      <c r="H21" s="48"/>
      <c r="I21" s="45">
        <v>965898</v>
      </c>
      <c r="J21" s="48"/>
      <c r="K21" s="45">
        <v>560421</v>
      </c>
      <c r="L21" s="48"/>
      <c r="M21" s="45">
        <v>8598504</v>
      </c>
      <c r="N21" s="48"/>
      <c r="O21" s="45">
        <v>2203271</v>
      </c>
      <c r="P21" s="48"/>
      <c r="Q21" s="45">
        <v>0</v>
      </c>
      <c r="R21" s="48"/>
      <c r="S21" s="45">
        <v>5678719</v>
      </c>
      <c r="T21" s="48"/>
      <c r="U21" s="45">
        <v>0</v>
      </c>
      <c r="V21" s="48"/>
      <c r="W21" s="48"/>
      <c r="X21" s="35"/>
      <c r="Z21" s="35"/>
      <c r="AA21" s="35"/>
      <c r="AB21" s="45">
        <v>1565000</v>
      </c>
      <c r="AC21" s="65"/>
      <c r="AD21" s="45">
        <v>787909</v>
      </c>
      <c r="AE21" s="65"/>
      <c r="AF21" s="45">
        <v>0</v>
      </c>
      <c r="AG21" s="65"/>
      <c r="AH21" s="48">
        <f t="shared" si="1"/>
        <v>38795360</v>
      </c>
      <c r="AI21" s="48"/>
      <c r="AJ21" s="48">
        <v>0</v>
      </c>
      <c r="AK21" s="48"/>
      <c r="AL21" s="45">
        <v>1841363</v>
      </c>
      <c r="AM21" s="45"/>
      <c r="AN21" s="45">
        <v>27635156</v>
      </c>
      <c r="AO21" s="45"/>
      <c r="AP21" s="45">
        <v>0</v>
      </c>
      <c r="AQ21" s="45"/>
      <c r="AR21" s="45">
        <f>+'GVFund Rev'!U21+'GVFund Rev'!W21-'GVFund Exp'!AH21-'GVFund Exp'!AL21+AJ21+AN21+AP21-'GV Fund BS'!S21</f>
        <v>0</v>
      </c>
      <c r="AS21" s="48"/>
    </row>
    <row r="22" spans="1:45" s="44" customFormat="1" ht="12.75" customHeight="1" x14ac:dyDescent="0.2">
      <c r="A22" s="35" t="s">
        <v>29</v>
      </c>
      <c r="C22" s="35" t="s">
        <v>30</v>
      </c>
      <c r="E22" s="45">
        <v>2509465</v>
      </c>
      <c r="F22" s="48"/>
      <c r="G22" s="45">
        <v>7609748</v>
      </c>
      <c r="H22" s="48"/>
      <c r="I22" s="45">
        <v>619612</v>
      </c>
      <c r="J22" s="48"/>
      <c r="K22" s="45">
        <v>148089</v>
      </c>
      <c r="L22" s="48"/>
      <c r="M22" s="45">
        <v>5459888</v>
      </c>
      <c r="N22" s="48"/>
      <c r="O22" s="45">
        <v>1597211</v>
      </c>
      <c r="P22" s="48"/>
      <c r="Q22" s="45">
        <v>78663</v>
      </c>
      <c r="R22" s="48"/>
      <c r="S22" s="45">
        <v>4599385</v>
      </c>
      <c r="T22" s="48"/>
      <c r="U22" s="45">
        <v>0</v>
      </c>
      <c r="V22" s="48"/>
      <c r="W22" s="48"/>
      <c r="X22" s="35"/>
      <c r="Z22" s="35"/>
      <c r="AA22" s="35"/>
      <c r="AB22" s="45">
        <v>792882</v>
      </c>
      <c r="AC22" s="65"/>
      <c r="AD22" s="45">
        <v>536304</v>
      </c>
      <c r="AE22" s="65"/>
      <c r="AF22" s="45">
        <f>103290+475000</f>
        <v>578290</v>
      </c>
      <c r="AG22" s="65"/>
      <c r="AH22" s="48">
        <f t="shared" si="1"/>
        <v>24529537</v>
      </c>
      <c r="AI22" s="48"/>
      <c r="AJ22" s="48">
        <v>0</v>
      </c>
      <c r="AK22" s="48"/>
      <c r="AL22" s="45">
        <f>3869730+1125292</f>
        <v>4995022</v>
      </c>
      <c r="AM22" s="45"/>
      <c r="AN22" s="45">
        <v>9203237</v>
      </c>
      <c r="AO22" s="45"/>
      <c r="AP22" s="45">
        <v>0</v>
      </c>
      <c r="AQ22" s="45"/>
      <c r="AR22" s="45">
        <f>+'GVFund Rev'!U22+'GVFund Rev'!W22-'GVFund Exp'!AH22-'GVFund Exp'!AL22+AJ22+AN22+AP22-'GV Fund BS'!S22</f>
        <v>0</v>
      </c>
      <c r="AS22" s="48"/>
    </row>
    <row r="23" spans="1:45" s="44" customFormat="1" ht="12.75" customHeight="1" x14ac:dyDescent="0.2">
      <c r="A23" s="35" t="s">
        <v>31</v>
      </c>
      <c r="C23" s="35" t="s">
        <v>27</v>
      </c>
      <c r="E23" s="45">
        <v>4638074</v>
      </c>
      <c r="F23" s="48"/>
      <c r="G23" s="45">
        <f>5303242+3643979</f>
        <v>8947221</v>
      </c>
      <c r="H23" s="48"/>
      <c r="I23" s="45">
        <v>859349</v>
      </c>
      <c r="J23" s="48"/>
      <c r="K23" s="45">
        <v>193914</v>
      </c>
      <c r="L23" s="48"/>
      <c r="M23" s="45">
        <v>2390859</v>
      </c>
      <c r="N23" s="48"/>
      <c r="O23" s="45">
        <v>1316961</v>
      </c>
      <c r="P23" s="48"/>
      <c r="Q23" s="45">
        <v>1010797</v>
      </c>
      <c r="R23" s="48"/>
      <c r="S23" s="45">
        <v>1230803</v>
      </c>
      <c r="T23" s="48"/>
      <c r="U23" s="45">
        <v>0</v>
      </c>
      <c r="V23" s="48"/>
      <c r="W23" s="48"/>
      <c r="X23" s="35"/>
      <c r="Z23" s="35"/>
      <c r="AA23" s="35"/>
      <c r="AB23" s="45">
        <v>722062</v>
      </c>
      <c r="AC23" s="65"/>
      <c r="AD23" s="45">
        <v>526162</v>
      </c>
      <c r="AE23" s="65"/>
      <c r="AF23" s="45">
        <v>0</v>
      </c>
      <c r="AG23" s="65"/>
      <c r="AH23" s="48">
        <f t="shared" si="1"/>
        <v>21836202</v>
      </c>
      <c r="AI23" s="48"/>
      <c r="AJ23" s="48">
        <v>0</v>
      </c>
      <c r="AK23" s="48"/>
      <c r="AL23" s="45">
        <v>4018869</v>
      </c>
      <c r="AM23" s="45"/>
      <c r="AN23" s="45">
        <v>13772984</v>
      </c>
      <c r="AO23" s="45"/>
      <c r="AP23" s="45">
        <v>0</v>
      </c>
      <c r="AQ23" s="45"/>
      <c r="AR23" s="45">
        <f>+'GVFund Rev'!U23+'GVFund Rev'!W23-'GVFund Exp'!AH23-'GVFund Exp'!AL23+AJ23+AN23+AP23-'GV Fund BS'!S23</f>
        <v>0</v>
      </c>
      <c r="AS23" s="48"/>
    </row>
    <row r="24" spans="1:45" s="44" customFormat="1" ht="12.75" customHeight="1" x14ac:dyDescent="0.2">
      <c r="A24" s="35" t="s">
        <v>32</v>
      </c>
      <c r="C24" s="35" t="s">
        <v>27</v>
      </c>
      <c r="E24" s="45">
        <v>3515704</v>
      </c>
      <c r="F24" s="48"/>
      <c r="G24" s="45">
        <v>10247767</v>
      </c>
      <c r="H24" s="48"/>
      <c r="I24" s="45">
        <v>429858</v>
      </c>
      <c r="J24" s="48"/>
      <c r="K24" s="45">
        <v>373784</v>
      </c>
      <c r="L24" s="48"/>
      <c r="M24" s="45">
        <v>2132495</v>
      </c>
      <c r="N24" s="48"/>
      <c r="O24" s="45">
        <v>1355570</v>
      </c>
      <c r="P24" s="48"/>
      <c r="Q24" s="45">
        <v>647880</v>
      </c>
      <c r="R24" s="48"/>
      <c r="S24" s="45">
        <v>10349</v>
      </c>
      <c r="T24" s="48"/>
      <c r="U24" s="45">
        <v>0</v>
      </c>
      <c r="V24" s="48"/>
      <c r="W24" s="48"/>
      <c r="X24" s="35"/>
      <c r="Z24" s="35"/>
      <c r="AA24" s="35"/>
      <c r="AB24" s="45">
        <v>792502</v>
      </c>
      <c r="AC24" s="65"/>
      <c r="AD24" s="45">
        <v>155519</v>
      </c>
      <c r="AE24" s="65"/>
      <c r="AF24" s="45">
        <v>0</v>
      </c>
      <c r="AG24" s="65"/>
      <c r="AH24" s="48">
        <f t="shared" si="1"/>
        <v>19661428</v>
      </c>
      <c r="AI24" s="48"/>
      <c r="AJ24" s="48">
        <v>0</v>
      </c>
      <c r="AK24" s="48"/>
      <c r="AL24" s="45">
        <v>4326657</v>
      </c>
      <c r="AM24" s="45"/>
      <c r="AN24" s="45">
        <v>3988165</v>
      </c>
      <c r="AO24" s="45"/>
      <c r="AP24" s="45">
        <v>0</v>
      </c>
      <c r="AQ24" s="45"/>
      <c r="AR24" s="45">
        <f>+'GVFund Rev'!U24+'GVFund Rev'!W24-'GVFund Exp'!AH24-'GVFund Exp'!AL24+AJ24+AN24+AP24-'GV Fund BS'!S24</f>
        <v>0</v>
      </c>
      <c r="AS24" s="48"/>
    </row>
    <row r="25" spans="1:45" s="44" customFormat="1" ht="12.75" customHeight="1" x14ac:dyDescent="0.2">
      <c r="A25" s="35" t="s">
        <v>34</v>
      </c>
      <c r="C25" s="35" t="s">
        <v>30</v>
      </c>
      <c r="E25" s="45">
        <v>401389</v>
      </c>
      <c r="F25" s="48"/>
      <c r="G25" s="45">
        <v>2643186</v>
      </c>
      <c r="H25" s="48"/>
      <c r="I25" s="45">
        <v>85808</v>
      </c>
      <c r="J25" s="48"/>
      <c r="K25" s="45">
        <v>0</v>
      </c>
      <c r="L25" s="48"/>
      <c r="M25" s="45">
        <v>405433</v>
      </c>
      <c r="N25" s="48"/>
      <c r="O25" s="45">
        <v>14789</v>
      </c>
      <c r="P25" s="48"/>
      <c r="Q25" s="45">
        <v>0</v>
      </c>
      <c r="R25" s="48"/>
      <c r="S25" s="45">
        <v>527874</v>
      </c>
      <c r="T25" s="48"/>
      <c r="U25" s="45">
        <v>0</v>
      </c>
      <c r="V25" s="48"/>
      <c r="W25" s="48"/>
      <c r="X25" s="35"/>
      <c r="Z25" s="35"/>
      <c r="AA25" s="35"/>
      <c r="AB25" s="45">
        <v>0</v>
      </c>
      <c r="AC25" s="65"/>
      <c r="AD25" s="45">
        <v>0</v>
      </c>
      <c r="AE25" s="65"/>
      <c r="AF25" s="45">
        <v>0</v>
      </c>
      <c r="AG25" s="65"/>
      <c r="AH25" s="48">
        <f t="shared" si="1"/>
        <v>4078479</v>
      </c>
      <c r="AI25" s="48"/>
      <c r="AJ25" s="48">
        <v>0</v>
      </c>
      <c r="AK25" s="48"/>
      <c r="AL25" s="45">
        <v>450000</v>
      </c>
      <c r="AM25" s="45"/>
      <c r="AN25" s="45">
        <v>3079356</v>
      </c>
      <c r="AO25" s="45"/>
      <c r="AP25" s="45">
        <v>0</v>
      </c>
      <c r="AQ25" s="45"/>
      <c r="AR25" s="45">
        <f>+'GVFund Rev'!U25+'GVFund Rev'!W25-'GVFund Exp'!AH25-'GVFund Exp'!AL25+AJ25+AN25+AP25-'GV Fund BS'!S25</f>
        <v>0</v>
      </c>
      <c r="AS25" s="48"/>
    </row>
    <row r="26" spans="1:45" s="44" customFormat="1" ht="12.75" customHeight="1" x14ac:dyDescent="0.2">
      <c r="A26" s="35" t="s">
        <v>35</v>
      </c>
      <c r="C26" s="35" t="s">
        <v>36</v>
      </c>
      <c r="E26" s="45">
        <f>1430925+685399</f>
        <v>2116324</v>
      </c>
      <c r="F26" s="48"/>
      <c r="G26" s="45">
        <v>3989401</v>
      </c>
      <c r="H26" s="48"/>
      <c r="I26" s="45">
        <v>719075</v>
      </c>
      <c r="J26" s="48"/>
      <c r="K26" s="45">
        <v>223212</v>
      </c>
      <c r="L26" s="48"/>
      <c r="M26" s="45">
        <v>939409</v>
      </c>
      <c r="N26" s="48"/>
      <c r="O26" s="45">
        <v>537176</v>
      </c>
      <c r="P26" s="48"/>
      <c r="Q26" s="45">
        <v>147241</v>
      </c>
      <c r="R26" s="48"/>
      <c r="S26" s="45">
        <v>660785</v>
      </c>
      <c r="T26" s="48"/>
      <c r="U26" s="45">
        <v>0</v>
      </c>
      <c r="V26" s="48"/>
      <c r="W26" s="48"/>
      <c r="X26" s="35"/>
      <c r="Z26" s="35"/>
      <c r="AA26" s="35"/>
      <c r="AB26" s="45">
        <v>133803</v>
      </c>
      <c r="AC26" s="65"/>
      <c r="AD26" s="45">
        <v>39151</v>
      </c>
      <c r="AE26" s="65"/>
      <c r="AF26" s="45">
        <v>0</v>
      </c>
      <c r="AG26" s="65"/>
      <c r="AH26" s="48">
        <f t="shared" si="1"/>
        <v>9505577</v>
      </c>
      <c r="AI26" s="48"/>
      <c r="AJ26" s="48">
        <v>0</v>
      </c>
      <c r="AK26" s="48"/>
      <c r="AL26" s="45">
        <v>384103</v>
      </c>
      <c r="AM26" s="45"/>
      <c r="AN26" s="45">
        <v>6679629</v>
      </c>
      <c r="AO26" s="45"/>
      <c r="AP26" s="45">
        <v>0</v>
      </c>
      <c r="AQ26" s="45"/>
      <c r="AR26" s="45">
        <f>+'GVFund Rev'!U26+'GVFund Rev'!W26-'GVFund Exp'!AH26-'GVFund Exp'!AL26+AJ26+AN26+AP26-'GV Fund BS'!S26</f>
        <v>0</v>
      </c>
      <c r="AS26" s="48"/>
    </row>
    <row r="27" spans="1:45" s="44" customFormat="1" ht="12.75" customHeight="1" x14ac:dyDescent="0.2">
      <c r="A27" s="35" t="s">
        <v>37</v>
      </c>
      <c r="C27" s="35" t="s">
        <v>38</v>
      </c>
      <c r="E27" s="45">
        <f>1316119+293707</f>
        <v>1609826</v>
      </c>
      <c r="F27" s="48"/>
      <c r="G27" s="45">
        <v>2278932</v>
      </c>
      <c r="H27" s="48"/>
      <c r="I27" s="45">
        <v>141379</v>
      </c>
      <c r="J27" s="48"/>
      <c r="K27" s="45">
        <v>112892</v>
      </c>
      <c r="L27" s="48"/>
      <c r="M27" s="45">
        <v>477505</v>
      </c>
      <c r="N27" s="48"/>
      <c r="O27" s="45">
        <v>478196</v>
      </c>
      <c r="P27" s="48"/>
      <c r="Q27" s="45">
        <v>0</v>
      </c>
      <c r="R27" s="48"/>
      <c r="S27" s="45">
        <v>0</v>
      </c>
      <c r="T27" s="48"/>
      <c r="U27" s="45">
        <v>0</v>
      </c>
      <c r="V27" s="48"/>
      <c r="W27" s="48"/>
      <c r="X27" s="35"/>
      <c r="Z27" s="35"/>
      <c r="AA27" s="35"/>
      <c r="AB27" s="45">
        <v>125163</v>
      </c>
      <c r="AC27" s="65"/>
      <c r="AD27" s="45">
        <v>73302</v>
      </c>
      <c r="AE27" s="65"/>
      <c r="AF27" s="45">
        <v>0</v>
      </c>
      <c r="AG27" s="65"/>
      <c r="AH27" s="48">
        <f t="shared" si="1"/>
        <v>5297195</v>
      </c>
      <c r="AI27" s="48"/>
      <c r="AJ27" s="48">
        <v>0</v>
      </c>
      <c r="AK27" s="48"/>
      <c r="AL27" s="45">
        <v>717095</v>
      </c>
      <c r="AM27" s="45"/>
      <c r="AN27" s="45">
        <v>4414578</v>
      </c>
      <c r="AO27" s="45"/>
      <c r="AP27" s="45">
        <v>4116</v>
      </c>
      <c r="AQ27" s="45"/>
      <c r="AR27" s="45">
        <f>+'GVFund Rev'!U27+'GVFund Rev'!W27-'GVFund Exp'!AH27-'GVFund Exp'!AL27+AJ27+AN27+AP27-'GV Fund BS'!S27</f>
        <v>0</v>
      </c>
      <c r="AS27" s="48"/>
    </row>
    <row r="28" spans="1:45" s="44" customFormat="1" ht="12.75" customHeight="1" x14ac:dyDescent="0.2">
      <c r="A28" s="35" t="s">
        <v>39</v>
      </c>
      <c r="C28" s="35" t="s">
        <v>40</v>
      </c>
      <c r="E28" s="45">
        <v>608876</v>
      </c>
      <c r="F28" s="48"/>
      <c r="G28" s="45">
        <f>1043245+170827</f>
        <v>1214072</v>
      </c>
      <c r="H28" s="48"/>
      <c r="I28" s="45">
        <v>249937</v>
      </c>
      <c r="J28" s="48"/>
      <c r="K28" s="45">
        <v>481152</v>
      </c>
      <c r="L28" s="48"/>
      <c r="M28" s="45">
        <v>597164</v>
      </c>
      <c r="N28" s="48"/>
      <c r="O28" s="45">
        <f>55311+82757+70990</f>
        <v>209058</v>
      </c>
      <c r="P28" s="48"/>
      <c r="Q28" s="45">
        <v>0</v>
      </c>
      <c r="R28" s="48"/>
      <c r="S28" s="45">
        <v>62725</v>
      </c>
      <c r="T28" s="48"/>
      <c r="U28" s="45">
        <v>0</v>
      </c>
      <c r="V28" s="48"/>
      <c r="W28" s="48"/>
      <c r="X28" s="35"/>
      <c r="Z28" s="35"/>
      <c r="AA28" s="35"/>
      <c r="AB28" s="45">
        <v>122735</v>
      </c>
      <c r="AC28" s="65"/>
      <c r="AD28" s="45">
        <v>37634</v>
      </c>
      <c r="AE28" s="65"/>
      <c r="AF28" s="45">
        <v>0</v>
      </c>
      <c r="AG28" s="65"/>
      <c r="AH28" s="48">
        <f t="shared" si="1"/>
        <v>3583353</v>
      </c>
      <c r="AI28" s="48"/>
      <c r="AJ28" s="48">
        <v>0</v>
      </c>
      <c r="AK28" s="48"/>
      <c r="AL28" s="45">
        <v>65500</v>
      </c>
      <c r="AM28" s="45"/>
      <c r="AN28" s="45">
        <v>1918711</v>
      </c>
      <c r="AO28" s="45"/>
      <c r="AP28" s="45">
        <v>0</v>
      </c>
      <c r="AQ28" s="45"/>
      <c r="AR28" s="45">
        <f>+'GVFund Rev'!U28+'GVFund Rev'!W28-'GVFund Exp'!AH28-'GVFund Exp'!AL28+AJ28+AN28+AP28-'GV Fund BS'!S28</f>
        <v>0</v>
      </c>
      <c r="AS28" s="48"/>
    </row>
    <row r="29" spans="1:45" s="44" customFormat="1" ht="12.75" customHeight="1" x14ac:dyDescent="0.2">
      <c r="A29" s="35" t="s">
        <v>41</v>
      </c>
      <c r="C29" s="35" t="s">
        <v>27</v>
      </c>
      <c r="E29" s="45">
        <v>6714835</v>
      </c>
      <c r="F29" s="48"/>
      <c r="G29" s="45">
        <v>6458138</v>
      </c>
      <c r="H29" s="48"/>
      <c r="I29" s="45">
        <v>471003</v>
      </c>
      <c r="J29" s="48"/>
      <c r="K29" s="45">
        <v>187320</v>
      </c>
      <c r="L29" s="48"/>
      <c r="M29" s="45">
        <v>851322</v>
      </c>
      <c r="N29" s="48"/>
      <c r="O29" s="45">
        <v>1614757</v>
      </c>
      <c r="P29" s="48"/>
      <c r="Q29" s="45">
        <v>1350451</v>
      </c>
      <c r="R29" s="48"/>
      <c r="S29" s="45">
        <v>3113744</v>
      </c>
      <c r="T29" s="48"/>
      <c r="U29" s="45">
        <v>0</v>
      </c>
      <c r="V29" s="48"/>
      <c r="W29" s="48"/>
      <c r="X29" s="35"/>
      <c r="Z29" s="35"/>
      <c r="AA29" s="35"/>
      <c r="AB29" s="45">
        <v>5324475</v>
      </c>
      <c r="AC29" s="65"/>
      <c r="AD29" s="45">
        <v>503506</v>
      </c>
      <c r="AE29" s="65"/>
      <c r="AF29" s="45">
        <v>0</v>
      </c>
      <c r="AG29" s="65"/>
      <c r="AH29" s="48">
        <f t="shared" si="1"/>
        <v>26589551</v>
      </c>
      <c r="AI29" s="48"/>
      <c r="AJ29" s="48">
        <v>0</v>
      </c>
      <c r="AK29" s="48"/>
      <c r="AL29" s="45">
        <v>3875100</v>
      </c>
      <c r="AM29" s="45"/>
      <c r="AN29" s="45">
        <v>9912686</v>
      </c>
      <c r="AO29" s="45"/>
      <c r="AP29" s="45">
        <v>0</v>
      </c>
      <c r="AQ29" s="45"/>
      <c r="AR29" s="45">
        <f>+'GVFund Rev'!U29+'GVFund Rev'!W29-'GVFund Exp'!AH29-'GVFund Exp'!AL29+AJ29+AN29+AP29-'GV Fund BS'!S29</f>
        <v>0</v>
      </c>
      <c r="AS29" s="48"/>
    </row>
    <row r="30" spans="1:45" s="44" customFormat="1" ht="12.75" customHeight="1" x14ac:dyDescent="0.2">
      <c r="A30" s="35" t="s">
        <v>42</v>
      </c>
      <c r="C30" s="35" t="s">
        <v>43</v>
      </c>
      <c r="E30" s="45">
        <v>2817177</v>
      </c>
      <c r="F30" s="48"/>
      <c r="G30" s="45">
        <v>6099145</v>
      </c>
      <c r="H30" s="48"/>
      <c r="I30" s="45">
        <v>211039</v>
      </c>
      <c r="J30" s="48"/>
      <c r="K30" s="45">
        <v>86629</v>
      </c>
      <c r="L30" s="48"/>
      <c r="M30" s="45">
        <v>691988</v>
      </c>
      <c r="N30" s="48"/>
      <c r="O30" s="45">
        <v>1354052</v>
      </c>
      <c r="P30" s="48"/>
      <c r="Q30" s="45">
        <v>0</v>
      </c>
      <c r="R30" s="48"/>
      <c r="S30" s="45">
        <v>3089569</v>
      </c>
      <c r="T30" s="48"/>
      <c r="U30" s="45">
        <v>0</v>
      </c>
      <c r="V30" s="48"/>
      <c r="W30" s="48"/>
      <c r="X30" s="35"/>
      <c r="Z30" s="35"/>
      <c r="AA30" s="35"/>
      <c r="AB30" s="45">
        <v>1107619</v>
      </c>
      <c r="AC30" s="65"/>
      <c r="AD30" s="45">
        <v>734615</v>
      </c>
      <c r="AE30" s="65"/>
      <c r="AF30" s="45">
        <v>0</v>
      </c>
      <c r="AG30" s="65"/>
      <c r="AH30" s="48">
        <f t="shared" si="1"/>
        <v>16191833</v>
      </c>
      <c r="AI30" s="48"/>
      <c r="AJ30" s="48">
        <v>0</v>
      </c>
      <c r="AK30" s="48"/>
      <c r="AL30" s="45">
        <v>2180137</v>
      </c>
      <c r="AM30" s="45"/>
      <c r="AN30" s="45">
        <v>10438367</v>
      </c>
      <c r="AO30" s="45"/>
      <c r="AP30" s="45">
        <v>0</v>
      </c>
      <c r="AQ30" s="45"/>
      <c r="AR30" s="45">
        <f>+'GVFund Rev'!U30+'GVFund Rev'!W30-'GVFund Exp'!AH30-'GVFund Exp'!AL30+AJ30+AN30+AP30-'GV Fund BS'!S30</f>
        <v>0</v>
      </c>
      <c r="AS30" s="48"/>
    </row>
    <row r="31" spans="1:45" s="44" customFormat="1" ht="12.75" customHeight="1" x14ac:dyDescent="0.2">
      <c r="A31" s="35" t="s">
        <v>44</v>
      </c>
      <c r="C31" s="35" t="s">
        <v>45</v>
      </c>
      <c r="E31" s="45">
        <v>7639034</v>
      </c>
      <c r="F31" s="48"/>
      <c r="G31" s="45">
        <v>10014242</v>
      </c>
      <c r="H31" s="48"/>
      <c r="I31" s="45">
        <v>1220875</v>
      </c>
      <c r="J31" s="48"/>
      <c r="K31" s="45">
        <v>0</v>
      </c>
      <c r="L31" s="48"/>
      <c r="M31" s="45">
        <v>4443374</v>
      </c>
      <c r="N31" s="48"/>
      <c r="O31" s="45">
        <v>4081680</v>
      </c>
      <c r="P31" s="48"/>
      <c r="Q31" s="45">
        <v>0</v>
      </c>
      <c r="R31" s="48"/>
      <c r="S31" s="45">
        <v>8709260</v>
      </c>
      <c r="T31" s="48"/>
      <c r="U31" s="45">
        <v>0</v>
      </c>
      <c r="V31" s="48"/>
      <c r="W31" s="48"/>
      <c r="X31" s="35"/>
      <c r="Z31" s="35"/>
      <c r="AA31" s="35"/>
      <c r="AB31" s="45">
        <v>3543420</v>
      </c>
      <c r="AC31" s="65"/>
      <c r="AD31" s="45">
        <v>2273692</v>
      </c>
      <c r="AE31" s="65"/>
      <c r="AF31" s="45">
        <v>0</v>
      </c>
      <c r="AG31" s="65"/>
      <c r="AH31" s="48">
        <f t="shared" si="1"/>
        <v>41925577</v>
      </c>
      <c r="AI31" s="48"/>
      <c r="AJ31" s="48">
        <v>0</v>
      </c>
      <c r="AK31" s="48"/>
      <c r="AL31" s="45">
        <v>12482141</v>
      </c>
      <c r="AM31" s="45"/>
      <c r="AN31" s="45">
        <v>34976442</v>
      </c>
      <c r="AO31" s="45"/>
      <c r="AP31" s="45">
        <v>12873</v>
      </c>
      <c r="AQ31" s="45"/>
      <c r="AR31" s="45">
        <f>+'GVFund Rev'!U31+'GVFund Rev'!W31-'GVFund Exp'!AH31-'GVFund Exp'!AL31+AJ31+AN31+AP31-'GV Fund BS'!S31</f>
        <v>0</v>
      </c>
      <c r="AS31" s="48"/>
    </row>
    <row r="32" spans="1:45" s="44" customFormat="1" ht="12.75" customHeight="1" x14ac:dyDescent="0.2">
      <c r="A32" s="35" t="s">
        <v>46</v>
      </c>
      <c r="C32" s="35" t="s">
        <v>47</v>
      </c>
      <c r="E32" s="45">
        <f>1375900+3157593</f>
        <v>4533493</v>
      </c>
      <c r="F32" s="48"/>
      <c r="G32" s="45">
        <f>5441643+5276249+121113</f>
        <v>10839005</v>
      </c>
      <c r="H32" s="48"/>
      <c r="I32" s="45">
        <v>899672</v>
      </c>
      <c r="J32" s="48"/>
      <c r="K32" s="45">
        <v>79778</v>
      </c>
      <c r="L32" s="48"/>
      <c r="M32" s="45">
        <v>6819381</v>
      </c>
      <c r="N32" s="48"/>
      <c r="O32" s="45">
        <v>1852446</v>
      </c>
      <c r="P32" s="48"/>
      <c r="Q32" s="45">
        <v>601161</v>
      </c>
      <c r="R32" s="48"/>
      <c r="S32" s="45">
        <v>3120821</v>
      </c>
      <c r="T32" s="48"/>
      <c r="U32" s="45">
        <v>0</v>
      </c>
      <c r="V32" s="48"/>
      <c r="W32" s="48"/>
      <c r="X32" s="35"/>
      <c r="Z32" s="35"/>
      <c r="AA32" s="35"/>
      <c r="AB32" s="45">
        <v>4595342</v>
      </c>
      <c r="AC32" s="65"/>
      <c r="AD32" s="45">
        <v>1025817</v>
      </c>
      <c r="AE32" s="65"/>
      <c r="AF32" s="45">
        <v>0</v>
      </c>
      <c r="AG32" s="65"/>
      <c r="AH32" s="48">
        <f t="shared" si="1"/>
        <v>34366916</v>
      </c>
      <c r="AI32" s="48"/>
      <c r="AJ32" s="48">
        <v>0</v>
      </c>
      <c r="AK32" s="48"/>
      <c r="AL32" s="45">
        <v>1027125</v>
      </c>
      <c r="AM32" s="45"/>
      <c r="AN32" s="45">
        <v>13821938</v>
      </c>
      <c r="AO32" s="45"/>
      <c r="AP32" s="45">
        <v>0</v>
      </c>
      <c r="AQ32" s="45"/>
      <c r="AR32" s="45">
        <f>+'GVFund Rev'!U32+'GVFund Rev'!W32-'GVFund Exp'!AH32-'GVFund Exp'!AL32+AJ32+AN32+AP32-'GV Fund BS'!S32</f>
        <v>0</v>
      </c>
      <c r="AS32" s="48"/>
    </row>
    <row r="33" spans="1:45" s="44" customFormat="1" ht="12.75" customHeight="1" x14ac:dyDescent="0.2">
      <c r="A33" s="35" t="s">
        <v>48</v>
      </c>
      <c r="C33" s="35" t="s">
        <v>27</v>
      </c>
      <c r="E33" s="45">
        <f>5515740+203415</f>
        <v>5719155</v>
      </c>
      <c r="F33" s="48"/>
      <c r="G33" s="45">
        <f>4046058+2244514</f>
        <v>6290572</v>
      </c>
      <c r="H33" s="48"/>
      <c r="I33" s="45">
        <v>887874</v>
      </c>
      <c r="J33" s="48"/>
      <c r="K33" s="45">
        <v>861325</v>
      </c>
      <c r="L33" s="48"/>
      <c r="M33" s="45">
        <v>3125788</v>
      </c>
      <c r="N33" s="48"/>
      <c r="O33" s="45">
        <v>1772171</v>
      </c>
      <c r="P33" s="48"/>
      <c r="Q33" s="45">
        <v>1593784</v>
      </c>
      <c r="R33" s="48"/>
      <c r="S33" s="45">
        <v>2007069</v>
      </c>
      <c r="T33" s="48"/>
      <c r="U33" s="45">
        <v>0</v>
      </c>
      <c r="V33" s="48"/>
      <c r="W33" s="48"/>
      <c r="X33" s="35"/>
      <c r="Z33" s="35"/>
      <c r="AA33" s="35"/>
      <c r="AB33" s="45">
        <v>1178884</v>
      </c>
      <c r="AC33" s="65"/>
      <c r="AD33" s="45">
        <v>560548</v>
      </c>
      <c r="AE33" s="65"/>
      <c r="AF33" s="45">
        <v>0</v>
      </c>
      <c r="AG33" s="65"/>
      <c r="AH33" s="48">
        <f t="shared" si="1"/>
        <v>23997170</v>
      </c>
      <c r="AI33" s="48"/>
      <c r="AJ33" s="48">
        <v>0</v>
      </c>
      <c r="AK33" s="48"/>
      <c r="AL33" s="45">
        <v>2042634</v>
      </c>
      <c r="AM33" s="45"/>
      <c r="AN33" s="45">
        <v>12200091</v>
      </c>
      <c r="AO33" s="45"/>
      <c r="AP33" s="45">
        <v>0</v>
      </c>
      <c r="AQ33" s="45"/>
      <c r="AR33" s="45">
        <f>+'GVFund Rev'!U33+'GVFund Rev'!W33-'GVFund Exp'!AH33-'GVFund Exp'!AL33+AJ33+AN33+AP33-'GV Fund BS'!S33</f>
        <v>0</v>
      </c>
      <c r="AS33" s="48"/>
    </row>
    <row r="34" spans="1:45" s="44" customFormat="1" ht="12.75" customHeight="1" x14ac:dyDescent="0.2">
      <c r="A34" s="35" t="s">
        <v>49</v>
      </c>
      <c r="C34" s="35" t="s">
        <v>27</v>
      </c>
      <c r="E34" s="45">
        <v>4683783</v>
      </c>
      <c r="F34" s="48"/>
      <c r="G34" s="45">
        <v>6764831</v>
      </c>
      <c r="H34" s="48"/>
      <c r="I34" s="45">
        <v>372237</v>
      </c>
      <c r="J34" s="48"/>
      <c r="K34" s="45">
        <v>288004</v>
      </c>
      <c r="L34" s="48"/>
      <c r="M34" s="45">
        <v>1421102</v>
      </c>
      <c r="N34" s="48"/>
      <c r="O34" s="45">
        <v>1021224</v>
      </c>
      <c r="P34" s="48"/>
      <c r="Q34" s="45">
        <v>836375</v>
      </c>
      <c r="R34" s="48"/>
      <c r="S34" s="45">
        <v>4620691</v>
      </c>
      <c r="T34" s="48"/>
      <c r="U34" s="45">
        <v>0</v>
      </c>
      <c r="V34" s="48"/>
      <c r="W34" s="48"/>
      <c r="X34" s="35"/>
      <c r="Z34" s="35"/>
      <c r="AA34" s="35"/>
      <c r="AB34" s="45">
        <v>1195662</v>
      </c>
      <c r="AC34" s="65"/>
      <c r="AD34" s="45">
        <v>432169</v>
      </c>
      <c r="AE34" s="65"/>
      <c r="AF34" s="45">
        <v>0</v>
      </c>
      <c r="AG34" s="65"/>
      <c r="AH34" s="48">
        <f t="shared" si="1"/>
        <v>21636078</v>
      </c>
      <c r="AI34" s="48"/>
      <c r="AJ34" s="48">
        <v>0</v>
      </c>
      <c r="AK34" s="48"/>
      <c r="AL34" s="45">
        <v>519423</v>
      </c>
      <c r="AM34" s="45"/>
      <c r="AN34" s="45">
        <v>8229993</v>
      </c>
      <c r="AO34" s="45"/>
      <c r="AP34" s="45">
        <v>0</v>
      </c>
      <c r="AQ34" s="45"/>
      <c r="AR34" s="45">
        <f>+'GVFund Rev'!U34+'GVFund Rev'!W34-'GVFund Exp'!AH34-'GVFund Exp'!AL34+AJ34+AN34+AP34-'GV Fund BS'!S34</f>
        <v>0</v>
      </c>
      <c r="AS34" s="48"/>
    </row>
    <row r="35" spans="1:45" s="44" customFormat="1" ht="12.75" customHeight="1" x14ac:dyDescent="0.2">
      <c r="A35" s="35" t="s">
        <v>50</v>
      </c>
      <c r="C35" s="35" t="s">
        <v>27</v>
      </c>
      <c r="E35" s="45">
        <v>4791064</v>
      </c>
      <c r="F35" s="48"/>
      <c r="G35" s="45">
        <f>6570540+4969513</f>
        <v>11540053</v>
      </c>
      <c r="H35" s="48"/>
      <c r="I35" s="45">
        <v>1942284</v>
      </c>
      <c r="J35" s="48"/>
      <c r="K35" s="45">
        <v>408973</v>
      </c>
      <c r="L35" s="48"/>
      <c r="M35" s="45">
        <v>1643494</v>
      </c>
      <c r="N35" s="48"/>
      <c r="O35" s="45">
        <v>2243478</v>
      </c>
      <c r="P35" s="48"/>
      <c r="Q35" s="45">
        <v>3052788</v>
      </c>
      <c r="R35" s="48"/>
      <c r="S35" s="45">
        <v>3648548</v>
      </c>
      <c r="T35" s="48"/>
      <c r="U35" s="45">
        <v>0</v>
      </c>
      <c r="V35" s="48"/>
      <c r="W35" s="48"/>
      <c r="X35" s="35"/>
      <c r="Z35" s="35"/>
      <c r="AA35" s="35"/>
      <c r="AB35" s="45">
        <v>287467</v>
      </c>
      <c r="AC35" s="65"/>
      <c r="AD35" s="45">
        <v>48075</v>
      </c>
      <c r="AE35" s="65"/>
      <c r="AF35" s="45">
        <v>64143</v>
      </c>
      <c r="AG35" s="65"/>
      <c r="AH35" s="48">
        <f t="shared" si="1"/>
        <v>29670367</v>
      </c>
      <c r="AI35" s="48"/>
      <c r="AJ35" s="48">
        <v>0</v>
      </c>
      <c r="AK35" s="48"/>
      <c r="AL35" s="45">
        <v>1390040</v>
      </c>
      <c r="AM35" s="45"/>
      <c r="AN35" s="45">
        <v>15681521</v>
      </c>
      <c r="AO35" s="45"/>
      <c r="AP35" s="45">
        <v>0</v>
      </c>
      <c r="AQ35" s="45"/>
      <c r="AR35" s="45">
        <f>+'GVFund Rev'!U35+'GVFund Rev'!W35-'GVFund Exp'!AH35-'GVFund Exp'!AL35+AJ35+AN35+AP35-'GV Fund BS'!S35</f>
        <v>0</v>
      </c>
      <c r="AS35" s="48"/>
    </row>
    <row r="36" spans="1:45" s="44" customFormat="1" ht="12.75" customHeight="1" x14ac:dyDescent="0.2">
      <c r="A36" s="35" t="s">
        <v>51</v>
      </c>
      <c r="C36" s="35" t="s">
        <v>27</v>
      </c>
      <c r="E36" s="45">
        <v>2107649</v>
      </c>
      <c r="F36" s="48"/>
      <c r="G36" s="45">
        <v>7582014</v>
      </c>
      <c r="H36" s="48"/>
      <c r="I36" s="45">
        <v>1530501</v>
      </c>
      <c r="J36" s="48"/>
      <c r="K36" s="45">
        <v>0</v>
      </c>
      <c r="L36" s="48"/>
      <c r="M36" s="45">
        <v>521011</v>
      </c>
      <c r="N36" s="48"/>
      <c r="O36" s="45">
        <v>1680219</v>
      </c>
      <c r="P36" s="48"/>
      <c r="Q36" s="45">
        <v>1850198</v>
      </c>
      <c r="R36" s="48"/>
      <c r="S36" s="45">
        <v>1972515</v>
      </c>
      <c r="T36" s="48"/>
      <c r="U36" s="45">
        <v>0</v>
      </c>
      <c r="V36" s="48"/>
      <c r="W36" s="48"/>
      <c r="X36" s="35"/>
      <c r="Z36" s="35"/>
      <c r="AA36" s="35"/>
      <c r="AB36" s="45">
        <v>2612289</v>
      </c>
      <c r="AC36" s="65"/>
      <c r="AD36" s="45">
        <v>343613</v>
      </c>
      <c r="AE36" s="65"/>
      <c r="AF36" s="45">
        <v>0</v>
      </c>
      <c r="AG36" s="65"/>
      <c r="AH36" s="48">
        <f t="shared" si="1"/>
        <v>20200009</v>
      </c>
      <c r="AI36" s="48"/>
      <c r="AJ36" s="48">
        <v>0</v>
      </c>
      <c r="AK36" s="48"/>
      <c r="AL36" s="45">
        <v>851224</v>
      </c>
      <c r="AM36" s="45"/>
      <c r="AN36" s="45">
        <v>14041279</v>
      </c>
      <c r="AO36" s="45"/>
      <c r="AP36" s="45">
        <v>0</v>
      </c>
      <c r="AQ36" s="45"/>
      <c r="AR36" s="45">
        <f>+'GVFund Rev'!U36+'GVFund Rev'!W36-'GVFund Exp'!AH36-'GVFund Exp'!AL36+AJ36+AN36+AP36-'GV Fund BS'!S36</f>
        <v>0</v>
      </c>
      <c r="AS36" s="48"/>
    </row>
    <row r="37" spans="1:45" s="44" customFormat="1" ht="12.75" customHeight="1" x14ac:dyDescent="0.2">
      <c r="A37" s="35" t="s">
        <v>462</v>
      </c>
      <c r="C37" s="35" t="s">
        <v>66</v>
      </c>
      <c r="E37" s="45">
        <v>947473</v>
      </c>
      <c r="F37" s="48"/>
      <c r="G37" s="45">
        <v>1971473</v>
      </c>
      <c r="H37" s="48"/>
      <c r="I37" s="45">
        <v>0</v>
      </c>
      <c r="J37" s="48"/>
      <c r="K37" s="45">
        <v>200000</v>
      </c>
      <c r="L37" s="48"/>
      <c r="M37" s="45">
        <v>679117</v>
      </c>
      <c r="N37" s="48"/>
      <c r="O37" s="45">
        <v>122719</v>
      </c>
      <c r="P37" s="48"/>
      <c r="Q37" s="45">
        <v>0</v>
      </c>
      <c r="R37" s="48"/>
      <c r="S37" s="45">
        <v>1228757</v>
      </c>
      <c r="T37" s="48"/>
      <c r="U37" s="45">
        <v>0</v>
      </c>
      <c r="V37" s="48"/>
      <c r="W37" s="48"/>
      <c r="X37" s="35"/>
      <c r="Z37" s="35"/>
      <c r="AA37" s="35"/>
      <c r="AB37" s="45">
        <v>880379</v>
      </c>
      <c r="AC37" s="65"/>
      <c r="AD37" s="45">
        <v>67150</v>
      </c>
      <c r="AE37" s="65"/>
      <c r="AF37" s="45">
        <v>2220</v>
      </c>
      <c r="AG37" s="65"/>
      <c r="AH37" s="48">
        <f t="shared" si="1"/>
        <v>6099288</v>
      </c>
      <c r="AI37" s="48"/>
      <c r="AJ37" s="48">
        <v>0</v>
      </c>
      <c r="AK37" s="48"/>
      <c r="AL37" s="45">
        <v>815247</v>
      </c>
      <c r="AM37" s="45"/>
      <c r="AN37" s="45">
        <v>2507935</v>
      </c>
      <c r="AO37" s="45"/>
      <c r="AP37" s="45">
        <v>0</v>
      </c>
      <c r="AQ37" s="45"/>
      <c r="AR37" s="45">
        <f>+'GVFund Rev'!U37+'GVFund Rev'!W37-'GVFund Exp'!AH37-'GVFund Exp'!AL37+AJ37+AN37+AP37-'GV Fund BS'!S37</f>
        <v>0</v>
      </c>
      <c r="AS37" s="48"/>
    </row>
    <row r="38" spans="1:45" s="44" customFormat="1" ht="12.75" customHeight="1" x14ac:dyDescent="0.2">
      <c r="A38" s="35" t="s">
        <v>52</v>
      </c>
      <c r="C38" s="35" t="s">
        <v>53</v>
      </c>
      <c r="E38" s="45">
        <v>2812836</v>
      </c>
      <c r="F38" s="48"/>
      <c r="G38" s="45">
        <v>9608980</v>
      </c>
      <c r="H38" s="48"/>
      <c r="I38" s="45">
        <v>1270815</v>
      </c>
      <c r="J38" s="48"/>
      <c r="K38" s="45">
        <v>6533</v>
      </c>
      <c r="L38" s="48"/>
      <c r="M38" s="45">
        <v>2286124</v>
      </c>
      <c r="N38" s="48"/>
      <c r="O38" s="45">
        <v>1360892</v>
      </c>
      <c r="P38" s="48"/>
      <c r="Q38" s="45">
        <v>0</v>
      </c>
      <c r="R38" s="48"/>
      <c r="S38" s="45">
        <v>2223320</v>
      </c>
      <c r="T38" s="48"/>
      <c r="U38" s="45">
        <v>0</v>
      </c>
      <c r="V38" s="48"/>
      <c r="W38" s="48"/>
      <c r="X38" s="35"/>
      <c r="Z38" s="35"/>
      <c r="AA38" s="35"/>
      <c r="AB38" s="45">
        <v>537063</v>
      </c>
      <c r="AC38" s="65"/>
      <c r="AD38" s="45">
        <v>318145</v>
      </c>
      <c r="AE38" s="65"/>
      <c r="AF38" s="45">
        <v>0</v>
      </c>
      <c r="AG38" s="65"/>
      <c r="AH38" s="48">
        <f t="shared" si="1"/>
        <v>20424708</v>
      </c>
      <c r="AI38" s="48"/>
      <c r="AJ38" s="48">
        <v>0</v>
      </c>
      <c r="AK38" s="48"/>
      <c r="AL38" s="45">
        <v>40882</v>
      </c>
      <c r="AM38" s="45"/>
      <c r="AN38" s="45">
        <v>9390871</v>
      </c>
      <c r="AO38" s="45"/>
      <c r="AP38" s="45">
        <v>0</v>
      </c>
      <c r="AQ38" s="45"/>
      <c r="AR38" s="45">
        <f>+'GVFund Rev'!U38+'GVFund Rev'!W38-'GVFund Exp'!AH38-'GVFund Exp'!AL38+AJ38+AN38+AP38-'GV Fund BS'!S38</f>
        <v>0</v>
      </c>
      <c r="AS38" s="48"/>
    </row>
    <row r="39" spans="1:45" s="44" customFormat="1" ht="12.75" customHeight="1" x14ac:dyDescent="0.2">
      <c r="A39" s="35" t="s">
        <v>54</v>
      </c>
      <c r="C39" s="35" t="s">
        <v>55</v>
      </c>
      <c r="E39" s="45">
        <v>3008769</v>
      </c>
      <c r="F39" s="48"/>
      <c r="G39" s="45">
        <v>2487325</v>
      </c>
      <c r="H39" s="48"/>
      <c r="I39" s="45">
        <v>444968</v>
      </c>
      <c r="J39" s="48"/>
      <c r="K39" s="45">
        <v>77150</v>
      </c>
      <c r="L39" s="48"/>
      <c r="M39" s="45">
        <v>748794</v>
      </c>
      <c r="N39" s="48"/>
      <c r="O39" s="45">
        <v>954065</v>
      </c>
      <c r="P39" s="48"/>
      <c r="Q39" s="45">
        <v>0</v>
      </c>
      <c r="R39" s="48"/>
      <c r="S39" s="45">
        <v>2292408</v>
      </c>
      <c r="T39" s="48"/>
      <c r="U39" s="45">
        <v>0</v>
      </c>
      <c r="V39" s="48"/>
      <c r="W39" s="48"/>
      <c r="X39" s="35"/>
      <c r="Z39" s="35"/>
      <c r="AA39" s="35"/>
      <c r="AB39" s="45">
        <v>1800000</v>
      </c>
      <c r="AC39" s="65"/>
      <c r="AD39" s="45">
        <v>150127</v>
      </c>
      <c r="AE39" s="65"/>
      <c r="AF39" s="45">
        <v>0</v>
      </c>
      <c r="AG39" s="65"/>
      <c r="AH39" s="48">
        <f t="shared" si="1"/>
        <v>11963606</v>
      </c>
      <c r="AI39" s="48"/>
      <c r="AJ39" s="48">
        <v>0</v>
      </c>
      <c r="AK39" s="48"/>
      <c r="AL39" s="45">
        <v>4107028</v>
      </c>
      <c r="AM39" s="45"/>
      <c r="AN39" s="45">
        <v>16570225</v>
      </c>
      <c r="AO39" s="45"/>
      <c r="AP39" s="45">
        <v>16362</v>
      </c>
      <c r="AQ39" s="45"/>
      <c r="AR39" s="45">
        <f>+'GVFund Rev'!U39+'GVFund Rev'!W39-'GVFund Exp'!AH39-'GVFund Exp'!AL39+AJ39+AN39+AP39-'GV Fund BS'!S39</f>
        <v>0</v>
      </c>
      <c r="AS39" s="48"/>
    </row>
    <row r="40" spans="1:45" s="44" customFormat="1" ht="12.75" customHeight="1" x14ac:dyDescent="0.2">
      <c r="A40" s="35" t="s">
        <v>56</v>
      </c>
      <c r="C40" s="35" t="s">
        <v>57</v>
      </c>
      <c r="E40" s="45">
        <v>1319892</v>
      </c>
      <c r="F40" s="48"/>
      <c r="G40" s="45">
        <f>2123349+1337991+166543</f>
        <v>3627883</v>
      </c>
      <c r="H40" s="48"/>
      <c r="I40" s="45">
        <v>66514</v>
      </c>
      <c r="J40" s="48"/>
      <c r="K40" s="45">
        <v>237123</v>
      </c>
      <c r="L40" s="48"/>
      <c r="M40" s="45">
        <v>1876604</v>
      </c>
      <c r="N40" s="48"/>
      <c r="O40" s="45">
        <v>147459</v>
      </c>
      <c r="P40" s="48"/>
      <c r="Q40" s="45">
        <v>46100</v>
      </c>
      <c r="R40" s="48"/>
      <c r="S40" s="45">
        <v>0</v>
      </c>
      <c r="T40" s="48"/>
      <c r="U40" s="45">
        <v>0</v>
      </c>
      <c r="V40" s="48"/>
      <c r="W40" s="48"/>
      <c r="X40" s="35"/>
      <c r="Z40" s="35"/>
      <c r="AA40" s="35"/>
      <c r="AB40" s="45">
        <v>27880</v>
      </c>
      <c r="AC40" s="65"/>
      <c r="AD40" s="45">
        <v>21118</v>
      </c>
      <c r="AE40" s="65"/>
      <c r="AF40" s="45">
        <v>0</v>
      </c>
      <c r="AG40" s="65"/>
      <c r="AH40" s="48">
        <f t="shared" si="1"/>
        <v>7370573</v>
      </c>
      <c r="AI40" s="48"/>
      <c r="AJ40" s="48">
        <v>0</v>
      </c>
      <c r="AK40" s="48"/>
      <c r="AL40" s="45">
        <v>310431</v>
      </c>
      <c r="AM40" s="45"/>
      <c r="AN40" s="45">
        <v>4695263</v>
      </c>
      <c r="AO40" s="45"/>
      <c r="AP40" s="45">
        <v>0</v>
      </c>
      <c r="AQ40" s="45"/>
      <c r="AR40" s="45">
        <f>+'GVFund Rev'!U40+'GVFund Rev'!W40-'GVFund Exp'!AH40-'GVFund Exp'!AL40+AJ40+AN40+AP40-'GV Fund BS'!S40</f>
        <v>0</v>
      </c>
      <c r="AS40" s="48"/>
    </row>
    <row r="41" spans="1:45" s="44" customFormat="1" ht="12.75" customHeight="1" x14ac:dyDescent="0.2">
      <c r="A41" s="35" t="s">
        <v>58</v>
      </c>
      <c r="C41" s="35" t="s">
        <v>59</v>
      </c>
      <c r="E41" s="45">
        <v>2898024</v>
      </c>
      <c r="F41" s="48"/>
      <c r="G41" s="45">
        <v>4250911</v>
      </c>
      <c r="H41" s="48"/>
      <c r="I41" s="45">
        <v>898402</v>
      </c>
      <c r="J41" s="48"/>
      <c r="K41" s="45">
        <v>240219</v>
      </c>
      <c r="L41" s="48"/>
      <c r="M41" s="45">
        <v>1097951</v>
      </c>
      <c r="N41" s="48"/>
      <c r="O41" s="45">
        <v>812511</v>
      </c>
      <c r="P41" s="48"/>
      <c r="Q41" s="45">
        <v>0</v>
      </c>
      <c r="R41" s="48"/>
      <c r="S41" s="45">
        <v>3275397</v>
      </c>
      <c r="T41" s="48"/>
      <c r="U41" s="45">
        <v>0</v>
      </c>
      <c r="V41" s="48"/>
      <c r="W41" s="48"/>
      <c r="X41" s="35"/>
      <c r="Z41" s="35"/>
      <c r="AA41" s="35"/>
      <c r="AB41" s="45">
        <v>214578</v>
      </c>
      <c r="AC41" s="65"/>
      <c r="AD41" s="45">
        <v>183322</v>
      </c>
      <c r="AE41" s="65"/>
      <c r="AF41" s="45">
        <v>0</v>
      </c>
      <c r="AG41" s="65"/>
      <c r="AH41" s="48">
        <f t="shared" si="1"/>
        <v>13871315</v>
      </c>
      <c r="AI41" s="48"/>
      <c r="AJ41" s="48">
        <v>0</v>
      </c>
      <c r="AK41" s="48"/>
      <c r="AL41" s="45">
        <v>920871</v>
      </c>
      <c r="AM41" s="45"/>
      <c r="AN41" s="45">
        <v>4774231</v>
      </c>
      <c r="AO41" s="45"/>
      <c r="AP41" s="45">
        <v>0</v>
      </c>
      <c r="AQ41" s="45"/>
      <c r="AR41" s="45">
        <f>+'GVFund Rev'!U41+'GVFund Rev'!W41-'GVFund Exp'!AH41-'GVFund Exp'!AL41+AJ41+AN41+AP41-'GV Fund BS'!S41</f>
        <v>0</v>
      </c>
      <c r="AS41" s="48"/>
    </row>
    <row r="42" spans="1:45" s="44" customFormat="1" ht="12.75" customHeight="1" x14ac:dyDescent="0.2">
      <c r="A42" s="44" t="s">
        <v>476</v>
      </c>
      <c r="C42" s="35" t="s">
        <v>15</v>
      </c>
      <c r="E42" s="45">
        <v>623832</v>
      </c>
      <c r="F42" s="48"/>
      <c r="G42" s="45">
        <v>1390094</v>
      </c>
      <c r="H42" s="48"/>
      <c r="I42" s="45">
        <v>0</v>
      </c>
      <c r="J42" s="48"/>
      <c r="K42" s="45">
        <v>0</v>
      </c>
      <c r="L42" s="48"/>
      <c r="M42" s="45">
        <v>304019</v>
      </c>
      <c r="N42" s="48"/>
      <c r="O42" s="45">
        <v>83551</v>
      </c>
      <c r="P42" s="48"/>
      <c r="Q42" s="45">
        <v>0</v>
      </c>
      <c r="R42" s="48"/>
      <c r="S42" s="45">
        <v>678578</v>
      </c>
      <c r="T42" s="48"/>
      <c r="U42" s="45">
        <v>0</v>
      </c>
      <c r="V42" s="48"/>
      <c r="W42" s="48"/>
      <c r="X42" s="35"/>
      <c r="Z42" s="35"/>
      <c r="AA42" s="35"/>
      <c r="AB42" s="45">
        <v>125882</v>
      </c>
      <c r="AC42" s="65"/>
      <c r="AD42" s="45">
        <v>60357</v>
      </c>
      <c r="AE42" s="65"/>
      <c r="AF42" s="45">
        <v>0</v>
      </c>
      <c r="AG42" s="65"/>
      <c r="AH42" s="48">
        <f t="shared" si="1"/>
        <v>3266313</v>
      </c>
      <c r="AI42" s="48"/>
      <c r="AJ42" s="48">
        <v>0</v>
      </c>
      <c r="AK42" s="48"/>
      <c r="AL42" s="45">
        <v>1388376</v>
      </c>
      <c r="AM42" s="45"/>
      <c r="AN42" s="45">
        <v>1236478</v>
      </c>
      <c r="AO42" s="45"/>
      <c r="AP42" s="45">
        <v>0</v>
      </c>
      <c r="AQ42" s="45"/>
      <c r="AR42" s="45">
        <f>+'GVFund Rev'!U42+'GVFund Rev'!W42-'GVFund Exp'!AH42-'GVFund Exp'!AL42+AJ42+AN42+AP42-'GV Fund BS'!S42</f>
        <v>0</v>
      </c>
      <c r="AS42" s="48"/>
    </row>
    <row r="43" spans="1:45" s="44" customFormat="1" ht="12.75" customHeight="1" x14ac:dyDescent="0.2">
      <c r="A43" s="44" t="s">
        <v>504</v>
      </c>
      <c r="B43" s="47"/>
      <c r="C43" s="44" t="s">
        <v>43</v>
      </c>
      <c r="E43" s="45">
        <v>1792338</v>
      </c>
      <c r="F43" s="48"/>
      <c r="G43" s="45">
        <v>998800</v>
      </c>
      <c r="H43" s="48"/>
      <c r="I43" s="45">
        <v>460702</v>
      </c>
      <c r="J43" s="48"/>
      <c r="K43" s="45">
        <v>62842</v>
      </c>
      <c r="L43" s="48"/>
      <c r="M43" s="45">
        <v>1073800</v>
      </c>
      <c r="N43" s="48"/>
      <c r="O43" s="45">
        <v>539486</v>
      </c>
      <c r="P43" s="48"/>
      <c r="Q43" s="45">
        <v>0</v>
      </c>
      <c r="R43" s="48"/>
      <c r="S43" s="45">
        <v>1435186</v>
      </c>
      <c r="T43" s="48"/>
      <c r="U43" s="45">
        <v>0</v>
      </c>
      <c r="V43" s="48"/>
      <c r="W43" s="48"/>
      <c r="X43" s="35"/>
      <c r="Z43" s="35"/>
      <c r="AA43" s="35"/>
      <c r="AB43" s="45">
        <v>2734678</v>
      </c>
      <c r="AC43" s="65"/>
      <c r="AD43" s="45">
        <v>282815</v>
      </c>
      <c r="AE43" s="65"/>
      <c r="AF43" s="45">
        <v>9455</v>
      </c>
      <c r="AG43" s="65"/>
      <c r="AH43" s="48">
        <f t="shared" ref="AH43" si="3">SUM(E43:AF43)</f>
        <v>9390102</v>
      </c>
      <c r="AI43" s="48"/>
      <c r="AJ43" s="48">
        <v>0</v>
      </c>
      <c r="AK43" s="48"/>
      <c r="AL43" s="45">
        <v>1801154</v>
      </c>
      <c r="AM43" s="45"/>
      <c r="AN43" s="45">
        <v>3916886</v>
      </c>
      <c r="AO43" s="45"/>
      <c r="AP43" s="45">
        <v>0</v>
      </c>
      <c r="AQ43" s="45"/>
      <c r="AR43" s="45">
        <f>+'GVFund Rev'!U43+'GVFund Rev'!W43-'GVFund Exp'!AH43-'GVFund Exp'!AL43+AJ43+AN43+AP43-'GV Fund BS'!S43</f>
        <v>0</v>
      </c>
      <c r="AS43" s="48"/>
    </row>
    <row r="44" spans="1:45" s="44" customFormat="1" ht="12.75" customHeight="1" x14ac:dyDescent="0.2">
      <c r="A44" s="35" t="s">
        <v>60</v>
      </c>
      <c r="C44" s="35" t="s">
        <v>61</v>
      </c>
      <c r="E44" s="45">
        <v>865230</v>
      </c>
      <c r="F44" s="48"/>
      <c r="G44" s="45">
        <v>2366348</v>
      </c>
      <c r="H44" s="48"/>
      <c r="I44" s="45">
        <v>90954</v>
      </c>
      <c r="J44" s="48"/>
      <c r="K44" s="45">
        <v>113802</v>
      </c>
      <c r="L44" s="48"/>
      <c r="M44" s="45">
        <v>713497</v>
      </c>
      <c r="N44" s="48"/>
      <c r="O44" s="45">
        <v>74117</v>
      </c>
      <c r="P44" s="48"/>
      <c r="Q44" s="45">
        <v>0</v>
      </c>
      <c r="R44" s="48"/>
      <c r="S44" s="45">
        <v>532764</v>
      </c>
      <c r="T44" s="48"/>
      <c r="U44" s="45">
        <v>0</v>
      </c>
      <c r="V44" s="48"/>
      <c r="W44" s="48"/>
      <c r="X44" s="35"/>
      <c r="Z44" s="35"/>
      <c r="AA44" s="35"/>
      <c r="AB44" s="45">
        <v>1174919</v>
      </c>
      <c r="AC44" s="65"/>
      <c r="AD44" s="45">
        <v>49190</v>
      </c>
      <c r="AE44" s="65"/>
      <c r="AF44" s="45">
        <v>0</v>
      </c>
      <c r="AG44" s="65"/>
      <c r="AH44" s="48">
        <f t="shared" si="1"/>
        <v>5980821</v>
      </c>
      <c r="AI44" s="48"/>
      <c r="AJ44" s="48">
        <v>0</v>
      </c>
      <c r="AK44" s="48"/>
      <c r="AL44" s="45">
        <v>377995</v>
      </c>
      <c r="AM44" s="45"/>
      <c r="AN44" s="45">
        <v>4005854</v>
      </c>
      <c r="AO44" s="45"/>
      <c r="AP44" s="45">
        <v>0</v>
      </c>
      <c r="AQ44" s="45"/>
      <c r="AR44" s="45">
        <f>+'GVFund Rev'!U44+'GVFund Rev'!W44-'GVFund Exp'!AH44-'GVFund Exp'!AL44+AJ44+AN44+AP44-'GV Fund BS'!S44</f>
        <v>0</v>
      </c>
      <c r="AS44" s="48"/>
    </row>
    <row r="45" spans="1:45" s="44" customFormat="1" ht="12.75" hidden="1" customHeight="1" x14ac:dyDescent="0.2">
      <c r="A45" s="44" t="s">
        <v>62</v>
      </c>
      <c r="C45" s="35" t="s">
        <v>15</v>
      </c>
      <c r="E45" s="45">
        <v>17472868</v>
      </c>
      <c r="F45" s="48"/>
      <c r="G45" s="45">
        <v>37583710</v>
      </c>
      <c r="H45" s="48"/>
      <c r="I45" s="45">
        <v>8534770</v>
      </c>
      <c r="J45" s="48"/>
      <c r="K45" s="45">
        <v>6201749</v>
      </c>
      <c r="L45" s="48"/>
      <c r="M45" s="45">
        <v>3762830</v>
      </c>
      <c r="N45" s="48"/>
      <c r="O45" s="45">
        <v>1688857</v>
      </c>
      <c r="P45" s="48"/>
      <c r="Q45" s="45">
        <v>0</v>
      </c>
      <c r="R45" s="48"/>
      <c r="S45" s="45">
        <v>12357459</v>
      </c>
      <c r="T45" s="48"/>
      <c r="U45" s="45">
        <v>0</v>
      </c>
      <c r="V45" s="48"/>
      <c r="W45" s="48"/>
      <c r="X45" s="35"/>
      <c r="Z45" s="35"/>
      <c r="AA45" s="35"/>
      <c r="AB45" s="45">
        <v>3659941</v>
      </c>
      <c r="AC45" s="65"/>
      <c r="AD45" s="45">
        <v>791471</v>
      </c>
      <c r="AE45" s="65"/>
      <c r="AF45" s="45">
        <v>0</v>
      </c>
      <c r="AG45" s="65"/>
      <c r="AH45" s="48">
        <f t="shared" si="1"/>
        <v>92053655</v>
      </c>
      <c r="AI45" s="48"/>
      <c r="AJ45" s="48">
        <v>0</v>
      </c>
      <c r="AK45" s="48"/>
      <c r="AL45" s="45">
        <v>44000</v>
      </c>
      <c r="AM45" s="45"/>
      <c r="AN45" s="45">
        <v>25987763</v>
      </c>
      <c r="AO45" s="45"/>
      <c r="AP45" s="45">
        <v>0</v>
      </c>
      <c r="AQ45" s="45"/>
      <c r="AR45" s="45">
        <f>+'GVFund Rev'!U45+'GVFund Rev'!W45-'GVFund Exp'!AH45-'GVFund Exp'!AL45+AJ45+AN45+AP45-'GV Fund BS'!S45</f>
        <v>0</v>
      </c>
      <c r="AS45" s="121" t="s">
        <v>503</v>
      </c>
    </row>
    <row r="46" spans="1:45" s="121" customFormat="1" ht="12.75" hidden="1" customHeight="1" x14ac:dyDescent="0.2">
      <c r="A46" s="126" t="s">
        <v>485</v>
      </c>
      <c r="C46" s="126" t="s">
        <v>111</v>
      </c>
      <c r="E46" s="127"/>
      <c r="F46" s="130"/>
      <c r="G46" s="127"/>
      <c r="H46" s="130"/>
      <c r="I46" s="127"/>
      <c r="J46" s="130"/>
      <c r="K46" s="127"/>
      <c r="L46" s="130"/>
      <c r="M46" s="127"/>
      <c r="N46" s="130"/>
      <c r="O46" s="127"/>
      <c r="P46" s="130"/>
      <c r="Q46" s="127"/>
      <c r="R46" s="130"/>
      <c r="S46" s="127"/>
      <c r="T46" s="130"/>
      <c r="U46" s="127"/>
      <c r="V46" s="130"/>
      <c r="W46" s="130"/>
      <c r="X46" s="126"/>
      <c r="Z46" s="126"/>
      <c r="AA46" s="126"/>
      <c r="AB46" s="127"/>
      <c r="AC46" s="125"/>
      <c r="AD46" s="127"/>
      <c r="AE46" s="125"/>
      <c r="AF46" s="127"/>
      <c r="AG46" s="125"/>
      <c r="AH46" s="130">
        <f t="shared" si="1"/>
        <v>0</v>
      </c>
      <c r="AI46" s="130"/>
      <c r="AJ46" s="130">
        <v>0</v>
      </c>
      <c r="AK46" s="130"/>
      <c r="AL46" s="127"/>
      <c r="AM46" s="127"/>
      <c r="AN46" s="127"/>
      <c r="AO46" s="127"/>
      <c r="AP46" s="127"/>
      <c r="AQ46" s="127"/>
      <c r="AR46" s="127">
        <f>+'GVFund Rev'!U46+'GVFund Rev'!W46-'GVFund Exp'!AH46-'GVFund Exp'!AL46+AJ46+AN46+AP46-'GV Fund BS'!S46</f>
        <v>0</v>
      </c>
      <c r="AS46" s="121" t="s">
        <v>505</v>
      </c>
    </row>
    <row r="47" spans="1:45" s="44" customFormat="1" ht="12.75" customHeight="1" x14ac:dyDescent="0.2">
      <c r="A47" s="35" t="s">
        <v>63</v>
      </c>
      <c r="C47" s="35" t="s">
        <v>64</v>
      </c>
      <c r="E47" s="45">
        <v>1355726</v>
      </c>
      <c r="F47" s="48"/>
      <c r="G47" s="45">
        <v>4386036</v>
      </c>
      <c r="H47" s="48"/>
      <c r="I47" s="45">
        <v>190598</v>
      </c>
      <c r="J47" s="48"/>
      <c r="K47" s="45">
        <v>79768</v>
      </c>
      <c r="L47" s="48"/>
      <c r="M47" s="45">
        <v>1439705</v>
      </c>
      <c r="N47" s="48"/>
      <c r="O47" s="45">
        <v>1221202</v>
      </c>
      <c r="P47" s="48"/>
      <c r="Q47" s="45">
        <v>246633</v>
      </c>
      <c r="R47" s="48"/>
      <c r="S47" s="45">
        <v>0</v>
      </c>
      <c r="T47" s="48"/>
      <c r="U47" s="45">
        <v>212846</v>
      </c>
      <c r="V47" s="48"/>
      <c r="W47" s="48"/>
      <c r="X47" s="35"/>
      <c r="Z47" s="35"/>
      <c r="AA47" s="35"/>
      <c r="AB47" s="45">
        <v>1614047</v>
      </c>
      <c r="AC47" s="65"/>
      <c r="AD47" s="45">
        <v>197579</v>
      </c>
      <c r="AE47" s="65"/>
      <c r="AF47" s="45">
        <v>50000</v>
      </c>
      <c r="AG47" s="65"/>
      <c r="AH47" s="48">
        <f t="shared" si="1"/>
        <v>10994140</v>
      </c>
      <c r="AI47" s="48"/>
      <c r="AJ47" s="48">
        <v>0</v>
      </c>
      <c r="AK47" s="48"/>
      <c r="AL47" s="45">
        <f>1050000+1359875</f>
        <v>2409875</v>
      </c>
      <c r="AM47" s="45"/>
      <c r="AN47" s="45">
        <v>3361481</v>
      </c>
      <c r="AO47" s="45"/>
      <c r="AP47" s="45">
        <v>0</v>
      </c>
      <c r="AQ47" s="45"/>
      <c r="AR47" s="45">
        <f>+'GVFund Rev'!U47+'GVFund Rev'!W47-'GVFund Exp'!AH47-'GVFund Exp'!AL47+AJ47+AN47+AP47-'GV Fund BS'!S47</f>
        <v>0</v>
      </c>
      <c r="AS47" s="48"/>
    </row>
    <row r="48" spans="1:45" s="44" customFormat="1" ht="12.75" customHeight="1" x14ac:dyDescent="0.2">
      <c r="A48" s="35" t="s">
        <v>65</v>
      </c>
      <c r="C48" s="35" t="s">
        <v>66</v>
      </c>
      <c r="E48" s="45">
        <v>4585005</v>
      </c>
      <c r="F48" s="48"/>
      <c r="G48" s="45">
        <v>6417524</v>
      </c>
      <c r="H48" s="48"/>
      <c r="I48" s="45">
        <v>289791</v>
      </c>
      <c r="J48" s="48"/>
      <c r="K48" s="45">
        <v>0</v>
      </c>
      <c r="L48" s="48"/>
      <c r="M48" s="45">
        <v>2248977</v>
      </c>
      <c r="N48" s="48"/>
      <c r="O48" s="45">
        <v>247852</v>
      </c>
      <c r="P48" s="48"/>
      <c r="Q48" s="45">
        <v>0</v>
      </c>
      <c r="R48" s="48"/>
      <c r="S48" s="45">
        <v>1675639</v>
      </c>
      <c r="T48" s="48"/>
      <c r="U48" s="45">
        <v>0</v>
      </c>
      <c r="V48" s="48"/>
      <c r="W48" s="48"/>
      <c r="X48" s="35"/>
      <c r="Z48" s="35"/>
      <c r="AA48" s="35"/>
      <c r="AB48" s="45">
        <v>357579</v>
      </c>
      <c r="AC48" s="65"/>
      <c r="AD48" s="45">
        <v>381753</v>
      </c>
      <c r="AE48" s="65"/>
      <c r="AF48" s="45">
        <v>0</v>
      </c>
      <c r="AG48" s="65"/>
      <c r="AH48" s="48">
        <f t="shared" si="1"/>
        <v>16204120</v>
      </c>
      <c r="AI48" s="48"/>
      <c r="AJ48" s="48">
        <v>0</v>
      </c>
      <c r="AK48" s="48"/>
      <c r="AL48" s="45">
        <v>4829000</v>
      </c>
      <c r="AM48" s="45"/>
      <c r="AN48" s="45">
        <v>16888753</v>
      </c>
      <c r="AO48" s="45"/>
      <c r="AP48" s="45">
        <v>52823</v>
      </c>
      <c r="AQ48" s="45"/>
      <c r="AR48" s="45">
        <f>+'GVFund Rev'!U48+'GVFund Rev'!W48-'GVFund Exp'!AH48-'GVFund Exp'!AL48+AJ48+AN48+AP48-'GV Fund BS'!S48</f>
        <v>0</v>
      </c>
      <c r="AS48" s="48"/>
    </row>
    <row r="49" spans="1:45" s="44" customFormat="1" ht="12.75" customHeight="1" x14ac:dyDescent="0.2">
      <c r="A49" s="35" t="s">
        <v>67</v>
      </c>
      <c r="C49" s="35" t="s">
        <v>375</v>
      </c>
      <c r="E49" s="45">
        <v>3020254</v>
      </c>
      <c r="F49" s="48"/>
      <c r="G49" s="45">
        <v>2642607</v>
      </c>
      <c r="H49" s="48"/>
      <c r="I49" s="45">
        <v>207866</v>
      </c>
      <c r="J49" s="48"/>
      <c r="K49" s="45">
        <v>73483</v>
      </c>
      <c r="L49" s="48"/>
      <c r="M49" s="45">
        <v>1551695</v>
      </c>
      <c r="N49" s="48"/>
      <c r="O49" s="45">
        <v>223529</v>
      </c>
      <c r="P49" s="48"/>
      <c r="Q49" s="45">
        <v>24</v>
      </c>
      <c r="R49" s="48"/>
      <c r="S49" s="45">
        <v>1517755</v>
      </c>
      <c r="T49" s="48"/>
      <c r="U49" s="45">
        <v>0</v>
      </c>
      <c r="V49" s="48"/>
      <c r="W49" s="48"/>
      <c r="X49" s="35"/>
      <c r="Z49" s="35"/>
      <c r="AA49" s="35"/>
      <c r="AB49" s="45">
        <v>241304</v>
      </c>
      <c r="AC49" s="65"/>
      <c r="AD49" s="45">
        <v>34838</v>
      </c>
      <c r="AE49" s="65"/>
      <c r="AF49" s="45">
        <v>0</v>
      </c>
      <c r="AG49" s="65"/>
      <c r="AH49" s="48">
        <f t="shared" si="1"/>
        <v>9513355</v>
      </c>
      <c r="AI49" s="48"/>
      <c r="AJ49" s="48">
        <v>0</v>
      </c>
      <c r="AK49" s="48"/>
      <c r="AL49" s="45">
        <v>1410000</v>
      </c>
      <c r="AM49" s="45"/>
      <c r="AN49" s="45">
        <v>4754185</v>
      </c>
      <c r="AO49" s="45"/>
      <c r="AP49" s="45">
        <v>0</v>
      </c>
      <c r="AQ49" s="45"/>
      <c r="AR49" s="45">
        <f>+'GVFund Rev'!U49+'GVFund Rev'!W49-'GVFund Exp'!AH49-'GVFund Exp'!AL49+AJ49+AN49+AP49-'GV Fund BS'!S49</f>
        <v>0</v>
      </c>
      <c r="AS49" s="48"/>
    </row>
    <row r="50" spans="1:45" s="44" customFormat="1" ht="12.75" customHeight="1" x14ac:dyDescent="0.2">
      <c r="A50" s="35" t="s">
        <v>68</v>
      </c>
      <c r="C50" s="35" t="s">
        <v>45</v>
      </c>
      <c r="E50" s="45">
        <v>1420841</v>
      </c>
      <c r="F50" s="48"/>
      <c r="G50" s="45">
        <v>2251971</v>
      </c>
      <c r="H50" s="48"/>
      <c r="I50" s="45">
        <v>153438</v>
      </c>
      <c r="J50" s="48"/>
      <c r="K50" s="45">
        <v>21359</v>
      </c>
      <c r="L50" s="48"/>
      <c r="M50" s="45">
        <v>485420</v>
      </c>
      <c r="N50" s="48"/>
      <c r="O50" s="45">
        <v>94342</v>
      </c>
      <c r="P50" s="48"/>
      <c r="Q50" s="45">
        <v>363517</v>
      </c>
      <c r="R50" s="48"/>
      <c r="S50" s="45">
        <v>263290</v>
      </c>
      <c r="T50" s="48"/>
      <c r="U50" s="45">
        <v>0</v>
      </c>
      <c r="V50" s="48"/>
      <c r="W50" s="48"/>
      <c r="X50" s="35"/>
      <c r="Z50" s="35"/>
      <c r="AA50" s="35"/>
      <c r="AB50" s="45">
        <v>44004</v>
      </c>
      <c r="AC50" s="65"/>
      <c r="AD50" s="45">
        <v>1636</v>
      </c>
      <c r="AE50" s="65"/>
      <c r="AF50" s="45">
        <v>0</v>
      </c>
      <c r="AG50" s="65"/>
      <c r="AH50" s="48">
        <f t="shared" si="1"/>
        <v>5099818</v>
      </c>
      <c r="AI50" s="48"/>
      <c r="AJ50" s="48">
        <v>0</v>
      </c>
      <c r="AK50" s="48"/>
      <c r="AL50" s="45">
        <v>55654</v>
      </c>
      <c r="AM50" s="45"/>
      <c r="AN50" s="45">
        <v>1365666</v>
      </c>
      <c r="AO50" s="45"/>
      <c r="AP50" s="45">
        <v>5593</v>
      </c>
      <c r="AQ50" s="45"/>
      <c r="AR50" s="45">
        <f>+'GVFund Rev'!U50+'GVFund Rev'!W50-'GVFund Exp'!AH50-'GVFund Exp'!AL50+AJ50+AN50+AP50-'GV Fund BS'!S50</f>
        <v>0</v>
      </c>
      <c r="AS50" s="48"/>
    </row>
    <row r="51" spans="1:45" s="44" customFormat="1" ht="12.75" customHeight="1" x14ac:dyDescent="0.2">
      <c r="A51" s="35" t="s">
        <v>69</v>
      </c>
      <c r="C51" s="35" t="s">
        <v>70</v>
      </c>
      <c r="E51" s="45">
        <v>5604348</v>
      </c>
      <c r="F51" s="48"/>
      <c r="G51" s="45">
        <f>5332157+5091470</f>
        <v>10423627</v>
      </c>
      <c r="H51" s="48"/>
      <c r="I51" s="45">
        <v>1163349</v>
      </c>
      <c r="J51" s="48"/>
      <c r="K51" s="45">
        <v>0</v>
      </c>
      <c r="L51" s="48"/>
      <c r="M51" s="45">
        <v>4838279</v>
      </c>
      <c r="N51" s="48"/>
      <c r="O51" s="45">
        <v>746962</v>
      </c>
      <c r="P51" s="48"/>
      <c r="Q51" s="45">
        <v>685053</v>
      </c>
      <c r="R51" s="48"/>
      <c r="S51" s="45">
        <v>576632</v>
      </c>
      <c r="T51" s="48"/>
      <c r="U51" s="45">
        <v>0</v>
      </c>
      <c r="V51" s="48"/>
      <c r="W51" s="48"/>
      <c r="X51" s="35"/>
      <c r="Z51" s="35"/>
      <c r="AA51" s="35"/>
      <c r="AB51" s="45">
        <v>264081</v>
      </c>
      <c r="AC51" s="65"/>
      <c r="AD51" s="45">
        <v>118684</v>
      </c>
      <c r="AE51" s="65"/>
      <c r="AF51" s="45">
        <v>0</v>
      </c>
      <c r="AG51" s="65"/>
      <c r="AH51" s="48">
        <f t="shared" si="1"/>
        <v>24421015</v>
      </c>
      <c r="AI51" s="48"/>
      <c r="AJ51" s="48">
        <v>0</v>
      </c>
      <c r="AK51" s="48"/>
      <c r="AL51" s="45">
        <v>2518034</v>
      </c>
      <c r="AM51" s="45"/>
      <c r="AN51" s="45">
        <v>994548</v>
      </c>
      <c r="AO51" s="45"/>
      <c r="AP51" s="45">
        <v>0</v>
      </c>
      <c r="AQ51" s="45"/>
      <c r="AR51" s="45">
        <f>+'GVFund Rev'!U51+'GVFund Rev'!W51-'GVFund Exp'!AH51-'GVFund Exp'!AL51+AJ51+AN51+AP51-'GV Fund BS'!S51</f>
        <v>0</v>
      </c>
      <c r="AS51" s="48"/>
    </row>
    <row r="52" spans="1:45" s="44" customFormat="1" ht="12.75" customHeight="1" x14ac:dyDescent="0.2">
      <c r="A52" s="35" t="s">
        <v>71</v>
      </c>
      <c r="C52" s="35" t="s">
        <v>45</v>
      </c>
      <c r="E52" s="45">
        <v>65260000</v>
      </c>
      <c r="F52" s="48"/>
      <c r="G52" s="45">
        <v>177432000</v>
      </c>
      <c r="H52" s="48"/>
      <c r="I52" s="45">
        <v>8386000</v>
      </c>
      <c r="J52" s="48"/>
      <c r="K52" s="45">
        <v>30203000</v>
      </c>
      <c r="L52" s="48"/>
      <c r="M52" s="45">
        <v>6241000</v>
      </c>
      <c r="N52" s="48"/>
      <c r="O52" s="45">
        <v>26048000</v>
      </c>
      <c r="P52" s="48"/>
      <c r="Q52" s="45">
        <f>41746000+28887000+94932000</f>
        <v>165565000</v>
      </c>
      <c r="R52" s="48"/>
      <c r="S52" s="45">
        <v>144866000</v>
      </c>
      <c r="T52" s="48"/>
      <c r="U52" s="45">
        <v>0</v>
      </c>
      <c r="V52" s="48"/>
      <c r="W52" s="48"/>
      <c r="X52" s="35"/>
      <c r="Z52" s="35"/>
      <c r="AA52" s="35"/>
      <c r="AB52" s="45">
        <v>40869000</v>
      </c>
      <c r="AC52" s="65"/>
      <c r="AD52" s="45">
        <v>22670000</v>
      </c>
      <c r="AE52" s="65"/>
      <c r="AF52" s="45">
        <v>572000</v>
      </c>
      <c r="AG52" s="65"/>
      <c r="AH52" s="48">
        <f t="shared" si="1"/>
        <v>688112000</v>
      </c>
      <c r="AI52" s="48"/>
      <c r="AJ52" s="48">
        <v>0</v>
      </c>
      <c r="AK52" s="48"/>
      <c r="AL52" s="45">
        <f>20683000+180000+74642000</f>
        <v>95505000</v>
      </c>
      <c r="AM52" s="45"/>
      <c r="AN52" s="45">
        <v>391734000</v>
      </c>
      <c r="AO52" s="45"/>
      <c r="AP52" s="45">
        <v>0</v>
      </c>
      <c r="AQ52" s="45"/>
      <c r="AR52" s="45">
        <f>+'GVFund Rev'!U52+'GVFund Rev'!W52-'GVFund Exp'!AH52-'GVFund Exp'!AL52+AJ52+AN52+AP52-'GV Fund BS'!S52</f>
        <v>0</v>
      </c>
      <c r="AS52" s="48"/>
    </row>
    <row r="53" spans="1:45" s="44" customFormat="1" ht="12.75" customHeight="1" x14ac:dyDescent="0.2">
      <c r="A53" s="44" t="s">
        <v>463</v>
      </c>
      <c r="C53" s="44" t="s">
        <v>464</v>
      </c>
      <c r="E53" s="45">
        <v>2560793</v>
      </c>
      <c r="F53" s="48"/>
      <c r="G53" s="45">
        <f>2510275+1625353+209143</f>
        <v>4344771</v>
      </c>
      <c r="H53" s="48"/>
      <c r="I53" s="45">
        <f>6983+515001</f>
        <v>521984</v>
      </c>
      <c r="J53" s="48"/>
      <c r="K53" s="45">
        <v>309164</v>
      </c>
      <c r="L53" s="48"/>
      <c r="M53" s="45">
        <v>1127234</v>
      </c>
      <c r="N53" s="48"/>
      <c r="O53" s="45">
        <f>96569+23840+25247</f>
        <v>145656</v>
      </c>
      <c r="P53" s="48"/>
      <c r="Q53" s="45">
        <v>817</v>
      </c>
      <c r="R53" s="48"/>
      <c r="S53" s="45">
        <v>1020139</v>
      </c>
      <c r="T53" s="48"/>
      <c r="U53" s="45">
        <v>0</v>
      </c>
      <c r="V53" s="48"/>
      <c r="W53" s="48"/>
      <c r="X53" s="35"/>
      <c r="Z53" s="35"/>
      <c r="AA53" s="35"/>
      <c r="AB53" s="45">
        <v>378208</v>
      </c>
      <c r="AC53" s="65"/>
      <c r="AD53" s="45">
        <v>150309</v>
      </c>
      <c r="AE53" s="65"/>
      <c r="AF53" s="45">
        <v>60335</v>
      </c>
      <c r="AG53" s="65"/>
      <c r="AH53" s="48">
        <f t="shared" si="1"/>
        <v>10619410</v>
      </c>
      <c r="AI53" s="48"/>
      <c r="AJ53" s="48">
        <v>0</v>
      </c>
      <c r="AK53" s="48"/>
      <c r="AL53" s="45">
        <f>2470218+550000</f>
        <v>3020218</v>
      </c>
      <c r="AM53" s="45"/>
      <c r="AN53" s="45">
        <v>4831261</v>
      </c>
      <c r="AO53" s="45"/>
      <c r="AP53" s="45">
        <v>0</v>
      </c>
      <c r="AQ53" s="45"/>
      <c r="AR53" s="45">
        <f>+'GVFund Rev'!U53+'GVFund Rev'!W53-'GVFund Exp'!AH53-'GVFund Exp'!AL53+AJ53+AN53+AP53-'GV Fund BS'!S53</f>
        <v>0</v>
      </c>
      <c r="AS53" s="48"/>
    </row>
    <row r="54" spans="1:45" s="44" customFormat="1" ht="12.75" customHeight="1" x14ac:dyDescent="0.2">
      <c r="A54" s="35" t="s">
        <v>72</v>
      </c>
      <c r="C54" s="35" t="s">
        <v>66</v>
      </c>
      <c r="E54" s="45">
        <v>1983546</v>
      </c>
      <c r="F54" s="48"/>
      <c r="G54" s="45">
        <v>3139635</v>
      </c>
      <c r="H54" s="48"/>
      <c r="I54" s="45">
        <v>7935</v>
      </c>
      <c r="J54" s="48"/>
      <c r="K54" s="45">
        <v>4576</v>
      </c>
      <c r="L54" s="48"/>
      <c r="M54" s="45">
        <v>1020519</v>
      </c>
      <c r="N54" s="48"/>
      <c r="O54" s="45">
        <v>0</v>
      </c>
      <c r="P54" s="48"/>
      <c r="Q54" s="45">
        <v>0</v>
      </c>
      <c r="R54" s="48"/>
      <c r="S54" s="45">
        <v>3549111</v>
      </c>
      <c r="T54" s="48"/>
      <c r="U54" s="45">
        <v>0</v>
      </c>
      <c r="V54" s="48"/>
      <c r="W54" s="48"/>
      <c r="X54" s="35"/>
      <c r="Z54" s="35"/>
      <c r="AA54" s="35"/>
      <c r="AB54" s="45">
        <v>273999</v>
      </c>
      <c r="AC54" s="65"/>
      <c r="AD54" s="45">
        <v>216766</v>
      </c>
      <c r="AE54" s="65"/>
      <c r="AF54" s="45">
        <v>76506</v>
      </c>
      <c r="AG54" s="65"/>
      <c r="AH54" s="48">
        <f t="shared" si="1"/>
        <v>10272593</v>
      </c>
      <c r="AI54" s="48"/>
      <c r="AJ54" s="48">
        <v>0</v>
      </c>
      <c r="AK54" s="48"/>
      <c r="AL54" s="45">
        <v>697408</v>
      </c>
      <c r="AM54" s="45"/>
      <c r="AN54" s="45">
        <v>3006022</v>
      </c>
      <c r="AO54" s="45"/>
      <c r="AP54" s="45">
        <v>0</v>
      </c>
      <c r="AQ54" s="45"/>
      <c r="AR54" s="45">
        <f>+'GVFund Rev'!U54+'GVFund Rev'!W54-'GVFund Exp'!AH54-'GVFund Exp'!AL54+AJ54+AN54+AP54-'GV Fund BS'!S54</f>
        <v>0</v>
      </c>
      <c r="AS54" s="48"/>
    </row>
    <row r="55" spans="1:45" s="44" customFormat="1" ht="12.75" customHeight="1" x14ac:dyDescent="0.2">
      <c r="A55" s="35" t="s">
        <v>342</v>
      </c>
      <c r="C55" s="35" t="s">
        <v>27</v>
      </c>
      <c r="E55" s="45">
        <v>77792000</v>
      </c>
      <c r="F55" s="48"/>
      <c r="G55" s="45">
        <v>302009000</v>
      </c>
      <c r="H55" s="48"/>
      <c r="I55" s="45">
        <f>19348000+14031000+73682000</f>
        <v>107061000</v>
      </c>
      <c r="J55" s="48"/>
      <c r="K55" s="45">
        <v>19160000</v>
      </c>
      <c r="L55" s="48"/>
      <c r="M55" s="45">
        <v>0</v>
      </c>
      <c r="N55" s="48"/>
      <c r="O55" s="45">
        <v>38661000</v>
      </c>
      <c r="P55" s="48"/>
      <c r="Q55" s="45">
        <f>53265000+11171000</f>
        <v>64436000</v>
      </c>
      <c r="R55" s="48"/>
      <c r="S55" s="45">
        <v>66575000</v>
      </c>
      <c r="T55" s="48"/>
      <c r="U55" s="45">
        <v>0</v>
      </c>
      <c r="V55" s="48"/>
      <c r="W55" s="48"/>
      <c r="X55" s="35"/>
      <c r="Z55" s="35"/>
      <c r="AA55" s="35"/>
      <c r="AB55" s="45">
        <v>47481000</v>
      </c>
      <c r="AC55" s="65"/>
      <c r="AD55" s="45">
        <v>30628000</v>
      </c>
      <c r="AE55" s="65"/>
      <c r="AF55" s="45">
        <f>438000+315000+4566000</f>
        <v>5319000</v>
      </c>
      <c r="AG55" s="65"/>
      <c r="AH55" s="48">
        <f t="shared" si="1"/>
        <v>759122000</v>
      </c>
      <c r="AI55" s="48"/>
      <c r="AJ55" s="48">
        <v>0</v>
      </c>
      <c r="AK55" s="48"/>
      <c r="AL55" s="45">
        <f>71514000+217000</f>
        <v>71731000</v>
      </c>
      <c r="AM55" s="45"/>
      <c r="AN55" s="45">
        <v>372422000</v>
      </c>
      <c r="AO55" s="45"/>
      <c r="AP55" s="45">
        <v>0</v>
      </c>
      <c r="AQ55" s="45"/>
      <c r="AR55" s="45">
        <f>+'GVFund Rev'!U55+'GVFund Rev'!W55-'GVFund Exp'!AH55-'GVFund Exp'!AL55+AJ55+AN55+AP55-'GV Fund BS'!S55</f>
        <v>0</v>
      </c>
      <c r="AS55" s="48"/>
    </row>
    <row r="56" spans="1:45" s="44" customFormat="1" ht="12.75" customHeight="1" x14ac:dyDescent="0.2">
      <c r="A56" s="35" t="s">
        <v>74</v>
      </c>
      <c r="C56" s="35" t="s">
        <v>27</v>
      </c>
      <c r="E56" s="45">
        <v>14645346</v>
      </c>
      <c r="F56" s="48"/>
      <c r="G56" s="45">
        <v>19736539</v>
      </c>
      <c r="H56" s="48"/>
      <c r="I56" s="45">
        <v>5944549</v>
      </c>
      <c r="J56" s="48"/>
      <c r="K56" s="45">
        <v>385716</v>
      </c>
      <c r="L56" s="48"/>
      <c r="M56" s="45">
        <v>5057282</v>
      </c>
      <c r="N56" s="48"/>
      <c r="O56" s="45">
        <v>2477521</v>
      </c>
      <c r="P56" s="48"/>
      <c r="Q56" s="45">
        <v>2248499</v>
      </c>
      <c r="R56" s="48"/>
      <c r="S56" s="45">
        <v>1276062</v>
      </c>
      <c r="T56" s="48"/>
      <c r="U56" s="45">
        <v>0</v>
      </c>
      <c r="V56" s="48"/>
      <c r="W56" s="48"/>
      <c r="X56" s="35"/>
      <c r="Z56" s="35"/>
      <c r="AA56" s="35"/>
      <c r="AB56" s="45">
        <v>4318896</v>
      </c>
      <c r="AC56" s="65"/>
      <c r="AD56" s="45">
        <v>832804</v>
      </c>
      <c r="AE56" s="65"/>
      <c r="AF56" s="45">
        <v>0</v>
      </c>
      <c r="AG56" s="65"/>
      <c r="AH56" s="48">
        <f t="shared" si="1"/>
        <v>56923214</v>
      </c>
      <c r="AI56" s="48"/>
      <c r="AJ56" s="48">
        <v>0</v>
      </c>
      <c r="AK56" s="48"/>
      <c r="AL56" s="45">
        <v>2794322</v>
      </c>
      <c r="AM56" s="45"/>
      <c r="AN56" s="45">
        <v>19372159</v>
      </c>
      <c r="AO56" s="45"/>
      <c r="AP56" s="45">
        <v>0</v>
      </c>
      <c r="AQ56" s="45"/>
      <c r="AR56" s="45">
        <f>+'GVFund Rev'!U56+'GVFund Rev'!W56-'GVFund Exp'!AH56-'GVFund Exp'!AL56+AJ56+AN56+AP56-'GV Fund BS'!S56</f>
        <v>0</v>
      </c>
      <c r="AS56" s="48"/>
    </row>
    <row r="57" spans="1:45" s="46" customFormat="1" ht="12.75" customHeight="1" x14ac:dyDescent="0.2">
      <c r="A57" s="35" t="s">
        <v>75</v>
      </c>
      <c r="B57" s="44"/>
      <c r="C57" s="35" t="s">
        <v>76</v>
      </c>
      <c r="D57" s="44"/>
      <c r="E57" s="45">
        <v>966702</v>
      </c>
      <c r="F57" s="48"/>
      <c r="G57" s="45">
        <v>1868675</v>
      </c>
      <c r="H57" s="48"/>
      <c r="I57" s="45">
        <v>427619</v>
      </c>
      <c r="J57" s="48"/>
      <c r="K57" s="45">
        <v>548634</v>
      </c>
      <c r="L57" s="48"/>
      <c r="M57" s="45">
        <v>323472</v>
      </c>
      <c r="N57" s="48"/>
      <c r="O57" s="45">
        <v>214767</v>
      </c>
      <c r="P57" s="48"/>
      <c r="Q57" s="45">
        <v>0</v>
      </c>
      <c r="R57" s="48"/>
      <c r="S57" s="45">
        <v>481439</v>
      </c>
      <c r="T57" s="48"/>
      <c r="U57" s="45">
        <v>0</v>
      </c>
      <c r="V57" s="48"/>
      <c r="W57" s="48"/>
      <c r="X57" s="35"/>
      <c r="Y57" s="44"/>
      <c r="Z57" s="35"/>
      <c r="AA57" s="35"/>
      <c r="AB57" s="45">
        <v>2209734</v>
      </c>
      <c r="AC57" s="65"/>
      <c r="AD57" s="45">
        <v>188421</v>
      </c>
      <c r="AE57" s="65"/>
      <c r="AF57" s="45">
        <v>0</v>
      </c>
      <c r="AG57" s="65"/>
      <c r="AH57" s="48">
        <f t="shared" si="1"/>
        <v>7229463</v>
      </c>
      <c r="AI57" s="48"/>
      <c r="AJ57" s="48">
        <v>0</v>
      </c>
      <c r="AK57" s="48"/>
      <c r="AL57" s="45">
        <v>581788</v>
      </c>
      <c r="AM57" s="45"/>
      <c r="AN57" s="45">
        <v>2316112</v>
      </c>
      <c r="AO57" s="45"/>
      <c r="AP57" s="45">
        <v>0</v>
      </c>
      <c r="AQ57" s="45"/>
      <c r="AR57" s="45">
        <f>+'GVFund Rev'!U57+'GVFund Rev'!W57-'GVFund Exp'!AH57-'GVFund Exp'!AL57+AJ57+AN57+AP57-'GV Fund BS'!S57</f>
        <v>0</v>
      </c>
      <c r="AS57" s="48"/>
    </row>
    <row r="58" spans="1:45" s="44" customFormat="1" ht="12.75" hidden="1" customHeight="1" x14ac:dyDescent="0.2">
      <c r="A58" s="35" t="s">
        <v>77</v>
      </c>
      <c r="C58" s="35" t="s">
        <v>43</v>
      </c>
      <c r="E58" s="45">
        <v>123095000</v>
      </c>
      <c r="F58" s="48"/>
      <c r="G58" s="45">
        <v>506803000</v>
      </c>
      <c r="H58" s="48"/>
      <c r="I58" s="45">
        <v>111186000</v>
      </c>
      <c r="J58" s="48"/>
      <c r="K58" s="45">
        <v>42762000</v>
      </c>
      <c r="L58" s="48"/>
      <c r="M58" s="45">
        <v>0</v>
      </c>
      <c r="N58" s="48"/>
      <c r="O58" s="45">
        <v>123872000</v>
      </c>
      <c r="P58" s="48"/>
      <c r="Q58" s="45">
        <v>99084000</v>
      </c>
      <c r="R58" s="48"/>
      <c r="S58" s="45">
        <v>174175000</v>
      </c>
      <c r="T58" s="48"/>
      <c r="U58" s="45">
        <v>0</v>
      </c>
      <c r="V58" s="48"/>
      <c r="W58" s="48"/>
      <c r="X58" s="35"/>
      <c r="Z58" s="35"/>
      <c r="AA58" s="35"/>
      <c r="AB58" s="45">
        <v>86258000</v>
      </c>
      <c r="AC58" s="65"/>
      <c r="AD58" s="45">
        <v>41557000</v>
      </c>
      <c r="AE58" s="65"/>
      <c r="AF58" s="45">
        <v>0</v>
      </c>
      <c r="AG58" s="65"/>
      <c r="AH58" s="48">
        <f t="shared" si="1"/>
        <v>1308792000</v>
      </c>
      <c r="AI58" s="48"/>
      <c r="AJ58" s="48">
        <v>0</v>
      </c>
      <c r="AK58" s="48"/>
      <c r="AL58" s="45">
        <f>57948000+91045000</f>
        <v>148993000</v>
      </c>
      <c r="AM58" s="45"/>
      <c r="AN58" s="45">
        <v>501318000</v>
      </c>
      <c r="AO58" s="45"/>
      <c r="AP58" s="45">
        <v>0</v>
      </c>
      <c r="AQ58" s="45"/>
      <c r="AR58" s="45">
        <f>+'GVFund Rev'!U58+'GVFund Rev'!W58-'GVFund Exp'!AH58-'GVFund Exp'!AL58+AJ58+AN58+AP58-'GV Fund BS'!S58</f>
        <v>0</v>
      </c>
      <c r="AS58" s="48"/>
    </row>
    <row r="59" spans="1:45" s="44" customFormat="1" ht="12.75" customHeight="1" x14ac:dyDescent="0.2">
      <c r="A59" s="35" t="s">
        <v>94</v>
      </c>
      <c r="C59" s="35" t="s">
        <v>94</v>
      </c>
      <c r="E59" s="45">
        <v>328074</v>
      </c>
      <c r="F59" s="48"/>
      <c r="G59" s="45">
        <v>1329690</v>
      </c>
      <c r="H59" s="48"/>
      <c r="I59" s="45">
        <v>0</v>
      </c>
      <c r="J59" s="48"/>
      <c r="K59" s="45">
        <v>170927</v>
      </c>
      <c r="L59" s="48"/>
      <c r="M59" s="45">
        <v>365917</v>
      </c>
      <c r="N59" s="48"/>
      <c r="O59" s="45">
        <v>312291</v>
      </c>
      <c r="P59" s="48"/>
      <c r="Q59" s="45">
        <v>0</v>
      </c>
      <c r="R59" s="48"/>
      <c r="S59" s="45">
        <v>835460</v>
      </c>
      <c r="T59" s="48"/>
      <c r="U59" s="45">
        <v>0</v>
      </c>
      <c r="V59" s="48"/>
      <c r="W59" s="48"/>
      <c r="X59" s="35"/>
      <c r="Z59" s="35"/>
      <c r="AA59" s="35"/>
      <c r="AB59" s="45">
        <v>0</v>
      </c>
      <c r="AC59" s="65"/>
      <c r="AD59" s="45">
        <v>0</v>
      </c>
      <c r="AE59" s="65"/>
      <c r="AF59" s="45">
        <v>0</v>
      </c>
      <c r="AG59" s="65"/>
      <c r="AH59" s="48">
        <f t="shared" si="1"/>
        <v>3342359</v>
      </c>
      <c r="AI59" s="48"/>
      <c r="AJ59" s="48">
        <v>0</v>
      </c>
      <c r="AK59" s="48"/>
      <c r="AL59" s="45">
        <v>995000</v>
      </c>
      <c r="AM59" s="45"/>
      <c r="AN59" s="45">
        <v>2085341</v>
      </c>
      <c r="AO59" s="45"/>
      <c r="AP59" s="45">
        <v>2835</v>
      </c>
      <c r="AQ59" s="45"/>
      <c r="AR59" s="45">
        <f>+'GVFund Rev'!U59+'GVFund Rev'!W59-'GVFund Exp'!AH59-'GVFund Exp'!AL59+AJ59+AN59+AP59-'GV Fund BS'!S59</f>
        <v>0</v>
      </c>
      <c r="AS59" s="48"/>
    </row>
    <row r="60" spans="1:45" s="44" customFormat="1" ht="12.75" customHeight="1" x14ac:dyDescent="0.2">
      <c r="A60" s="35" t="s">
        <v>78</v>
      </c>
      <c r="C60" s="35" t="s">
        <v>19</v>
      </c>
      <c r="E60" s="45">
        <v>1338190</v>
      </c>
      <c r="F60" s="48"/>
      <c r="G60" s="45">
        <v>2847980</v>
      </c>
      <c r="H60" s="48"/>
      <c r="I60" s="45">
        <v>505419</v>
      </c>
      <c r="J60" s="48"/>
      <c r="K60" s="45">
        <v>223038</v>
      </c>
      <c r="L60" s="48"/>
      <c r="M60" s="45">
        <v>1164565</v>
      </c>
      <c r="N60" s="48"/>
      <c r="O60" s="45">
        <v>112259</v>
      </c>
      <c r="P60" s="48"/>
      <c r="Q60" s="45">
        <v>155121</v>
      </c>
      <c r="R60" s="48"/>
      <c r="S60" s="45">
        <v>1565704</v>
      </c>
      <c r="T60" s="48"/>
      <c r="U60" s="45">
        <v>0</v>
      </c>
      <c r="V60" s="48"/>
      <c r="W60" s="48"/>
      <c r="X60" s="35"/>
      <c r="Z60" s="35"/>
      <c r="AA60" s="35"/>
      <c r="AB60" s="45">
        <f>1283255+26000</f>
        <v>1309255</v>
      </c>
      <c r="AC60" s="65"/>
      <c r="AD60" s="45">
        <v>117198</v>
      </c>
      <c r="AE60" s="65"/>
      <c r="AF60" s="45">
        <v>8400</v>
      </c>
      <c r="AG60" s="65"/>
      <c r="AH60" s="48">
        <f t="shared" si="1"/>
        <v>9347129</v>
      </c>
      <c r="AI60" s="48"/>
      <c r="AJ60" s="48">
        <v>0</v>
      </c>
      <c r="AK60" s="48"/>
      <c r="AL60" s="45">
        <f>99000+36250</f>
        <v>135250</v>
      </c>
      <c r="AM60" s="45"/>
      <c r="AN60" s="45">
        <v>2586569</v>
      </c>
      <c r="AO60" s="45"/>
      <c r="AP60" s="45">
        <v>0</v>
      </c>
      <c r="AQ60" s="45"/>
      <c r="AR60" s="45">
        <f>+'GVFund Rev'!U60+'GVFund Rev'!W60-'GVFund Exp'!AH60-'GVFund Exp'!AL60+AJ60+AN60+AP60-'GV Fund BS'!S60</f>
        <v>0</v>
      </c>
      <c r="AS60" s="48"/>
    </row>
    <row r="61" spans="1:45" s="44" customFormat="1" ht="12.75" customHeight="1" x14ac:dyDescent="0.2">
      <c r="A61" s="35" t="s">
        <v>79</v>
      </c>
      <c r="C61" s="35" t="s">
        <v>80</v>
      </c>
      <c r="E61" s="45">
        <v>750009</v>
      </c>
      <c r="F61" s="48"/>
      <c r="G61" s="45">
        <v>2341311</v>
      </c>
      <c r="H61" s="48"/>
      <c r="I61" s="45">
        <v>41816</v>
      </c>
      <c r="J61" s="48"/>
      <c r="K61" s="45">
        <v>30</v>
      </c>
      <c r="L61" s="48"/>
      <c r="M61" s="45">
        <v>670557</v>
      </c>
      <c r="N61" s="48"/>
      <c r="O61" s="45">
        <v>62738</v>
      </c>
      <c r="P61" s="48"/>
      <c r="Q61" s="45">
        <v>223286</v>
      </c>
      <c r="R61" s="48"/>
      <c r="S61" s="45">
        <v>0</v>
      </c>
      <c r="T61" s="48"/>
      <c r="U61" s="45">
        <v>0</v>
      </c>
      <c r="V61" s="48"/>
      <c r="W61" s="48"/>
      <c r="X61" s="35"/>
      <c r="Z61" s="35"/>
      <c r="AA61" s="35"/>
      <c r="AB61" s="45">
        <v>0</v>
      </c>
      <c r="AC61" s="65"/>
      <c r="AD61" s="45">
        <v>0</v>
      </c>
      <c r="AE61" s="65"/>
      <c r="AF61" s="45">
        <v>0</v>
      </c>
      <c r="AG61" s="65"/>
      <c r="AH61" s="48">
        <f t="shared" si="1"/>
        <v>4089747</v>
      </c>
      <c r="AI61" s="48"/>
      <c r="AJ61" s="48">
        <v>0</v>
      </c>
      <c r="AK61" s="48"/>
      <c r="AL61" s="45">
        <v>249272</v>
      </c>
      <c r="AM61" s="45"/>
      <c r="AN61" s="45">
        <v>1789886</v>
      </c>
      <c r="AO61" s="45"/>
      <c r="AP61" s="45">
        <v>0</v>
      </c>
      <c r="AQ61" s="45"/>
      <c r="AR61" s="45">
        <f>+'GVFund Rev'!U61+'GVFund Rev'!W61-'GVFund Exp'!AH61-'GVFund Exp'!AL61+AJ61+AN61+AP61-'GV Fund BS'!S62</f>
        <v>0</v>
      </c>
      <c r="AS61" s="48"/>
    </row>
    <row r="62" spans="1:45" s="44" customFormat="1" ht="12.75" customHeight="1" x14ac:dyDescent="0.2">
      <c r="A62" s="35" t="s">
        <v>81</v>
      </c>
      <c r="C62" s="35" t="s">
        <v>81</v>
      </c>
      <c r="E62" s="45">
        <v>1833095</v>
      </c>
      <c r="F62" s="48"/>
      <c r="G62" s="45">
        <v>2909234</v>
      </c>
      <c r="H62" s="48"/>
      <c r="I62" s="45">
        <f>15405+659425</f>
        <v>674830</v>
      </c>
      <c r="J62" s="48"/>
      <c r="K62" s="45">
        <v>1162093</v>
      </c>
      <c r="L62" s="48"/>
      <c r="M62" s="45">
        <v>991361</v>
      </c>
      <c r="N62" s="48"/>
      <c r="O62" s="45">
        <v>193737</v>
      </c>
      <c r="P62" s="48"/>
      <c r="Q62" s="45">
        <v>0</v>
      </c>
      <c r="R62" s="48"/>
      <c r="S62" s="45">
        <v>200331</v>
      </c>
      <c r="T62" s="48"/>
      <c r="U62" s="45">
        <v>0</v>
      </c>
      <c r="V62" s="48"/>
      <c r="W62" s="48"/>
      <c r="X62" s="35"/>
      <c r="Z62" s="35"/>
      <c r="AA62" s="35"/>
      <c r="AB62" s="45">
        <v>12216</v>
      </c>
      <c r="AC62" s="65"/>
      <c r="AD62" s="45">
        <v>0</v>
      </c>
      <c r="AE62" s="65"/>
      <c r="AF62" s="45">
        <v>0</v>
      </c>
      <c r="AG62" s="65"/>
      <c r="AH62" s="48">
        <f t="shared" si="1"/>
        <v>7976897</v>
      </c>
      <c r="AI62" s="48"/>
      <c r="AJ62" s="48">
        <v>0</v>
      </c>
      <c r="AK62" s="48"/>
      <c r="AL62" s="45">
        <v>0</v>
      </c>
      <c r="AM62" s="45"/>
      <c r="AN62" s="45">
        <v>2421156</v>
      </c>
      <c r="AO62" s="45"/>
      <c r="AP62" s="45">
        <v>0</v>
      </c>
      <c r="AQ62" s="45"/>
      <c r="AR62" s="45">
        <f>+'GVFund Rev'!U63+'GVFund Rev'!W63-'GVFund Exp'!AH62-'GVFund Exp'!AL62+AJ62+AN62+AP62-'GV Fund BS'!S63</f>
        <v>0</v>
      </c>
      <c r="AS62" s="48"/>
    </row>
    <row r="63" spans="1:45" s="121" customFormat="1" ht="12.75" hidden="1" customHeight="1" x14ac:dyDescent="0.2">
      <c r="A63" s="122" t="s">
        <v>465</v>
      </c>
      <c r="B63" s="122"/>
      <c r="C63" s="122" t="s">
        <v>57</v>
      </c>
      <c r="E63" s="127"/>
      <c r="F63" s="130"/>
      <c r="G63" s="127"/>
      <c r="H63" s="130"/>
      <c r="I63" s="127"/>
      <c r="J63" s="130"/>
      <c r="K63" s="127"/>
      <c r="L63" s="130"/>
      <c r="M63" s="127"/>
      <c r="N63" s="130"/>
      <c r="O63" s="127"/>
      <c r="P63" s="130"/>
      <c r="Q63" s="127"/>
      <c r="R63" s="130"/>
      <c r="S63" s="127"/>
      <c r="T63" s="130"/>
      <c r="U63" s="127"/>
      <c r="V63" s="130"/>
      <c r="W63" s="130"/>
      <c r="X63" s="126"/>
      <c r="Z63" s="126"/>
      <c r="AA63" s="126"/>
      <c r="AB63" s="127"/>
      <c r="AC63" s="125"/>
      <c r="AD63" s="127"/>
      <c r="AE63" s="125"/>
      <c r="AF63" s="127"/>
      <c r="AG63" s="125"/>
      <c r="AH63" s="130">
        <f t="shared" si="1"/>
        <v>0</v>
      </c>
      <c r="AI63" s="130"/>
      <c r="AJ63" s="130">
        <v>0</v>
      </c>
      <c r="AK63" s="130"/>
      <c r="AL63" s="127"/>
      <c r="AM63" s="127"/>
      <c r="AN63" s="127"/>
      <c r="AO63" s="127"/>
      <c r="AP63" s="127"/>
      <c r="AQ63" s="127"/>
      <c r="AR63" s="127">
        <f>+'GVFund Rev'!U64+'GVFund Rev'!W64-'GVFund Exp'!AH63-'GVFund Exp'!AL63+AJ63+AN63+AP63-'GV Fund BS'!S64</f>
        <v>0</v>
      </c>
      <c r="AS63" s="130"/>
    </row>
    <row r="64" spans="1:45" s="46" customFormat="1" ht="12.75" customHeight="1" x14ac:dyDescent="0.2">
      <c r="A64" s="35" t="s">
        <v>82</v>
      </c>
      <c r="B64" s="44"/>
      <c r="C64" s="35" t="s">
        <v>13</v>
      </c>
      <c r="D64" s="44"/>
      <c r="E64" s="45">
        <v>6941671</v>
      </c>
      <c r="F64" s="48"/>
      <c r="G64" s="45">
        <v>18750985</v>
      </c>
      <c r="H64" s="48"/>
      <c r="I64" s="45">
        <v>2605718</v>
      </c>
      <c r="J64" s="48"/>
      <c r="K64" s="45">
        <v>0</v>
      </c>
      <c r="L64" s="48"/>
      <c r="M64" s="45">
        <v>3751166</v>
      </c>
      <c r="N64" s="48"/>
      <c r="O64" s="45">
        <v>2214325</v>
      </c>
      <c r="P64" s="48"/>
      <c r="Q64" s="45">
        <v>0</v>
      </c>
      <c r="R64" s="48"/>
      <c r="S64" s="45">
        <v>7999729</v>
      </c>
      <c r="T64" s="48"/>
      <c r="U64" s="45">
        <v>0</v>
      </c>
      <c r="V64" s="48"/>
      <c r="W64" s="48"/>
      <c r="X64" s="35"/>
      <c r="Y64" s="44"/>
      <c r="Z64" s="35"/>
      <c r="AA64" s="35"/>
      <c r="AB64" s="45">
        <v>1138254</v>
      </c>
      <c r="AC64" s="65"/>
      <c r="AD64" s="45">
        <v>400074</v>
      </c>
      <c r="AE64" s="65"/>
      <c r="AF64" s="45">
        <v>0</v>
      </c>
      <c r="AG64" s="65"/>
      <c r="AH64" s="48">
        <f t="shared" si="1"/>
        <v>43801922</v>
      </c>
      <c r="AI64" s="48"/>
      <c r="AJ64" s="48">
        <v>0</v>
      </c>
      <c r="AK64" s="48"/>
      <c r="AL64" s="45">
        <v>24633580</v>
      </c>
      <c r="AM64" s="45"/>
      <c r="AN64" s="45">
        <v>18899604</v>
      </c>
      <c r="AO64" s="45"/>
      <c r="AP64" s="45">
        <f>137878+2678</f>
        <v>140556</v>
      </c>
      <c r="AQ64" s="45"/>
      <c r="AR64" s="45">
        <f>+'GVFund Rev'!U65+'GVFund Rev'!W65-'GVFund Exp'!AH64-'GVFund Exp'!AL64+AJ64+AN64+AP64-'GV Fund BS'!S65</f>
        <v>0</v>
      </c>
      <c r="AS64" s="48"/>
    </row>
    <row r="65" spans="1:45" s="46" customFormat="1" ht="12.75" customHeight="1" x14ac:dyDescent="0.2">
      <c r="A65" s="35" t="s">
        <v>83</v>
      </c>
      <c r="B65" s="44"/>
      <c r="C65" s="35" t="s">
        <v>66</v>
      </c>
      <c r="D65" s="44"/>
      <c r="E65" s="45">
        <v>14967599</v>
      </c>
      <c r="F65" s="48"/>
      <c r="G65" s="45">
        <v>93849670</v>
      </c>
      <c r="H65" s="48"/>
      <c r="I65" s="45">
        <f>32366889+10063494</f>
        <v>42430383</v>
      </c>
      <c r="J65" s="48"/>
      <c r="K65" s="45">
        <v>2409496</v>
      </c>
      <c r="L65" s="48"/>
      <c r="M65" s="45">
        <v>3804513</v>
      </c>
      <c r="N65" s="48"/>
      <c r="O65" s="45">
        <v>0</v>
      </c>
      <c r="P65" s="48"/>
      <c r="Q65" s="45">
        <v>30741740</v>
      </c>
      <c r="R65" s="48"/>
      <c r="S65" s="45">
        <v>15253781</v>
      </c>
      <c r="T65" s="48"/>
      <c r="U65" s="45">
        <v>0</v>
      </c>
      <c r="V65" s="48"/>
      <c r="W65" s="48"/>
      <c r="X65" s="35"/>
      <c r="Y65" s="44"/>
      <c r="Z65" s="35"/>
      <c r="AA65" s="35"/>
      <c r="AB65" s="45">
        <v>9516702</v>
      </c>
      <c r="AC65" s="65"/>
      <c r="AD65" s="45">
        <v>4401891</v>
      </c>
      <c r="AE65" s="65"/>
      <c r="AF65" s="45">
        <v>0</v>
      </c>
      <c r="AG65" s="65"/>
      <c r="AH65" s="48">
        <f t="shared" si="1"/>
        <v>217375775</v>
      </c>
      <c r="AI65" s="48"/>
      <c r="AJ65" s="48">
        <v>0</v>
      </c>
      <c r="AK65" s="48"/>
      <c r="AL65" s="45">
        <v>6955775</v>
      </c>
      <c r="AM65" s="45"/>
      <c r="AN65" s="45">
        <v>114884914</v>
      </c>
      <c r="AO65" s="45"/>
      <c r="AP65" s="45">
        <v>0</v>
      </c>
      <c r="AQ65" s="45"/>
      <c r="AR65" s="45">
        <f>+'GVFund Rev'!U66+'GVFund Rev'!W66-'GVFund Exp'!AH65-'GVFund Exp'!AL65+AJ65+AN65+AP65-'GV Fund BS'!S66</f>
        <v>0</v>
      </c>
      <c r="AS65" s="48"/>
    </row>
    <row r="66" spans="1:45" s="44" customFormat="1" ht="12.75" customHeight="1" x14ac:dyDescent="0.2">
      <c r="A66" s="35" t="s">
        <v>84</v>
      </c>
      <c r="C66" s="35" t="s">
        <v>45</v>
      </c>
      <c r="E66" s="45">
        <v>1060528</v>
      </c>
      <c r="F66" s="48"/>
      <c r="G66" s="45">
        <v>1222632</v>
      </c>
      <c r="H66" s="48"/>
      <c r="I66" s="45">
        <v>3867</v>
      </c>
      <c r="J66" s="48"/>
      <c r="K66" s="45">
        <v>0</v>
      </c>
      <c r="L66" s="48"/>
      <c r="M66" s="45">
        <v>780603</v>
      </c>
      <c r="N66" s="48"/>
      <c r="O66" s="45">
        <v>54316</v>
      </c>
      <c r="P66" s="48"/>
      <c r="Q66" s="45">
        <v>0</v>
      </c>
      <c r="R66" s="48"/>
      <c r="S66" s="45">
        <v>10963</v>
      </c>
      <c r="T66" s="48"/>
      <c r="U66" s="45">
        <v>0</v>
      </c>
      <c r="V66" s="48"/>
      <c r="W66" s="48"/>
      <c r="X66" s="35"/>
      <c r="Z66" s="35"/>
      <c r="AA66" s="35"/>
      <c r="AB66" s="45">
        <v>125302</v>
      </c>
      <c r="AC66" s="65"/>
      <c r="AD66" s="45">
        <v>110524</v>
      </c>
      <c r="AE66" s="65"/>
      <c r="AF66" s="45">
        <v>0</v>
      </c>
      <c r="AG66" s="65"/>
      <c r="AH66" s="48">
        <f t="shared" si="1"/>
        <v>3368735</v>
      </c>
      <c r="AI66" s="48"/>
      <c r="AJ66" s="48">
        <v>0</v>
      </c>
      <c r="AK66" s="48"/>
      <c r="AL66" s="45">
        <v>209063</v>
      </c>
      <c r="AM66" s="45"/>
      <c r="AN66" s="45">
        <v>1768559</v>
      </c>
      <c r="AO66" s="45"/>
      <c r="AP66" s="45">
        <v>0</v>
      </c>
      <c r="AQ66" s="45"/>
      <c r="AR66" s="45">
        <f>+'GVFund Rev'!U67+'GVFund Rev'!W67-'GVFund Exp'!AH66-'GVFund Exp'!AL66+AJ66+AN66+AP66-'GV Fund BS'!S67</f>
        <v>0</v>
      </c>
      <c r="AS66" s="48"/>
    </row>
    <row r="67" spans="1:45" s="44" customFormat="1" ht="12.75" customHeight="1" x14ac:dyDescent="0.2">
      <c r="A67" s="35" t="s">
        <v>85</v>
      </c>
      <c r="C67" s="35" t="s">
        <v>85</v>
      </c>
      <c r="E67" s="45">
        <v>2729651</v>
      </c>
      <c r="F67" s="48"/>
      <c r="G67" s="45">
        <v>5162340</v>
      </c>
      <c r="H67" s="48"/>
      <c r="I67" s="45">
        <f>527416+903603</f>
        <v>1431019</v>
      </c>
      <c r="J67" s="48"/>
      <c r="K67" s="45">
        <v>215876</v>
      </c>
      <c r="L67" s="48"/>
      <c r="M67" s="45">
        <v>1090575</v>
      </c>
      <c r="N67" s="48"/>
      <c r="O67" s="45">
        <v>543357</v>
      </c>
      <c r="P67" s="48"/>
      <c r="Q67" s="45">
        <v>0</v>
      </c>
      <c r="R67" s="48"/>
      <c r="S67" s="45">
        <v>1721528</v>
      </c>
      <c r="T67" s="48"/>
      <c r="U67" s="45">
        <v>0</v>
      </c>
      <c r="V67" s="48"/>
      <c r="W67" s="48"/>
      <c r="X67" s="35"/>
      <c r="Z67" s="35"/>
      <c r="AA67" s="35"/>
      <c r="AB67" s="45">
        <v>106308</v>
      </c>
      <c r="AC67" s="65"/>
      <c r="AD67" s="45">
        <v>52821</v>
      </c>
      <c r="AE67" s="65"/>
      <c r="AF67" s="45">
        <v>75000</v>
      </c>
      <c r="AG67" s="65"/>
      <c r="AH67" s="48">
        <f t="shared" si="1"/>
        <v>13128475</v>
      </c>
      <c r="AI67" s="48"/>
      <c r="AJ67" s="48">
        <v>0</v>
      </c>
      <c r="AK67" s="48"/>
      <c r="AL67" s="45">
        <v>1467197</v>
      </c>
      <c r="AM67" s="45"/>
      <c r="AN67" s="45">
        <v>3512431</v>
      </c>
      <c r="AO67" s="45"/>
      <c r="AP67" s="45">
        <v>0</v>
      </c>
      <c r="AQ67" s="45"/>
      <c r="AR67" s="45">
        <f>+'GVFund Rev'!U68+'GVFund Rev'!W68-'GVFund Exp'!AH67-'GVFund Exp'!AL67+AJ67+AN67+AP67-'GV Fund BS'!S68</f>
        <v>0</v>
      </c>
      <c r="AS67" s="48"/>
    </row>
    <row r="68" spans="1:45" s="44" customFormat="1" ht="12.75" customHeight="1" x14ac:dyDescent="0.2">
      <c r="A68" s="35" t="s">
        <v>86</v>
      </c>
      <c r="C68" s="35" t="s">
        <v>86</v>
      </c>
      <c r="E68" s="45">
        <v>4905588</v>
      </c>
      <c r="F68" s="48"/>
      <c r="G68" s="45">
        <f>6410160+6701280+2419095+628891</f>
        <v>16159426</v>
      </c>
      <c r="H68" s="48"/>
      <c r="I68" s="45">
        <v>707277</v>
      </c>
      <c r="J68" s="48"/>
      <c r="K68" s="45">
        <v>0</v>
      </c>
      <c r="L68" s="48"/>
      <c r="M68" s="45">
        <v>3410602</v>
      </c>
      <c r="N68" s="48"/>
      <c r="O68" s="45">
        <v>10769217</v>
      </c>
      <c r="P68" s="48"/>
      <c r="Q68" s="45">
        <v>980685</v>
      </c>
      <c r="R68" s="48"/>
      <c r="S68" s="45">
        <v>2365391</v>
      </c>
      <c r="T68" s="48"/>
      <c r="U68" s="45">
        <v>0</v>
      </c>
      <c r="V68" s="48"/>
      <c r="W68" s="48"/>
      <c r="X68" s="35"/>
      <c r="Z68" s="35"/>
      <c r="AA68" s="35"/>
      <c r="AB68" s="45">
        <v>895000</v>
      </c>
      <c r="AC68" s="65"/>
      <c r="AD68" s="45">
        <v>1334689</v>
      </c>
      <c r="AE68" s="65"/>
      <c r="AF68" s="45">
        <v>26409</v>
      </c>
      <c r="AG68" s="65"/>
      <c r="AH68" s="48">
        <f t="shared" si="1"/>
        <v>41554284</v>
      </c>
      <c r="AI68" s="48"/>
      <c r="AJ68" s="48">
        <v>0</v>
      </c>
      <c r="AK68" s="48"/>
      <c r="AL68" s="45">
        <v>5155407</v>
      </c>
      <c r="AM68" s="45"/>
      <c r="AN68" s="45">
        <v>15075137</v>
      </c>
      <c r="AO68" s="45"/>
      <c r="AP68" s="45">
        <v>0</v>
      </c>
      <c r="AQ68" s="45"/>
      <c r="AR68" s="45">
        <f>+'GVFund Rev'!U69+'GVFund Rev'!W69-'GVFund Exp'!AH68-'GVFund Exp'!AL68+AJ68+AN68+AP68-'GV Fund BS'!S69</f>
        <v>0</v>
      </c>
      <c r="AS68" s="48"/>
    </row>
    <row r="69" spans="1:45" s="44" customFormat="1" ht="12.75" customHeight="1" x14ac:dyDescent="0.2">
      <c r="A69" s="64" t="s">
        <v>87</v>
      </c>
      <c r="B69" s="46"/>
      <c r="C69" s="64" t="s">
        <v>88</v>
      </c>
      <c r="D69" s="46"/>
      <c r="E69" s="45">
        <v>322701</v>
      </c>
      <c r="F69" s="48"/>
      <c r="G69" s="45">
        <v>2445593</v>
      </c>
      <c r="H69" s="48"/>
      <c r="I69" s="45">
        <v>0</v>
      </c>
      <c r="J69" s="48"/>
      <c r="K69" s="45">
        <v>51652</v>
      </c>
      <c r="L69" s="48"/>
      <c r="M69" s="45">
        <v>350231</v>
      </c>
      <c r="N69" s="48"/>
      <c r="O69" s="45">
        <v>400637</v>
      </c>
      <c r="P69" s="48"/>
      <c r="Q69" s="45">
        <v>0</v>
      </c>
      <c r="R69" s="48"/>
      <c r="S69" s="45">
        <v>0</v>
      </c>
      <c r="T69" s="48"/>
      <c r="U69" s="45">
        <v>0</v>
      </c>
      <c r="V69" s="48"/>
      <c r="W69" s="48"/>
      <c r="X69" s="35"/>
      <c r="Z69" s="35"/>
      <c r="AA69" s="35"/>
      <c r="AB69" s="45">
        <v>30404</v>
      </c>
      <c r="AC69" s="65"/>
      <c r="AD69" s="45">
        <v>1213</v>
      </c>
      <c r="AE69" s="65"/>
      <c r="AF69" s="45">
        <v>0</v>
      </c>
      <c r="AG69" s="65"/>
      <c r="AH69" s="48">
        <f t="shared" si="1"/>
        <v>3602431</v>
      </c>
      <c r="AI69" s="48"/>
      <c r="AJ69" s="48">
        <v>0</v>
      </c>
      <c r="AK69" s="48"/>
      <c r="AL69" s="45">
        <v>866000</v>
      </c>
      <c r="AM69" s="45"/>
      <c r="AN69" s="45">
        <v>1493553</v>
      </c>
      <c r="AO69" s="45"/>
      <c r="AP69" s="45">
        <v>0</v>
      </c>
      <c r="AQ69" s="45"/>
      <c r="AR69" s="45">
        <f>+'GVFund Rev'!U70+'GVFund Rev'!W70-'GVFund Exp'!AH69-'GVFund Exp'!AL69+AJ69+AN69+AP69-'GV Fund BS'!S70</f>
        <v>0</v>
      </c>
      <c r="AS69" s="48"/>
    </row>
    <row r="70" spans="1:45" s="46" customFormat="1" ht="12.75" customHeight="1" x14ac:dyDescent="0.2">
      <c r="A70" s="35" t="s">
        <v>394</v>
      </c>
      <c r="B70" s="44"/>
      <c r="C70" s="35" t="s">
        <v>89</v>
      </c>
      <c r="D70" s="44"/>
      <c r="E70" s="48">
        <v>1115260</v>
      </c>
      <c r="F70" s="48"/>
      <c r="G70" s="48">
        <v>4331070</v>
      </c>
      <c r="H70" s="48"/>
      <c r="I70" s="48">
        <v>111227</v>
      </c>
      <c r="J70" s="48"/>
      <c r="K70" s="48">
        <v>707902</v>
      </c>
      <c r="L70" s="48"/>
      <c r="M70" s="48">
        <v>1037961</v>
      </c>
      <c r="N70" s="48"/>
      <c r="O70" s="48">
        <v>829489</v>
      </c>
      <c r="P70" s="48"/>
      <c r="Q70" s="48">
        <v>570453</v>
      </c>
      <c r="R70" s="48"/>
      <c r="S70" s="48">
        <v>2528446</v>
      </c>
      <c r="T70" s="48"/>
      <c r="U70" s="48">
        <v>0</v>
      </c>
      <c r="V70" s="48"/>
      <c r="W70" s="48"/>
      <c r="X70" s="35"/>
      <c r="Y70" s="44"/>
      <c r="Z70" s="35"/>
      <c r="AA70" s="35"/>
      <c r="AB70" s="48">
        <v>2646521</v>
      </c>
      <c r="AC70" s="65"/>
      <c r="AD70" s="48">
        <v>63678</v>
      </c>
      <c r="AE70" s="65"/>
      <c r="AF70" s="44">
        <v>36229</v>
      </c>
      <c r="AG70" s="65"/>
      <c r="AH70" s="48">
        <f t="shared" si="1"/>
        <v>13978236</v>
      </c>
      <c r="AI70" s="48"/>
      <c r="AJ70" s="48">
        <v>0</v>
      </c>
      <c r="AK70" s="48"/>
      <c r="AL70" s="45">
        <v>0</v>
      </c>
      <c r="AM70" s="45"/>
      <c r="AN70" s="45">
        <v>3482656</v>
      </c>
      <c r="AO70" s="45"/>
      <c r="AP70" s="45">
        <v>0</v>
      </c>
      <c r="AQ70" s="45"/>
      <c r="AR70" s="45">
        <f>+'GVFund Rev'!U71+'GVFund Rev'!W71-'GVFund Exp'!AH70-'GVFund Exp'!AL70+AJ70+AN70+AP70-'GV Fund BS'!S71</f>
        <v>0</v>
      </c>
      <c r="AS70" s="48"/>
    </row>
    <row r="71" spans="1:45" s="46" customFormat="1" ht="12.75" hidden="1" customHeight="1" x14ac:dyDescent="0.2">
      <c r="A71" s="35" t="s">
        <v>90</v>
      </c>
      <c r="B71" s="44"/>
      <c r="C71" s="35" t="s">
        <v>43</v>
      </c>
      <c r="D71" s="44"/>
      <c r="E71" s="48">
        <v>22265339</v>
      </c>
      <c r="F71" s="48"/>
      <c r="G71" s="48">
        <v>10563198</v>
      </c>
      <c r="H71" s="48"/>
      <c r="I71" s="48">
        <v>6453068</v>
      </c>
      <c r="J71" s="48"/>
      <c r="K71" s="48">
        <v>360402</v>
      </c>
      <c r="L71" s="48"/>
      <c r="M71" s="48">
        <v>3121427</v>
      </c>
      <c r="N71" s="48"/>
      <c r="O71" s="48">
        <v>16540247</v>
      </c>
      <c r="P71" s="48"/>
      <c r="Q71" s="48">
        <v>3229350</v>
      </c>
      <c r="R71" s="48"/>
      <c r="S71" s="48">
        <v>18757009</v>
      </c>
      <c r="T71" s="48"/>
      <c r="U71" s="48">
        <v>0</v>
      </c>
      <c r="V71" s="48"/>
      <c r="W71" s="48"/>
      <c r="X71" s="35"/>
      <c r="Y71" s="44"/>
      <c r="Z71" s="35"/>
      <c r="AA71" s="35"/>
      <c r="AB71" s="48">
        <v>4709689</v>
      </c>
      <c r="AC71" s="65"/>
      <c r="AD71" s="48">
        <v>1782689</v>
      </c>
      <c r="AE71" s="65"/>
      <c r="AF71" s="44">
        <v>0</v>
      </c>
      <c r="AG71" s="65"/>
      <c r="AH71" s="48">
        <f t="shared" ref="AH71" si="4">SUM(E71:AF71)</f>
        <v>87782418</v>
      </c>
      <c r="AI71" s="48"/>
      <c r="AJ71" s="48">
        <v>0</v>
      </c>
      <c r="AK71" s="48"/>
      <c r="AL71" s="45">
        <v>22830326</v>
      </c>
      <c r="AM71" s="45"/>
      <c r="AN71" s="45">
        <v>82467743</v>
      </c>
      <c r="AO71" s="45"/>
      <c r="AP71" s="45">
        <v>0</v>
      </c>
      <c r="AQ71" s="45"/>
      <c r="AR71" s="45">
        <f>+'GVFund Rev'!U72+'GVFund Rev'!W72-'GVFund Exp'!AH71-'GVFund Exp'!AL71+AJ71+AN71+AP71-'GV Fund BS'!S72</f>
        <v>0</v>
      </c>
      <c r="AS71" s="48"/>
    </row>
    <row r="72" spans="1:45" s="44" customFormat="1" ht="12.75" customHeight="1" x14ac:dyDescent="0.2">
      <c r="A72" s="47" t="s">
        <v>488</v>
      </c>
      <c r="B72" s="47"/>
      <c r="C72" s="47" t="s">
        <v>27</v>
      </c>
      <c r="E72" s="45">
        <v>4786702</v>
      </c>
      <c r="F72" s="48"/>
      <c r="G72" s="45">
        <v>9079806</v>
      </c>
      <c r="H72" s="48"/>
      <c r="I72" s="45">
        <v>2005069</v>
      </c>
      <c r="J72" s="48"/>
      <c r="K72" s="45">
        <v>0</v>
      </c>
      <c r="L72" s="48"/>
      <c r="M72" s="45">
        <v>1767850</v>
      </c>
      <c r="N72" s="48"/>
      <c r="O72" s="45">
        <v>320339</v>
      </c>
      <c r="P72" s="48"/>
      <c r="Q72" s="45">
        <v>704670</v>
      </c>
      <c r="R72" s="48"/>
      <c r="S72" s="45">
        <v>98945</v>
      </c>
      <c r="T72" s="48"/>
      <c r="U72" s="45">
        <v>0</v>
      </c>
      <c r="V72" s="48"/>
      <c r="W72" s="48"/>
      <c r="X72" s="35"/>
      <c r="Z72" s="35"/>
      <c r="AA72" s="35"/>
      <c r="AB72" s="45">
        <v>313103</v>
      </c>
      <c r="AC72" s="65"/>
      <c r="AD72" s="45">
        <v>60516</v>
      </c>
      <c r="AE72" s="65"/>
      <c r="AF72" s="45">
        <v>0</v>
      </c>
      <c r="AG72" s="65"/>
      <c r="AH72" s="48">
        <f t="shared" ref="AH72:AH135" si="5">SUM(E72:AF72)</f>
        <v>19137000</v>
      </c>
      <c r="AI72" s="48"/>
      <c r="AJ72" s="48">
        <v>0</v>
      </c>
      <c r="AK72" s="48"/>
      <c r="AL72" s="45">
        <v>0</v>
      </c>
      <c r="AM72" s="45"/>
      <c r="AN72" s="45">
        <v>852088</v>
      </c>
      <c r="AO72" s="45"/>
      <c r="AP72" s="45">
        <v>0</v>
      </c>
      <c r="AQ72" s="45"/>
      <c r="AR72" s="45">
        <f>+'GVFund Rev'!U73+'GVFund Rev'!W73-'GVFund Exp'!AH72-'GVFund Exp'!AL72+AJ72+AN72+AP72-'GV Fund BS'!S73</f>
        <v>0</v>
      </c>
      <c r="AS72" s="48"/>
    </row>
    <row r="73" spans="1:45" s="44" customFormat="1" ht="12.75" customHeight="1" x14ac:dyDescent="0.2">
      <c r="A73" s="64"/>
      <c r="B73" s="46"/>
      <c r="C73" s="64"/>
      <c r="D73" s="46"/>
      <c r="E73" s="45"/>
      <c r="F73" s="48"/>
      <c r="G73" s="45"/>
      <c r="H73" s="48"/>
      <c r="I73" s="45"/>
      <c r="J73" s="48"/>
      <c r="K73" s="45"/>
      <c r="L73" s="48"/>
      <c r="M73" s="45"/>
      <c r="N73" s="48"/>
      <c r="O73" s="45"/>
      <c r="P73" s="48"/>
      <c r="Q73" s="45"/>
      <c r="R73" s="48"/>
      <c r="S73" s="45"/>
      <c r="T73" s="48"/>
      <c r="U73" s="45"/>
      <c r="V73" s="48"/>
      <c r="W73" s="48"/>
      <c r="X73" s="35"/>
      <c r="Z73" s="35"/>
      <c r="AA73" s="35"/>
      <c r="AB73" s="45"/>
      <c r="AC73" s="65"/>
      <c r="AD73" s="45"/>
      <c r="AE73" s="65"/>
      <c r="AF73" s="45"/>
      <c r="AG73" s="65"/>
      <c r="AH73" s="48"/>
      <c r="AI73" s="48"/>
      <c r="AJ73" s="45"/>
      <c r="AK73" s="48"/>
      <c r="AL73" s="48" t="s">
        <v>484</v>
      </c>
      <c r="AM73" s="45"/>
      <c r="AN73" s="45"/>
      <c r="AO73" s="45"/>
      <c r="AP73" s="45"/>
      <c r="AQ73" s="45"/>
      <c r="AR73" s="45"/>
      <c r="AS73" s="48"/>
    </row>
    <row r="74" spans="1:45" s="46" customFormat="1" ht="12.75" customHeight="1" x14ac:dyDescent="0.2">
      <c r="A74" s="46" t="s">
        <v>93</v>
      </c>
      <c r="C74" s="46" t="s">
        <v>94</v>
      </c>
      <c r="E74" s="94">
        <v>1278873</v>
      </c>
      <c r="F74" s="68"/>
      <c r="G74" s="94">
        <v>3152519</v>
      </c>
      <c r="H74" s="68"/>
      <c r="I74" s="94">
        <v>822730</v>
      </c>
      <c r="J74" s="68"/>
      <c r="K74" s="94">
        <v>167788</v>
      </c>
      <c r="L74" s="68"/>
      <c r="M74" s="94">
        <v>811304</v>
      </c>
      <c r="N74" s="68"/>
      <c r="O74" s="94">
        <v>125194</v>
      </c>
      <c r="P74" s="68"/>
      <c r="Q74" s="94">
        <v>0</v>
      </c>
      <c r="R74" s="68"/>
      <c r="S74" s="94">
        <v>1306622</v>
      </c>
      <c r="T74" s="68"/>
      <c r="U74" s="94">
        <v>0</v>
      </c>
      <c r="V74" s="68"/>
      <c r="W74" s="68"/>
      <c r="X74" s="64"/>
      <c r="Z74" s="64"/>
      <c r="AA74" s="64"/>
      <c r="AB74" s="94">
        <v>331109</v>
      </c>
      <c r="AC74" s="66"/>
      <c r="AD74" s="94">
        <v>81039</v>
      </c>
      <c r="AE74" s="66"/>
      <c r="AF74" s="94">
        <v>0</v>
      </c>
      <c r="AG74" s="66"/>
      <c r="AH74" s="68">
        <f t="shared" si="5"/>
        <v>8077178</v>
      </c>
      <c r="AI74" s="68"/>
      <c r="AJ74" s="68">
        <v>0</v>
      </c>
      <c r="AK74" s="68"/>
      <c r="AL74" s="94">
        <v>2255796</v>
      </c>
      <c r="AM74" s="94"/>
      <c r="AN74" s="94">
        <v>1169144</v>
      </c>
      <c r="AO74" s="94"/>
      <c r="AP74" s="94">
        <v>0</v>
      </c>
      <c r="AQ74" s="94"/>
      <c r="AR74" s="94">
        <f>+'GVFund Rev'!U74+'GVFund Rev'!W74-'GVFund Exp'!AH74-'GVFund Exp'!AL74+AJ74+AN74+AP74-'GV Fund BS'!S74</f>
        <v>0</v>
      </c>
      <c r="AS74" s="68"/>
    </row>
    <row r="75" spans="1:45" s="46" customFormat="1" ht="12.75" customHeight="1" x14ac:dyDescent="0.2">
      <c r="A75" s="64" t="s">
        <v>95</v>
      </c>
      <c r="C75" s="64" t="s">
        <v>94</v>
      </c>
      <c r="E75" s="45">
        <v>569845</v>
      </c>
      <c r="F75" s="48"/>
      <c r="G75" s="45">
        <v>997789</v>
      </c>
      <c r="H75" s="48"/>
      <c r="I75" s="45">
        <v>162713</v>
      </c>
      <c r="J75" s="48"/>
      <c r="K75" s="45">
        <v>70781</v>
      </c>
      <c r="L75" s="48"/>
      <c r="M75" s="45">
        <v>281395</v>
      </c>
      <c r="N75" s="48"/>
      <c r="O75" s="45">
        <v>213470</v>
      </c>
      <c r="P75" s="48"/>
      <c r="Q75" s="45">
        <v>0</v>
      </c>
      <c r="R75" s="48"/>
      <c r="S75" s="45">
        <v>217264</v>
      </c>
      <c r="T75" s="48"/>
      <c r="U75" s="45">
        <v>0</v>
      </c>
      <c r="V75" s="48"/>
      <c r="W75" s="48"/>
      <c r="X75" s="35"/>
      <c r="Y75" s="44"/>
      <c r="Z75" s="35"/>
      <c r="AA75" s="35"/>
      <c r="AB75" s="45">
        <v>105001</v>
      </c>
      <c r="AC75" s="65"/>
      <c r="AD75" s="45">
        <v>33369</v>
      </c>
      <c r="AE75" s="65"/>
      <c r="AF75" s="45">
        <v>0</v>
      </c>
      <c r="AG75" s="65"/>
      <c r="AH75" s="48">
        <f t="shared" si="5"/>
        <v>2651627</v>
      </c>
      <c r="AI75" s="48"/>
      <c r="AJ75" s="48">
        <v>0</v>
      </c>
      <c r="AK75" s="48"/>
      <c r="AL75" s="45">
        <v>94341</v>
      </c>
      <c r="AM75" s="45"/>
      <c r="AN75" s="45">
        <v>612093</v>
      </c>
      <c r="AO75" s="45"/>
      <c r="AP75" s="45">
        <v>178</v>
      </c>
      <c r="AQ75" s="45"/>
      <c r="AR75" s="45">
        <f>+'GVFund Rev'!U75+'GVFund Rev'!W75-'GVFund Exp'!AH75-'GVFund Exp'!AL75+AJ75+AN75+AP75-'GV Fund BS'!S75</f>
        <v>0</v>
      </c>
      <c r="AS75" s="68"/>
    </row>
    <row r="76" spans="1:45" s="46" customFormat="1" ht="12.75" customHeight="1" x14ac:dyDescent="0.2">
      <c r="A76" s="35" t="s">
        <v>91</v>
      </c>
      <c r="B76" s="44"/>
      <c r="C76" s="35" t="s">
        <v>92</v>
      </c>
      <c r="D76" s="44"/>
      <c r="E76" s="45">
        <v>4007334</v>
      </c>
      <c r="F76" s="48"/>
      <c r="G76" s="45">
        <v>6625076</v>
      </c>
      <c r="H76" s="48"/>
      <c r="I76" s="45">
        <v>314695</v>
      </c>
      <c r="J76" s="48"/>
      <c r="K76" s="45">
        <v>175749</v>
      </c>
      <c r="L76" s="48"/>
      <c r="M76" s="45">
        <v>1131747</v>
      </c>
      <c r="N76" s="48"/>
      <c r="O76" s="45">
        <v>1139524</v>
      </c>
      <c r="P76" s="48"/>
      <c r="Q76" s="45">
        <v>1214369</v>
      </c>
      <c r="R76" s="48"/>
      <c r="S76" s="45">
        <v>1210252</v>
      </c>
      <c r="T76" s="48"/>
      <c r="U76" s="45">
        <v>0</v>
      </c>
      <c r="V76" s="48"/>
      <c r="W76" s="48"/>
      <c r="X76" s="35"/>
      <c r="Y76" s="44"/>
      <c r="Z76" s="35"/>
      <c r="AA76" s="35"/>
      <c r="AB76" s="45">
        <v>817489</v>
      </c>
      <c r="AC76" s="65"/>
      <c r="AD76" s="45">
        <v>732143</v>
      </c>
      <c r="AE76" s="65"/>
      <c r="AF76" s="45">
        <v>309167</v>
      </c>
      <c r="AG76" s="65"/>
      <c r="AH76" s="48">
        <f t="shared" si="5"/>
        <v>17677545</v>
      </c>
      <c r="AI76" s="48"/>
      <c r="AJ76" s="48">
        <v>0</v>
      </c>
      <c r="AK76" s="48"/>
      <c r="AL76" s="45">
        <f>9685833+1265900</f>
        <v>10951733</v>
      </c>
      <c r="AM76" s="45"/>
      <c r="AN76" s="45">
        <v>3595046</v>
      </c>
      <c r="AO76" s="45"/>
      <c r="AP76" s="45">
        <v>0</v>
      </c>
      <c r="AQ76" s="45"/>
      <c r="AR76" s="45">
        <f>+'GVFund Rev'!U76+'GVFund Rev'!W76-'GVFund Exp'!AH76-'GVFund Exp'!AL76+AJ76+AN76+AP76-'GV Fund BS'!S76</f>
        <v>0</v>
      </c>
      <c r="AS76" s="68"/>
    </row>
    <row r="77" spans="1:45" s="44" customFormat="1" ht="12.75" customHeight="1" x14ac:dyDescent="0.2">
      <c r="A77" s="35" t="s">
        <v>96</v>
      </c>
      <c r="C77" s="35" t="s">
        <v>97</v>
      </c>
      <c r="E77" s="45">
        <v>1825118</v>
      </c>
      <c r="F77" s="48"/>
      <c r="G77" s="45">
        <v>2851087</v>
      </c>
      <c r="H77" s="48"/>
      <c r="I77" s="45">
        <v>192254</v>
      </c>
      <c r="J77" s="48"/>
      <c r="K77" s="45">
        <v>170463</v>
      </c>
      <c r="L77" s="48"/>
      <c r="M77" s="45">
        <v>1073162</v>
      </c>
      <c r="N77" s="48"/>
      <c r="O77" s="45">
        <v>197312</v>
      </c>
      <c r="P77" s="48"/>
      <c r="Q77" s="45">
        <v>0</v>
      </c>
      <c r="R77" s="48"/>
      <c r="S77" s="45">
        <v>518572</v>
      </c>
      <c r="T77" s="48"/>
      <c r="U77" s="45">
        <v>0</v>
      </c>
      <c r="V77" s="48"/>
      <c r="W77" s="48"/>
      <c r="X77" s="35"/>
      <c r="Z77" s="35"/>
      <c r="AA77" s="35"/>
      <c r="AB77" s="45">
        <v>255448</v>
      </c>
      <c r="AC77" s="65"/>
      <c r="AD77" s="45">
        <v>45354</v>
      </c>
      <c r="AE77" s="65"/>
      <c r="AF77" s="45">
        <v>0</v>
      </c>
      <c r="AG77" s="65"/>
      <c r="AH77" s="48">
        <f t="shared" si="5"/>
        <v>7128770</v>
      </c>
      <c r="AI77" s="48"/>
      <c r="AJ77" s="48">
        <v>0</v>
      </c>
      <c r="AK77" s="48"/>
      <c r="AL77" s="45">
        <v>122839</v>
      </c>
      <c r="AM77" s="45"/>
      <c r="AN77" s="45">
        <v>6077920</v>
      </c>
      <c r="AO77" s="45"/>
      <c r="AP77" s="45">
        <v>0</v>
      </c>
      <c r="AQ77" s="45"/>
      <c r="AR77" s="45">
        <f>+'GVFund Rev'!U77+'GVFund Rev'!W77-'GVFund Exp'!AH77-'GVFund Exp'!AL77+AJ77+AN77+AP77-'GV Fund BS'!S77</f>
        <v>0</v>
      </c>
      <c r="AS77" s="48"/>
    </row>
    <row r="78" spans="1:45" s="44" customFormat="1" ht="12.75" customHeight="1" x14ac:dyDescent="0.2">
      <c r="A78" s="35" t="s">
        <v>98</v>
      </c>
      <c r="C78" s="35" t="s">
        <v>17</v>
      </c>
      <c r="E78" s="45">
        <v>7618379</v>
      </c>
      <c r="F78" s="48"/>
      <c r="G78" s="45">
        <v>19870879</v>
      </c>
      <c r="H78" s="48"/>
      <c r="I78" s="45">
        <v>4276543</v>
      </c>
      <c r="J78" s="48"/>
      <c r="K78" s="45">
        <v>2086283</v>
      </c>
      <c r="L78" s="48"/>
      <c r="M78" s="45">
        <v>1839924</v>
      </c>
      <c r="N78" s="48"/>
      <c r="O78" s="45">
        <v>1502688</v>
      </c>
      <c r="P78" s="48"/>
      <c r="Q78" s="45">
        <v>0</v>
      </c>
      <c r="R78" s="48"/>
      <c r="S78" s="45">
        <v>3912375</v>
      </c>
      <c r="T78" s="48"/>
      <c r="U78" s="45">
        <v>0</v>
      </c>
      <c r="V78" s="48"/>
      <c r="W78" s="48"/>
      <c r="X78" s="35"/>
      <c r="Z78" s="35"/>
      <c r="AA78" s="35"/>
      <c r="AB78" s="45">
        <v>2192757</v>
      </c>
      <c r="AC78" s="65"/>
      <c r="AD78" s="45">
        <v>1429975</v>
      </c>
      <c r="AE78" s="65"/>
      <c r="AF78" s="45">
        <v>0</v>
      </c>
      <c r="AG78" s="65"/>
      <c r="AH78" s="48">
        <f t="shared" si="5"/>
        <v>44729803</v>
      </c>
      <c r="AI78" s="48"/>
      <c r="AJ78" s="48">
        <v>0</v>
      </c>
      <c r="AK78" s="48"/>
      <c r="AL78" s="45">
        <f>1526755+6870000</f>
        <v>8396755</v>
      </c>
      <c r="AM78" s="45"/>
      <c r="AN78" s="45">
        <v>9492348</v>
      </c>
      <c r="AO78" s="45"/>
      <c r="AP78" s="45">
        <v>0</v>
      </c>
      <c r="AQ78" s="45"/>
      <c r="AR78" s="45">
        <f>+'GVFund Rev'!U78+'GVFund Rev'!W78-'GVFund Exp'!AH78-'GVFund Exp'!AL78+AJ78+AN78+AP78-'GV Fund BS'!S78</f>
        <v>0</v>
      </c>
      <c r="AS78" s="48"/>
    </row>
    <row r="79" spans="1:45" s="44" customFormat="1" ht="12.75" customHeight="1" x14ac:dyDescent="0.2">
      <c r="A79" s="35" t="s">
        <v>99</v>
      </c>
      <c r="C79" s="35" t="s">
        <v>66</v>
      </c>
      <c r="E79" s="45">
        <v>1585042</v>
      </c>
      <c r="F79" s="48"/>
      <c r="G79" s="45">
        <v>5163836</v>
      </c>
      <c r="H79" s="48"/>
      <c r="I79" s="45">
        <v>408023</v>
      </c>
      <c r="J79" s="48"/>
      <c r="K79" s="45">
        <v>2508</v>
      </c>
      <c r="L79" s="48"/>
      <c r="M79" s="45">
        <v>1993447</v>
      </c>
      <c r="N79" s="48"/>
      <c r="O79" s="45">
        <v>293822</v>
      </c>
      <c r="P79" s="48"/>
      <c r="Q79" s="45">
        <v>0</v>
      </c>
      <c r="R79" s="48"/>
      <c r="S79" s="45">
        <v>1824872</v>
      </c>
      <c r="T79" s="48"/>
      <c r="U79" s="45">
        <v>0</v>
      </c>
      <c r="V79" s="48"/>
      <c r="W79" s="48"/>
      <c r="X79" s="35"/>
      <c r="Z79" s="35"/>
      <c r="AA79" s="35"/>
      <c r="AB79" s="45">
        <v>183562</v>
      </c>
      <c r="AC79" s="65"/>
      <c r="AD79" s="45">
        <v>0</v>
      </c>
      <c r="AE79" s="65"/>
      <c r="AF79" s="45">
        <v>0</v>
      </c>
      <c r="AG79" s="65"/>
      <c r="AH79" s="48">
        <f t="shared" si="5"/>
        <v>11455112</v>
      </c>
      <c r="AI79" s="48"/>
      <c r="AJ79" s="48">
        <v>0</v>
      </c>
      <c r="AK79" s="48"/>
      <c r="AL79" s="45">
        <v>5658313</v>
      </c>
      <c r="AM79" s="45"/>
      <c r="AN79" s="45">
        <v>12925351</v>
      </c>
      <c r="AO79" s="45"/>
      <c r="AP79" s="45">
        <v>35857</v>
      </c>
      <c r="AQ79" s="45"/>
      <c r="AR79" s="45">
        <f>+'GVFund Rev'!U79+'GVFund Rev'!W79-'GVFund Exp'!AH79-'GVFund Exp'!AL79+AJ79+AN79+AP79-'GV Fund BS'!S79</f>
        <v>0</v>
      </c>
      <c r="AS79" s="48"/>
    </row>
    <row r="80" spans="1:45" s="44" customFormat="1" ht="12.75" customHeight="1" x14ac:dyDescent="0.2">
      <c r="A80" s="35" t="s">
        <v>100</v>
      </c>
      <c r="C80" s="35" t="s">
        <v>27</v>
      </c>
      <c r="E80" s="45">
        <v>13662590</v>
      </c>
      <c r="F80" s="48"/>
      <c r="G80" s="45">
        <v>22383910</v>
      </c>
      <c r="H80" s="48"/>
      <c r="I80" s="45">
        <v>2944087</v>
      </c>
      <c r="J80" s="48"/>
      <c r="K80" s="45">
        <v>289293</v>
      </c>
      <c r="L80" s="48"/>
      <c r="M80" s="45">
        <v>1906637</v>
      </c>
      <c r="N80" s="48"/>
      <c r="O80" s="45">
        <v>1548289</v>
      </c>
      <c r="P80" s="48"/>
      <c r="Q80" s="45">
        <v>2180946</v>
      </c>
      <c r="R80" s="48"/>
      <c r="S80" s="45">
        <v>4967119</v>
      </c>
      <c r="T80" s="48"/>
      <c r="U80" s="45">
        <v>0</v>
      </c>
      <c r="V80" s="48"/>
      <c r="W80" s="48"/>
      <c r="X80" s="35"/>
      <c r="Z80" s="35"/>
      <c r="AA80" s="35"/>
      <c r="AB80" s="45">
        <v>7151780</v>
      </c>
      <c r="AC80" s="65"/>
      <c r="AD80" s="45">
        <v>1070780</v>
      </c>
      <c r="AE80" s="65"/>
      <c r="AF80" s="45">
        <f>162416+123978</f>
        <v>286394</v>
      </c>
      <c r="AG80" s="65"/>
      <c r="AH80" s="48">
        <f t="shared" si="5"/>
        <v>58391825</v>
      </c>
      <c r="AI80" s="48"/>
      <c r="AJ80" s="48">
        <v>0</v>
      </c>
      <c r="AK80" s="48"/>
      <c r="AL80" s="45">
        <f>912300+5468216</f>
        <v>6380516</v>
      </c>
      <c r="AM80" s="45"/>
      <c r="AN80" s="45">
        <v>15305006</v>
      </c>
      <c r="AO80" s="45"/>
      <c r="AP80" s="45">
        <v>0</v>
      </c>
      <c r="AQ80" s="45"/>
      <c r="AR80" s="45">
        <f>+'GVFund Rev'!U80+'GVFund Rev'!W80-'GVFund Exp'!AH80-'GVFund Exp'!AL80+AJ80+AN80+AP80-'GV Fund BS'!S80</f>
        <v>0</v>
      </c>
      <c r="AS80" s="48"/>
    </row>
    <row r="81" spans="1:45" s="44" customFormat="1" ht="12.75" customHeight="1" x14ac:dyDescent="0.2">
      <c r="A81" s="35" t="s">
        <v>101</v>
      </c>
      <c r="C81" s="35" t="s">
        <v>30</v>
      </c>
      <c r="E81" s="45">
        <v>7025927</v>
      </c>
      <c r="F81" s="48"/>
      <c r="G81" s="45">
        <v>12379650</v>
      </c>
      <c r="H81" s="48"/>
      <c r="I81" s="45">
        <v>1087343</v>
      </c>
      <c r="J81" s="48"/>
      <c r="K81" s="45">
        <v>95111</v>
      </c>
      <c r="L81" s="48"/>
      <c r="M81" s="45">
        <v>1763864</v>
      </c>
      <c r="N81" s="48"/>
      <c r="O81" s="45">
        <v>201592</v>
      </c>
      <c r="P81" s="48"/>
      <c r="Q81" s="45">
        <v>0</v>
      </c>
      <c r="R81" s="48"/>
      <c r="S81" s="45">
        <v>1699918</v>
      </c>
      <c r="T81" s="48"/>
      <c r="U81" s="45">
        <v>216742</v>
      </c>
      <c r="V81" s="48"/>
      <c r="W81" s="48"/>
      <c r="X81" s="35"/>
      <c r="Z81" s="35"/>
      <c r="AA81" s="35"/>
      <c r="AB81" s="45">
        <v>2478903</v>
      </c>
      <c r="AC81" s="65"/>
      <c r="AD81" s="45">
        <v>384476</v>
      </c>
      <c r="AE81" s="65"/>
      <c r="AF81" s="45">
        <v>11510</v>
      </c>
      <c r="AG81" s="65"/>
      <c r="AH81" s="48">
        <f t="shared" si="5"/>
        <v>27345036</v>
      </c>
      <c r="AI81" s="48"/>
      <c r="AJ81" s="48">
        <v>0</v>
      </c>
      <c r="AK81" s="48"/>
      <c r="AL81" s="45">
        <v>9644754</v>
      </c>
      <c r="AM81" s="45"/>
      <c r="AN81" s="45">
        <v>9768876</v>
      </c>
      <c r="AO81" s="45"/>
      <c r="AP81" s="45">
        <v>0</v>
      </c>
      <c r="AQ81" s="45"/>
      <c r="AR81" s="45">
        <f>+'GVFund Rev'!U81+'GVFund Rev'!W81-'GVFund Exp'!AH81-'GVFund Exp'!AL81+AJ81+AN81+AP81-'GV Fund BS'!S81</f>
        <v>0</v>
      </c>
      <c r="AS81" s="48"/>
    </row>
    <row r="82" spans="1:45" s="44" customFormat="1" ht="12.75" customHeight="1" x14ac:dyDescent="0.2">
      <c r="A82" s="35" t="s">
        <v>102</v>
      </c>
      <c r="C82" s="35" t="s">
        <v>103</v>
      </c>
      <c r="E82" s="45">
        <v>7868338</v>
      </c>
      <c r="F82" s="48"/>
      <c r="G82" s="45">
        <v>15276912</v>
      </c>
      <c r="H82" s="48"/>
      <c r="I82" s="45">
        <v>1326096</v>
      </c>
      <c r="J82" s="48"/>
      <c r="K82" s="45">
        <v>21998</v>
      </c>
      <c r="L82" s="48"/>
      <c r="M82" s="45">
        <v>5315056</v>
      </c>
      <c r="N82" s="48"/>
      <c r="O82" s="45">
        <v>2527523</v>
      </c>
      <c r="P82" s="48"/>
      <c r="Q82" s="45">
        <v>479877</v>
      </c>
      <c r="R82" s="48"/>
      <c r="S82" s="45">
        <v>7697920</v>
      </c>
      <c r="T82" s="48"/>
      <c r="U82" s="45">
        <v>0</v>
      </c>
      <c r="V82" s="48"/>
      <c r="W82" s="48"/>
      <c r="X82" s="35"/>
      <c r="Z82" s="35"/>
      <c r="AA82" s="35"/>
      <c r="AB82" s="45">
        <v>1577547</v>
      </c>
      <c r="AC82" s="65"/>
      <c r="AD82" s="45">
        <v>1024387</v>
      </c>
      <c r="AE82" s="65"/>
      <c r="AF82" s="45">
        <v>0</v>
      </c>
      <c r="AG82" s="65"/>
      <c r="AH82" s="48">
        <f t="shared" si="5"/>
        <v>43115654</v>
      </c>
      <c r="AI82" s="48"/>
      <c r="AJ82" s="48">
        <v>0</v>
      </c>
      <c r="AK82" s="48"/>
      <c r="AL82" s="45">
        <v>4197239</v>
      </c>
      <c r="AM82" s="45"/>
      <c r="AN82" s="45">
        <v>28474993</v>
      </c>
      <c r="AO82" s="45"/>
      <c r="AP82" s="45">
        <v>0</v>
      </c>
      <c r="AQ82" s="45"/>
      <c r="AR82" s="45">
        <f>+'GVFund Rev'!U82+'GVFund Rev'!W82-'GVFund Exp'!AH82-'GVFund Exp'!AL82+AJ82+AN82+AP82-'GV Fund BS'!S82</f>
        <v>0</v>
      </c>
      <c r="AS82" s="48"/>
    </row>
    <row r="83" spans="1:45" s="44" customFormat="1" ht="12.75" customHeight="1" x14ac:dyDescent="0.2">
      <c r="A83" s="35" t="s">
        <v>104</v>
      </c>
      <c r="C83" s="35" t="s">
        <v>13</v>
      </c>
      <c r="E83" s="45">
        <v>2671598</v>
      </c>
      <c r="F83" s="48"/>
      <c r="G83" s="45">
        <v>6160707</v>
      </c>
      <c r="H83" s="48"/>
      <c r="I83" s="45">
        <v>53598</v>
      </c>
      <c r="J83" s="48"/>
      <c r="K83" s="45">
        <v>117996</v>
      </c>
      <c r="L83" s="48"/>
      <c r="M83" s="45">
        <v>2499689</v>
      </c>
      <c r="N83" s="48"/>
      <c r="O83" s="45">
        <v>326847</v>
      </c>
      <c r="P83" s="48"/>
      <c r="Q83" s="45">
        <v>310907</v>
      </c>
      <c r="R83" s="48"/>
      <c r="S83" s="45">
        <v>1086279</v>
      </c>
      <c r="T83" s="48"/>
      <c r="U83" s="45">
        <v>0</v>
      </c>
      <c r="V83" s="48"/>
      <c r="W83" s="48"/>
      <c r="X83" s="35"/>
      <c r="Z83" s="35"/>
      <c r="AA83" s="35"/>
      <c r="AB83" s="45">
        <v>912675</v>
      </c>
      <c r="AC83" s="65"/>
      <c r="AD83" s="45">
        <v>306007</v>
      </c>
      <c r="AE83" s="65"/>
      <c r="AF83" s="45">
        <v>0</v>
      </c>
      <c r="AG83" s="65"/>
      <c r="AH83" s="48">
        <f t="shared" si="5"/>
        <v>14446303</v>
      </c>
      <c r="AI83" s="48"/>
      <c r="AJ83" s="48">
        <v>0</v>
      </c>
      <c r="AK83" s="48"/>
      <c r="AL83" s="45">
        <v>332086</v>
      </c>
      <c r="AM83" s="45"/>
      <c r="AN83" s="45">
        <v>13645464</v>
      </c>
      <c r="AO83" s="45"/>
      <c r="AP83" s="45">
        <v>75674</v>
      </c>
      <c r="AQ83" s="45"/>
      <c r="AR83" s="45">
        <f>+'GVFund Rev'!U83+'GVFund Rev'!W83-'GVFund Exp'!AH83-'GVFund Exp'!AL83+AJ83+AN83+AP83-'GV Fund BS'!S83</f>
        <v>0</v>
      </c>
      <c r="AS83" s="48"/>
    </row>
    <row r="84" spans="1:45" s="44" customFormat="1" ht="12.75" customHeight="1" x14ac:dyDescent="0.2">
      <c r="A84" s="35" t="s">
        <v>105</v>
      </c>
      <c r="C84" s="35" t="s">
        <v>27</v>
      </c>
      <c r="E84" s="45">
        <v>1926354</v>
      </c>
      <c r="F84" s="48"/>
      <c r="G84" s="45">
        <v>7311282</v>
      </c>
      <c r="H84" s="48"/>
      <c r="I84" s="45">
        <v>297860</v>
      </c>
      <c r="J84" s="48"/>
      <c r="K84" s="45">
        <v>1355</v>
      </c>
      <c r="L84" s="48"/>
      <c r="M84" s="45">
        <v>1308777</v>
      </c>
      <c r="N84" s="48"/>
      <c r="O84" s="45">
        <v>3110435</v>
      </c>
      <c r="P84" s="48"/>
      <c r="Q84" s="45">
        <v>1144672</v>
      </c>
      <c r="R84" s="48"/>
      <c r="S84" s="45">
        <v>1098410</v>
      </c>
      <c r="T84" s="48"/>
      <c r="U84" s="45">
        <v>0</v>
      </c>
      <c r="V84" s="48"/>
      <c r="W84" s="48"/>
      <c r="X84" s="35"/>
      <c r="Z84" s="35"/>
      <c r="AA84" s="35"/>
      <c r="AB84" s="45">
        <v>552713</v>
      </c>
      <c r="AC84" s="65"/>
      <c r="AD84" s="45">
        <v>1096822</v>
      </c>
      <c r="AE84" s="65"/>
      <c r="AF84" s="45">
        <v>0</v>
      </c>
      <c r="AG84" s="65"/>
      <c r="AH84" s="48">
        <f t="shared" si="5"/>
        <v>17848680</v>
      </c>
      <c r="AI84" s="48"/>
      <c r="AJ84" s="48">
        <v>0</v>
      </c>
      <c r="AK84" s="48"/>
      <c r="AL84" s="45">
        <f>1100000+1100063</f>
        <v>2200063</v>
      </c>
      <c r="AM84" s="45"/>
      <c r="AN84" s="45">
        <v>6105076</v>
      </c>
      <c r="AO84" s="45"/>
      <c r="AP84" s="45">
        <v>0</v>
      </c>
      <c r="AQ84" s="45"/>
      <c r="AR84" s="45">
        <f>+'GVFund Rev'!U84+'GVFund Rev'!W84-'GVFund Exp'!AH84-'GVFund Exp'!AL84+AJ84+AN84+AP84-'GV Fund BS'!S84</f>
        <v>0</v>
      </c>
      <c r="AS84" s="48"/>
    </row>
    <row r="85" spans="1:45" s="44" customFormat="1" ht="12.75" customHeight="1" x14ac:dyDescent="0.2">
      <c r="A85" s="35" t="s">
        <v>106</v>
      </c>
      <c r="C85" s="35" t="s">
        <v>107</v>
      </c>
      <c r="E85" s="45">
        <v>7563146</v>
      </c>
      <c r="F85" s="48"/>
      <c r="G85" s="45">
        <v>15311232</v>
      </c>
      <c r="H85" s="48"/>
      <c r="I85" s="45">
        <v>0</v>
      </c>
      <c r="J85" s="48"/>
      <c r="K85" s="45">
        <v>2085575</v>
      </c>
      <c r="L85" s="48"/>
      <c r="M85" s="45">
        <v>2555879</v>
      </c>
      <c r="N85" s="48"/>
      <c r="O85" s="45">
        <v>1359519</v>
      </c>
      <c r="P85" s="48"/>
      <c r="Q85" s="45">
        <v>0</v>
      </c>
      <c r="R85" s="48"/>
      <c r="S85" s="45">
        <v>5132329</v>
      </c>
      <c r="T85" s="48"/>
      <c r="U85" s="45">
        <v>0</v>
      </c>
      <c r="V85" s="48"/>
      <c r="W85" s="48"/>
      <c r="X85" s="35"/>
      <c r="Z85" s="35"/>
      <c r="AA85" s="35"/>
      <c r="AB85" s="45">
        <v>667203</v>
      </c>
      <c r="AC85" s="65"/>
      <c r="AD85" s="45">
        <v>411064</v>
      </c>
      <c r="AE85" s="65"/>
      <c r="AF85" s="45">
        <v>54920</v>
      </c>
      <c r="AG85" s="65"/>
      <c r="AH85" s="48">
        <f t="shared" si="5"/>
        <v>35140867</v>
      </c>
      <c r="AI85" s="48"/>
      <c r="AJ85" s="48">
        <v>0</v>
      </c>
      <c r="AK85" s="48"/>
      <c r="AL85" s="45">
        <v>21558621</v>
      </c>
      <c r="AM85" s="45"/>
      <c r="AN85" s="45">
        <v>16261174</v>
      </c>
      <c r="AO85" s="45"/>
      <c r="AP85" s="45">
        <f>61931+1983</f>
        <v>63914</v>
      </c>
      <c r="AQ85" s="45"/>
      <c r="AR85" s="45">
        <f>+'GVFund Rev'!U85+'GVFund Rev'!W85-'GVFund Exp'!AH85-'GVFund Exp'!AL85+AJ85+AN85+AP85-'GV Fund BS'!S85</f>
        <v>0</v>
      </c>
      <c r="AS85" s="48"/>
    </row>
    <row r="86" spans="1:45" s="44" customFormat="1" ht="12.75" customHeight="1" x14ac:dyDescent="0.2">
      <c r="A86" s="35" t="s">
        <v>108</v>
      </c>
      <c r="C86" s="35" t="s">
        <v>45</v>
      </c>
      <c r="E86" s="45">
        <v>3261901</v>
      </c>
      <c r="F86" s="48"/>
      <c r="G86" s="45">
        <v>8997071</v>
      </c>
      <c r="H86" s="48"/>
      <c r="I86" s="45">
        <v>1695953</v>
      </c>
      <c r="J86" s="48"/>
      <c r="K86" s="45">
        <v>20710</v>
      </c>
      <c r="L86" s="48"/>
      <c r="M86" s="45">
        <v>2289550</v>
      </c>
      <c r="N86" s="48"/>
      <c r="O86" s="45">
        <v>256593</v>
      </c>
      <c r="P86" s="48"/>
      <c r="Q86" s="45">
        <v>0</v>
      </c>
      <c r="R86" s="48"/>
      <c r="S86" s="45">
        <v>1894948</v>
      </c>
      <c r="T86" s="48"/>
      <c r="U86" s="45">
        <v>0</v>
      </c>
      <c r="V86" s="48"/>
      <c r="W86" s="48"/>
      <c r="X86" s="35"/>
      <c r="Z86" s="35"/>
      <c r="AA86" s="35"/>
      <c r="AB86" s="45">
        <v>233187</v>
      </c>
      <c r="AC86" s="65"/>
      <c r="AD86" s="45">
        <v>167541</v>
      </c>
      <c r="AE86" s="65"/>
      <c r="AF86" s="45">
        <v>36147</v>
      </c>
      <c r="AG86" s="65"/>
      <c r="AH86" s="48">
        <f t="shared" si="5"/>
        <v>18853601</v>
      </c>
      <c r="AI86" s="48"/>
      <c r="AJ86" s="48">
        <v>0</v>
      </c>
      <c r="AK86" s="48"/>
      <c r="AL86" s="45">
        <f>1928853+1018121</f>
        <v>2946974</v>
      </c>
      <c r="AM86" s="45"/>
      <c r="AN86" s="45">
        <v>8854630</v>
      </c>
      <c r="AO86" s="45"/>
      <c r="AP86" s="45">
        <v>0</v>
      </c>
      <c r="AQ86" s="45"/>
      <c r="AR86" s="45">
        <f>+'GVFund Rev'!U86+'GVFund Rev'!W86-'GVFund Exp'!AH86-'GVFund Exp'!AL86+AJ86+AN86+AP86-'GV Fund BS'!S86</f>
        <v>0</v>
      </c>
      <c r="AS86" s="48"/>
    </row>
    <row r="87" spans="1:45" s="44" customFormat="1" ht="12.75" customHeight="1" x14ac:dyDescent="0.2">
      <c r="A87" s="35" t="s">
        <v>109</v>
      </c>
      <c r="C87" s="35" t="s">
        <v>110</v>
      </c>
      <c r="E87" s="45">
        <v>1492532</v>
      </c>
      <c r="F87" s="48"/>
      <c r="G87" s="45">
        <v>4644549</v>
      </c>
      <c r="H87" s="48"/>
      <c r="I87" s="45">
        <v>587378</v>
      </c>
      <c r="J87" s="48"/>
      <c r="K87" s="45">
        <v>345347</v>
      </c>
      <c r="L87" s="48"/>
      <c r="M87" s="45">
        <v>722210</v>
      </c>
      <c r="N87" s="48"/>
      <c r="O87" s="45">
        <v>86158</v>
      </c>
      <c r="P87" s="48"/>
      <c r="Q87" s="45">
        <v>14080</v>
      </c>
      <c r="R87" s="48"/>
      <c r="S87" s="45">
        <v>643624</v>
      </c>
      <c r="T87" s="48"/>
      <c r="U87" s="45">
        <v>0</v>
      </c>
      <c r="V87" s="48"/>
      <c r="W87" s="48"/>
      <c r="X87" s="35"/>
      <c r="Z87" s="35"/>
      <c r="AA87" s="35"/>
      <c r="AB87" s="45">
        <v>119179</v>
      </c>
      <c r="AC87" s="65"/>
      <c r="AD87" s="45">
        <v>17501</v>
      </c>
      <c r="AE87" s="65"/>
      <c r="AF87" s="45">
        <v>0</v>
      </c>
      <c r="AG87" s="65"/>
      <c r="AH87" s="48">
        <f t="shared" si="5"/>
        <v>8672558</v>
      </c>
      <c r="AI87" s="48"/>
      <c r="AJ87" s="48">
        <v>0</v>
      </c>
      <c r="AK87" s="48"/>
      <c r="AL87" s="45">
        <v>540000</v>
      </c>
      <c r="AM87" s="45"/>
      <c r="AN87" s="45">
        <v>4604368</v>
      </c>
      <c r="AO87" s="45"/>
      <c r="AP87" s="45">
        <v>0</v>
      </c>
      <c r="AQ87" s="45"/>
      <c r="AR87" s="45">
        <f>+'GVFund Rev'!U87+'GVFund Rev'!W87-'GVFund Exp'!AH87-'GVFund Exp'!AL87+AJ87+AN87+AP87-'GV Fund BS'!S87</f>
        <v>0</v>
      </c>
      <c r="AS87" s="48"/>
    </row>
    <row r="88" spans="1:45" s="44" customFormat="1" ht="12.75" customHeight="1" x14ac:dyDescent="0.2">
      <c r="A88" s="35" t="s">
        <v>43</v>
      </c>
      <c r="C88" s="35" t="s">
        <v>111</v>
      </c>
      <c r="E88" s="45">
        <v>1933507</v>
      </c>
      <c r="F88" s="48"/>
      <c r="G88" s="45">
        <f>3293204+1591724+287827</f>
        <v>5172755</v>
      </c>
      <c r="H88" s="48"/>
      <c r="I88" s="45">
        <v>43926</v>
      </c>
      <c r="J88" s="48"/>
      <c r="K88" s="45">
        <v>13361</v>
      </c>
      <c r="L88" s="48"/>
      <c r="M88" s="45">
        <v>1013128</v>
      </c>
      <c r="N88" s="48"/>
      <c r="O88" s="45">
        <v>293418</v>
      </c>
      <c r="P88" s="48"/>
      <c r="Q88" s="45">
        <v>0</v>
      </c>
      <c r="R88" s="48"/>
      <c r="S88" s="45">
        <v>1167232</v>
      </c>
      <c r="T88" s="48"/>
      <c r="U88" s="45">
        <v>0</v>
      </c>
      <c r="V88" s="48"/>
      <c r="W88" s="48"/>
      <c r="X88" s="35"/>
      <c r="Z88" s="35"/>
      <c r="AA88" s="35"/>
      <c r="AB88" s="45">
        <v>646554</v>
      </c>
      <c r="AC88" s="65"/>
      <c r="AD88" s="45">
        <v>464365</v>
      </c>
      <c r="AE88" s="65"/>
      <c r="AF88" s="45">
        <v>140500</v>
      </c>
      <c r="AG88" s="65"/>
      <c r="AH88" s="48">
        <f t="shared" si="5"/>
        <v>10888746</v>
      </c>
      <c r="AI88" s="48"/>
      <c r="AJ88" s="48">
        <v>0</v>
      </c>
      <c r="AK88" s="48"/>
      <c r="AL88" s="45">
        <f>147000+2243996</f>
        <v>2390996</v>
      </c>
      <c r="AM88" s="45"/>
      <c r="AN88" s="45">
        <v>7714125</v>
      </c>
      <c r="AO88" s="45"/>
      <c r="AP88" s="45">
        <v>0</v>
      </c>
      <c r="AQ88" s="45"/>
      <c r="AR88" s="45">
        <f>+'GVFund Rev'!U88+'GVFund Rev'!W88-'GVFund Exp'!AH88-'GVFund Exp'!AL88+AJ88+AN88+AP88-'GV Fund BS'!S88</f>
        <v>0</v>
      </c>
      <c r="AS88" s="48"/>
    </row>
    <row r="89" spans="1:45" s="44" customFormat="1" ht="12.75" customHeight="1" x14ac:dyDescent="0.2">
      <c r="A89" s="35" t="s">
        <v>112</v>
      </c>
      <c r="C89" s="35" t="s">
        <v>76</v>
      </c>
      <c r="E89" s="45">
        <v>2207310</v>
      </c>
      <c r="F89" s="48"/>
      <c r="G89" s="45">
        <v>6490874</v>
      </c>
      <c r="H89" s="48"/>
      <c r="I89" s="45">
        <f>513543+135245</f>
        <v>648788</v>
      </c>
      <c r="J89" s="48"/>
      <c r="K89" s="45">
        <v>4246</v>
      </c>
      <c r="L89" s="48"/>
      <c r="M89" s="45">
        <v>1075087</v>
      </c>
      <c r="N89" s="48"/>
      <c r="O89" s="45">
        <v>1468774</v>
      </c>
      <c r="P89" s="48"/>
      <c r="Q89" s="45">
        <v>6029</v>
      </c>
      <c r="R89" s="48"/>
      <c r="S89" s="45">
        <v>2307611</v>
      </c>
      <c r="T89" s="48"/>
      <c r="U89" s="45">
        <v>0</v>
      </c>
      <c r="V89" s="48"/>
      <c r="W89" s="48"/>
      <c r="X89" s="35"/>
      <c r="Z89" s="35"/>
      <c r="AA89" s="35"/>
      <c r="AB89" s="45">
        <v>302727</v>
      </c>
      <c r="AC89" s="65"/>
      <c r="AD89" s="45">
        <v>114354</v>
      </c>
      <c r="AE89" s="65"/>
      <c r="AF89" s="45">
        <v>0</v>
      </c>
      <c r="AG89" s="65"/>
      <c r="AH89" s="48">
        <f t="shared" si="5"/>
        <v>14625800</v>
      </c>
      <c r="AI89" s="48"/>
      <c r="AJ89" s="48">
        <v>0</v>
      </c>
      <c r="AK89" s="48"/>
      <c r="AL89" s="45">
        <v>2311745</v>
      </c>
      <c r="AM89" s="45"/>
      <c r="AN89" s="45">
        <v>12286771</v>
      </c>
      <c r="AO89" s="45"/>
      <c r="AP89" s="45">
        <v>0</v>
      </c>
      <c r="AQ89" s="45"/>
      <c r="AR89" s="45">
        <f>+'GVFund Rev'!U89+'GVFund Rev'!W89-'GVFund Exp'!AH89-'GVFund Exp'!AL89+AJ89+AN89+AP89-'GV Fund BS'!S89</f>
        <v>0</v>
      </c>
      <c r="AS89" s="48"/>
    </row>
    <row r="90" spans="1:45" s="44" customFormat="1" ht="12.75" customHeight="1" x14ac:dyDescent="0.2">
      <c r="A90" s="35" t="s">
        <v>113</v>
      </c>
      <c r="C90" s="35" t="s">
        <v>43</v>
      </c>
      <c r="E90" s="45">
        <v>3979706</v>
      </c>
      <c r="F90" s="48"/>
      <c r="G90" s="45">
        <v>8583805</v>
      </c>
      <c r="H90" s="48"/>
      <c r="I90" s="45">
        <v>4211122</v>
      </c>
      <c r="J90" s="48"/>
      <c r="K90" s="45">
        <v>215060</v>
      </c>
      <c r="L90" s="48"/>
      <c r="M90" s="45">
        <v>2005668</v>
      </c>
      <c r="N90" s="48"/>
      <c r="O90" s="45">
        <v>2601027</v>
      </c>
      <c r="P90" s="48"/>
      <c r="Q90" s="45">
        <v>2378727</v>
      </c>
      <c r="R90" s="48"/>
      <c r="S90" s="45">
        <v>3132194</v>
      </c>
      <c r="T90" s="48"/>
      <c r="U90" s="45">
        <v>0</v>
      </c>
      <c r="V90" s="48"/>
      <c r="W90" s="48"/>
      <c r="X90" s="35"/>
      <c r="Z90" s="35"/>
      <c r="AA90" s="35"/>
      <c r="AB90" s="45">
        <v>875214</v>
      </c>
      <c r="AC90" s="65"/>
      <c r="AD90" s="45">
        <v>892242</v>
      </c>
      <c r="AE90" s="65"/>
      <c r="AF90" s="45">
        <v>0</v>
      </c>
      <c r="AG90" s="65"/>
      <c r="AH90" s="48">
        <f t="shared" si="5"/>
        <v>28874765</v>
      </c>
      <c r="AI90" s="48"/>
      <c r="AJ90" s="48">
        <v>0</v>
      </c>
      <c r="AK90" s="48"/>
      <c r="AL90" s="45">
        <v>3096136</v>
      </c>
      <c r="AM90" s="45"/>
      <c r="AN90" s="45">
        <v>32527504</v>
      </c>
      <c r="AO90" s="45"/>
      <c r="AP90" s="45">
        <v>0</v>
      </c>
      <c r="AQ90" s="45"/>
      <c r="AR90" s="45">
        <f>+'GVFund Rev'!U90+'GVFund Rev'!W90-'GVFund Exp'!AH90-'GVFund Exp'!AL90+AJ90+AN90+AP90-'GV Fund BS'!S90</f>
        <v>0</v>
      </c>
      <c r="AS90" s="48"/>
    </row>
    <row r="91" spans="1:45" s="44" customFormat="1" ht="12.75" customHeight="1" x14ac:dyDescent="0.2">
      <c r="A91" s="35" t="s">
        <v>489</v>
      </c>
      <c r="C91" s="35" t="s">
        <v>57</v>
      </c>
      <c r="E91" s="45">
        <v>1163940</v>
      </c>
      <c r="F91" s="48"/>
      <c r="G91" s="45">
        <f>1824541+1848497</f>
        <v>3673038</v>
      </c>
      <c r="H91" s="48"/>
      <c r="I91" s="45">
        <v>313795</v>
      </c>
      <c r="J91" s="48"/>
      <c r="K91" s="45">
        <v>480228</v>
      </c>
      <c r="L91" s="48"/>
      <c r="M91" s="45">
        <v>1150095</v>
      </c>
      <c r="N91" s="48"/>
      <c r="O91" s="45">
        <v>184684</v>
      </c>
      <c r="P91" s="48"/>
      <c r="Q91" s="45">
        <v>0</v>
      </c>
      <c r="R91" s="48"/>
      <c r="S91" s="45">
        <v>0</v>
      </c>
      <c r="T91" s="48"/>
      <c r="U91" s="45">
        <v>0</v>
      </c>
      <c r="V91" s="48"/>
      <c r="W91" s="48"/>
      <c r="X91" s="35"/>
      <c r="Z91" s="35"/>
      <c r="AA91" s="35"/>
      <c r="AB91" s="45">
        <v>399997</v>
      </c>
      <c r="AC91" s="65"/>
      <c r="AD91" s="45">
        <v>120349</v>
      </c>
      <c r="AE91" s="65"/>
      <c r="AF91" s="45">
        <v>0</v>
      </c>
      <c r="AG91" s="65"/>
      <c r="AH91" s="48">
        <f t="shared" si="5"/>
        <v>7486126</v>
      </c>
      <c r="AI91" s="48"/>
      <c r="AJ91" s="48">
        <v>0</v>
      </c>
      <c r="AK91" s="48"/>
      <c r="AL91" s="45">
        <v>899856</v>
      </c>
      <c r="AM91" s="45"/>
      <c r="AN91" s="45">
        <v>5525755</v>
      </c>
      <c r="AO91" s="45"/>
      <c r="AP91" s="45">
        <v>0</v>
      </c>
      <c r="AQ91" s="45"/>
      <c r="AR91" s="45">
        <f>+'GVFund Rev'!U91+'GVFund Rev'!W91-'GVFund Exp'!AH91-'GVFund Exp'!AL91+AJ91+AN91+AP91-'GV Fund BS'!S91</f>
        <v>0</v>
      </c>
      <c r="AS91" s="48"/>
    </row>
    <row r="92" spans="1:45" s="44" customFormat="1" ht="12.75" customHeight="1" x14ac:dyDescent="0.2">
      <c r="A92" s="35" t="s">
        <v>114</v>
      </c>
      <c r="C92" s="35" t="s">
        <v>27</v>
      </c>
      <c r="E92" s="45">
        <v>7969134</v>
      </c>
      <c r="F92" s="48"/>
      <c r="G92" s="45">
        <v>12494201</v>
      </c>
      <c r="H92" s="48"/>
      <c r="I92" s="45">
        <v>176065</v>
      </c>
      <c r="J92" s="48"/>
      <c r="K92" s="45">
        <v>476202</v>
      </c>
      <c r="L92" s="48"/>
      <c r="M92" s="45">
        <v>1561651</v>
      </c>
      <c r="N92" s="48"/>
      <c r="O92" s="45">
        <v>800839</v>
      </c>
      <c r="P92" s="48"/>
      <c r="Q92" s="45">
        <v>2306535</v>
      </c>
      <c r="R92" s="48"/>
      <c r="S92" s="45">
        <v>693617</v>
      </c>
      <c r="T92" s="48"/>
      <c r="U92" s="45">
        <v>0</v>
      </c>
      <c r="V92" s="48"/>
      <c r="W92" s="48"/>
      <c r="X92" s="35"/>
      <c r="Z92" s="35"/>
      <c r="AA92" s="35"/>
      <c r="AB92" s="45">
        <v>2216489</v>
      </c>
      <c r="AC92" s="65"/>
      <c r="AD92" s="45">
        <v>1488373</v>
      </c>
      <c r="AE92" s="65"/>
      <c r="AF92" s="45">
        <v>0</v>
      </c>
      <c r="AG92" s="65"/>
      <c r="AH92" s="48">
        <f t="shared" si="5"/>
        <v>30183106</v>
      </c>
      <c r="AI92" s="48"/>
      <c r="AJ92" s="48">
        <v>0</v>
      </c>
      <c r="AK92" s="48"/>
      <c r="AL92" s="45">
        <v>2353400</v>
      </c>
      <c r="AM92" s="45"/>
      <c r="AN92" s="45">
        <v>-4752519</v>
      </c>
      <c r="AO92" s="45"/>
      <c r="AP92" s="45">
        <v>0</v>
      </c>
      <c r="AQ92" s="45"/>
      <c r="AR92" s="45">
        <f>+'GVFund Rev'!U92+'GVFund Rev'!W92-'GVFund Exp'!AH92-'GVFund Exp'!AL92+AJ92+AN92+AP92-'GV Fund BS'!S92</f>
        <v>0</v>
      </c>
      <c r="AS92" s="48"/>
    </row>
    <row r="93" spans="1:45" s="44" customFormat="1" ht="12.75" customHeight="1" x14ac:dyDescent="0.2">
      <c r="A93" s="35" t="s">
        <v>115</v>
      </c>
      <c r="C93" s="35" t="s">
        <v>19</v>
      </c>
      <c r="E93" s="45">
        <v>1108990</v>
      </c>
      <c r="F93" s="48"/>
      <c r="G93" s="45">
        <v>2384255</v>
      </c>
      <c r="H93" s="48"/>
      <c r="I93" s="45">
        <v>1345424</v>
      </c>
      <c r="J93" s="48"/>
      <c r="K93" s="45">
        <v>0</v>
      </c>
      <c r="L93" s="48"/>
      <c r="M93" s="45">
        <v>787899</v>
      </c>
      <c r="N93" s="48"/>
      <c r="O93" s="45">
        <v>170306</v>
      </c>
      <c r="P93" s="48"/>
      <c r="Q93" s="45">
        <v>0</v>
      </c>
      <c r="R93" s="48"/>
      <c r="S93" s="45">
        <v>761908</v>
      </c>
      <c r="T93" s="48"/>
      <c r="U93" s="45">
        <v>0</v>
      </c>
      <c r="V93" s="48"/>
      <c r="W93" s="48"/>
      <c r="X93" s="35"/>
      <c r="Z93" s="35"/>
      <c r="AA93" s="35"/>
      <c r="AB93" s="45">
        <v>410647</v>
      </c>
      <c r="AC93" s="65"/>
      <c r="AD93" s="45">
        <v>133610</v>
      </c>
      <c r="AE93" s="65"/>
      <c r="AF93" s="45">
        <v>0</v>
      </c>
      <c r="AG93" s="65"/>
      <c r="AH93" s="48">
        <f t="shared" si="5"/>
        <v>7103039</v>
      </c>
      <c r="AI93" s="48"/>
      <c r="AJ93" s="48">
        <v>0</v>
      </c>
      <c r="AK93" s="48"/>
      <c r="AL93" s="45">
        <v>1129457</v>
      </c>
      <c r="AM93" s="45"/>
      <c r="AN93" s="45">
        <v>2517845</v>
      </c>
      <c r="AO93" s="45"/>
      <c r="AP93" s="45">
        <v>0</v>
      </c>
      <c r="AQ93" s="45"/>
      <c r="AR93" s="45">
        <f>+'GVFund Rev'!U93+'GVFund Rev'!W93-'GVFund Exp'!AH93-'GVFund Exp'!AL93+AJ93+AN93+AP93-'GV Fund BS'!S93</f>
        <v>0</v>
      </c>
      <c r="AS93" s="48"/>
    </row>
    <row r="94" spans="1:45" s="44" customFormat="1" ht="12.75" customHeight="1" x14ac:dyDescent="0.2">
      <c r="A94" s="35" t="s">
        <v>116</v>
      </c>
      <c r="C94" s="35" t="s">
        <v>80</v>
      </c>
      <c r="E94" s="45">
        <v>2068685</v>
      </c>
      <c r="F94" s="48"/>
      <c r="G94" s="45">
        <v>3136719</v>
      </c>
      <c r="H94" s="48"/>
      <c r="I94" s="45">
        <v>484775</v>
      </c>
      <c r="J94" s="48"/>
      <c r="K94" s="45">
        <v>171466</v>
      </c>
      <c r="L94" s="48"/>
      <c r="M94" s="45">
        <v>1099286</v>
      </c>
      <c r="N94" s="48"/>
      <c r="O94" s="45">
        <v>289776</v>
      </c>
      <c r="P94" s="48"/>
      <c r="Q94" s="45">
        <v>451311</v>
      </c>
      <c r="R94" s="48"/>
      <c r="S94" s="45">
        <v>166815</v>
      </c>
      <c r="T94" s="48"/>
      <c r="U94" s="45">
        <v>0</v>
      </c>
      <c r="V94" s="48"/>
      <c r="W94" s="48"/>
      <c r="X94" s="35"/>
      <c r="Z94" s="35"/>
      <c r="AA94" s="35"/>
      <c r="AB94" s="45">
        <v>49995</v>
      </c>
      <c r="AC94" s="65"/>
      <c r="AD94" s="45">
        <v>100872</v>
      </c>
      <c r="AE94" s="65"/>
      <c r="AF94" s="45">
        <v>0</v>
      </c>
      <c r="AG94" s="65"/>
      <c r="AH94" s="48">
        <f t="shared" si="5"/>
        <v>8019700</v>
      </c>
      <c r="AI94" s="48"/>
      <c r="AJ94" s="48">
        <v>0</v>
      </c>
      <c r="AK94" s="48"/>
      <c r="AL94" s="45">
        <v>0</v>
      </c>
      <c r="AM94" s="45"/>
      <c r="AN94" s="45">
        <v>-3481603</v>
      </c>
      <c r="AO94" s="45"/>
      <c r="AP94" s="45">
        <v>0</v>
      </c>
      <c r="AQ94" s="45"/>
      <c r="AR94" s="45">
        <f>+'GVFund Rev'!U94+'GVFund Rev'!W94-'GVFund Exp'!AH94-'GVFund Exp'!AL94+AJ94+AN94+AP94-'GV Fund BS'!S94</f>
        <v>0</v>
      </c>
      <c r="AS94" s="48"/>
    </row>
    <row r="95" spans="1:45" s="44" customFormat="1" ht="12.75" customHeight="1" x14ac:dyDescent="0.2">
      <c r="A95" s="44" t="s">
        <v>117</v>
      </c>
      <c r="C95" s="35" t="s">
        <v>43</v>
      </c>
      <c r="D95" s="44" t="s">
        <v>450</v>
      </c>
      <c r="E95" s="45">
        <v>2210917</v>
      </c>
      <c r="F95" s="48"/>
      <c r="G95" s="45">
        <v>4489567</v>
      </c>
      <c r="H95" s="48"/>
      <c r="I95" s="45">
        <v>1155347</v>
      </c>
      <c r="J95" s="48"/>
      <c r="K95" s="45">
        <v>43126</v>
      </c>
      <c r="L95" s="48"/>
      <c r="M95" s="45">
        <v>628207</v>
      </c>
      <c r="N95" s="48"/>
      <c r="O95" s="45">
        <v>835953</v>
      </c>
      <c r="P95" s="48"/>
      <c r="Q95" s="45">
        <v>718703</v>
      </c>
      <c r="R95" s="48"/>
      <c r="S95" s="45">
        <v>1644618</v>
      </c>
      <c r="T95" s="48"/>
      <c r="U95" s="45">
        <v>0</v>
      </c>
      <c r="V95" s="48"/>
      <c r="W95" s="48"/>
      <c r="X95" s="35"/>
      <c r="Z95" s="35"/>
      <c r="AA95" s="35"/>
      <c r="AB95" s="45">
        <v>110875</v>
      </c>
      <c r="AC95" s="65"/>
      <c r="AD95" s="45">
        <v>19262</v>
      </c>
      <c r="AE95" s="65"/>
      <c r="AF95" s="45">
        <v>0</v>
      </c>
      <c r="AG95" s="65"/>
      <c r="AH95" s="48">
        <f t="shared" si="5"/>
        <v>11856575</v>
      </c>
      <c r="AI95" s="48"/>
      <c r="AJ95" s="48">
        <v>0</v>
      </c>
      <c r="AK95" s="48"/>
      <c r="AL95" s="45">
        <v>59774</v>
      </c>
      <c r="AM95" s="45"/>
      <c r="AN95" s="45">
        <v>4449939</v>
      </c>
      <c r="AO95" s="45"/>
      <c r="AP95" s="45">
        <v>0</v>
      </c>
      <c r="AQ95" s="45"/>
      <c r="AR95" s="45">
        <f>+'GVFund Rev'!U95+'GVFund Rev'!W95-'GVFund Exp'!AH95-'GVFund Exp'!AL95+AJ95+AN95+AP95-'GV Fund BS'!S95</f>
        <v>0</v>
      </c>
      <c r="AS95" s="48"/>
    </row>
    <row r="96" spans="1:45" s="44" customFormat="1" ht="12.75" customHeight="1" x14ac:dyDescent="0.2">
      <c r="A96" s="64" t="s">
        <v>118</v>
      </c>
      <c r="B96" s="46"/>
      <c r="C96" s="64" t="s">
        <v>13</v>
      </c>
      <c r="D96" s="46"/>
      <c r="E96" s="45">
        <v>5695648</v>
      </c>
      <c r="F96" s="48"/>
      <c r="G96" s="45">
        <v>7717517</v>
      </c>
      <c r="H96" s="48"/>
      <c r="I96" s="45">
        <v>876986</v>
      </c>
      <c r="J96" s="48"/>
      <c r="K96" s="45">
        <v>272864</v>
      </c>
      <c r="L96" s="48"/>
      <c r="M96" s="45">
        <v>5073329</v>
      </c>
      <c r="N96" s="48"/>
      <c r="O96" s="45">
        <v>690620</v>
      </c>
      <c r="P96" s="48"/>
      <c r="Q96" s="45">
        <v>0</v>
      </c>
      <c r="R96" s="48"/>
      <c r="S96" s="45">
        <v>1629063</v>
      </c>
      <c r="T96" s="48"/>
      <c r="U96" s="45">
        <v>0</v>
      </c>
      <c r="V96" s="48"/>
      <c r="W96" s="48"/>
      <c r="X96" s="35"/>
      <c r="Z96" s="35"/>
      <c r="AA96" s="35"/>
      <c r="AB96" s="45">
        <v>1585832</v>
      </c>
      <c r="AC96" s="65"/>
      <c r="AD96" s="45">
        <v>2278453</v>
      </c>
      <c r="AE96" s="65"/>
      <c r="AF96" s="45">
        <v>142904</v>
      </c>
      <c r="AG96" s="65"/>
      <c r="AH96" s="48">
        <f t="shared" si="5"/>
        <v>25963216</v>
      </c>
      <c r="AI96" s="48"/>
      <c r="AJ96" s="48">
        <v>0</v>
      </c>
      <c r="AK96" s="48"/>
      <c r="AL96" s="45">
        <f>21096+3995000</f>
        <v>4016096</v>
      </c>
      <c r="AM96" s="45"/>
      <c r="AN96" s="45">
        <v>38429744</v>
      </c>
      <c r="AO96" s="45"/>
      <c r="AP96" s="45">
        <v>0</v>
      </c>
      <c r="AQ96" s="45"/>
      <c r="AR96" s="45">
        <f>+'GVFund Rev'!U96+'GVFund Rev'!W96-'GVFund Exp'!AH96-'GVFund Exp'!AL96+AJ96+AN96+AP96-'GV Fund BS'!S96</f>
        <v>0</v>
      </c>
      <c r="AS96" s="48"/>
    </row>
    <row r="97" spans="1:45" s="44" customFormat="1" ht="12.75" customHeight="1" x14ac:dyDescent="0.2">
      <c r="A97" s="35" t="s">
        <v>120</v>
      </c>
      <c r="C97" s="35" t="s">
        <v>121</v>
      </c>
      <c r="E97" s="45">
        <v>1766407</v>
      </c>
      <c r="F97" s="48"/>
      <c r="G97" s="45">
        <v>4480921</v>
      </c>
      <c r="H97" s="48"/>
      <c r="I97" s="45">
        <v>506</v>
      </c>
      <c r="J97" s="48"/>
      <c r="K97" s="45">
        <v>319</v>
      </c>
      <c r="L97" s="48"/>
      <c r="M97" s="45">
        <v>1690369</v>
      </c>
      <c r="N97" s="48"/>
      <c r="O97" s="45">
        <v>452391</v>
      </c>
      <c r="P97" s="48"/>
      <c r="Q97" s="45">
        <v>170626</v>
      </c>
      <c r="R97" s="48"/>
      <c r="S97" s="45">
        <v>1471377</v>
      </c>
      <c r="T97" s="48"/>
      <c r="U97" s="45">
        <v>0</v>
      </c>
      <c r="V97" s="48"/>
      <c r="W97" s="48"/>
      <c r="X97" s="35"/>
      <c r="Z97" s="35"/>
      <c r="AA97" s="35"/>
      <c r="AB97" s="45">
        <v>363867</v>
      </c>
      <c r="AC97" s="65"/>
      <c r="AD97" s="45">
        <v>121475</v>
      </c>
      <c r="AE97" s="65"/>
      <c r="AF97" s="45">
        <v>1728</v>
      </c>
      <c r="AG97" s="65"/>
      <c r="AH97" s="48">
        <f t="shared" si="5"/>
        <v>10519986</v>
      </c>
      <c r="AI97" s="48"/>
      <c r="AJ97" s="48">
        <v>0</v>
      </c>
      <c r="AK97" s="48"/>
      <c r="AL97" s="45">
        <f>92500+1476420</f>
        <v>1568920</v>
      </c>
      <c r="AM97" s="45"/>
      <c r="AN97" s="45">
        <v>4782887</v>
      </c>
      <c r="AO97" s="45"/>
      <c r="AP97" s="45">
        <v>0</v>
      </c>
      <c r="AQ97" s="45"/>
      <c r="AR97" s="45">
        <f>+'GVFund Rev'!U97+'GVFund Rev'!W97-'GVFund Exp'!AH97-'GVFund Exp'!AL97+AJ97+AN97+AP97-'GV Fund BS'!S97</f>
        <v>0</v>
      </c>
      <c r="AS97" s="48"/>
    </row>
    <row r="98" spans="1:45" s="44" customFormat="1" ht="12.75" customHeight="1" x14ac:dyDescent="0.2">
      <c r="A98" s="35" t="s">
        <v>122</v>
      </c>
      <c r="C98" s="35" t="s">
        <v>43</v>
      </c>
      <c r="E98" s="45">
        <f>8120346+1716884</f>
        <v>9837230</v>
      </c>
      <c r="F98" s="48"/>
      <c r="G98" s="45">
        <v>9296235</v>
      </c>
      <c r="H98" s="48"/>
      <c r="I98" s="45">
        <v>1501817</v>
      </c>
      <c r="J98" s="48"/>
      <c r="K98" s="45">
        <v>279720</v>
      </c>
      <c r="L98" s="48"/>
      <c r="M98" s="45">
        <v>1352002</v>
      </c>
      <c r="N98" s="48"/>
      <c r="O98" s="45">
        <v>2093314</v>
      </c>
      <c r="P98" s="48"/>
      <c r="Q98" s="45">
        <v>0</v>
      </c>
      <c r="R98" s="48"/>
      <c r="S98" s="45">
        <v>8154295</v>
      </c>
      <c r="T98" s="48"/>
      <c r="U98" s="45">
        <v>0</v>
      </c>
      <c r="V98" s="48"/>
      <c r="W98" s="48"/>
      <c r="X98" s="35"/>
      <c r="Z98" s="35"/>
      <c r="AA98" s="35"/>
      <c r="AB98" s="45">
        <v>1579244</v>
      </c>
      <c r="AC98" s="65"/>
      <c r="AD98" s="45">
        <v>1593119</v>
      </c>
      <c r="AE98" s="65"/>
      <c r="AF98" s="45">
        <v>0</v>
      </c>
      <c r="AG98" s="65"/>
      <c r="AH98" s="48">
        <f t="shared" si="5"/>
        <v>35686976</v>
      </c>
      <c r="AI98" s="48"/>
      <c r="AJ98" s="48">
        <v>0</v>
      </c>
      <c r="AK98" s="48"/>
      <c r="AL98" s="45">
        <v>791297</v>
      </c>
      <c r="AM98" s="45"/>
      <c r="AN98" s="45">
        <v>39120478</v>
      </c>
      <c r="AO98" s="45"/>
      <c r="AP98" s="45">
        <v>0</v>
      </c>
      <c r="AQ98" s="45"/>
      <c r="AR98" s="45">
        <f>+'GVFund Rev'!U98+'GVFund Rev'!W98-'GVFund Exp'!AH98-'GVFund Exp'!AL98+AJ98+AN98+AP98-'GV Fund BS'!S98</f>
        <v>0</v>
      </c>
      <c r="AS98" s="48"/>
    </row>
    <row r="99" spans="1:45" s="44" customFormat="1" ht="12.75" customHeight="1" x14ac:dyDescent="0.2">
      <c r="A99" s="35" t="s">
        <v>507</v>
      </c>
      <c r="B99" s="51"/>
      <c r="C99" s="35" t="s">
        <v>43</v>
      </c>
      <c r="E99" s="45">
        <v>4858175</v>
      </c>
      <c r="F99" s="48"/>
      <c r="G99" s="45">
        <v>1589737</v>
      </c>
      <c r="H99" s="48"/>
      <c r="I99" s="45">
        <f>247587+124227</f>
        <v>371814</v>
      </c>
      <c r="J99" s="48"/>
      <c r="K99" s="45">
        <v>47635</v>
      </c>
      <c r="L99" s="48"/>
      <c r="M99" s="45">
        <v>688179</v>
      </c>
      <c r="N99" s="48"/>
      <c r="O99" s="45">
        <v>3052706</v>
      </c>
      <c r="P99" s="48"/>
      <c r="Q99" s="45">
        <v>0</v>
      </c>
      <c r="R99" s="48"/>
      <c r="S99" s="45">
        <v>1055131</v>
      </c>
      <c r="T99" s="48"/>
      <c r="U99" s="45">
        <v>0</v>
      </c>
      <c r="V99" s="48"/>
      <c r="W99" s="48"/>
      <c r="X99" s="35"/>
      <c r="Z99" s="35"/>
      <c r="AA99" s="35"/>
      <c r="AB99" s="45">
        <v>1212059</v>
      </c>
      <c r="AC99" s="65"/>
      <c r="AD99" s="45">
        <v>727083</v>
      </c>
      <c r="AE99" s="65"/>
      <c r="AF99" s="45">
        <v>8385</v>
      </c>
      <c r="AG99" s="65"/>
      <c r="AH99" s="48">
        <f t="shared" si="5"/>
        <v>13610904</v>
      </c>
      <c r="AI99" s="48"/>
      <c r="AJ99" s="48"/>
      <c r="AK99" s="48"/>
      <c r="AL99" s="45">
        <v>522967</v>
      </c>
      <c r="AM99" s="45"/>
      <c r="AN99" s="45">
        <v>5105672</v>
      </c>
      <c r="AO99" s="45"/>
      <c r="AP99" s="45">
        <v>0</v>
      </c>
      <c r="AQ99" s="45"/>
      <c r="AR99" s="45">
        <f>+'GVFund Rev'!U99+'GVFund Rev'!W99-'GVFund Exp'!AH99-'GVFund Exp'!AL99+AJ99+AN99+AP99-'GV Fund BS'!S99</f>
        <v>0</v>
      </c>
      <c r="AS99" s="48"/>
    </row>
    <row r="100" spans="1:45" s="44" customFormat="1" ht="12.75" customHeight="1" x14ac:dyDescent="0.2">
      <c r="A100" s="44" t="s">
        <v>45</v>
      </c>
      <c r="C100" s="35" t="s">
        <v>103</v>
      </c>
      <c r="E100" s="45">
        <v>5089992</v>
      </c>
      <c r="F100" s="48"/>
      <c r="G100" s="45">
        <v>30807813</v>
      </c>
      <c r="H100" s="48"/>
      <c r="I100" s="45">
        <v>2754638</v>
      </c>
      <c r="J100" s="48"/>
      <c r="K100" s="45">
        <v>1115975</v>
      </c>
      <c r="L100" s="48"/>
      <c r="M100" s="45">
        <v>3924752</v>
      </c>
      <c r="N100" s="48"/>
      <c r="O100" s="45">
        <v>1662185</v>
      </c>
      <c r="P100" s="48"/>
      <c r="Q100" s="45">
        <v>5821649</v>
      </c>
      <c r="R100" s="48"/>
      <c r="S100" s="45">
        <v>6762309</v>
      </c>
      <c r="T100" s="48"/>
      <c r="U100" s="45">
        <v>0</v>
      </c>
      <c r="V100" s="48"/>
      <c r="W100" s="48"/>
      <c r="X100" s="35"/>
      <c r="Z100" s="35"/>
      <c r="AA100" s="35"/>
      <c r="AB100" s="45">
        <v>2485000</v>
      </c>
      <c r="AC100" s="65"/>
      <c r="AD100" s="45">
        <v>1750626</v>
      </c>
      <c r="AE100" s="65"/>
      <c r="AF100" s="45">
        <v>0</v>
      </c>
      <c r="AG100" s="65"/>
      <c r="AH100" s="48">
        <f t="shared" si="5"/>
        <v>62174939</v>
      </c>
      <c r="AI100" s="48"/>
      <c r="AJ100" s="48">
        <v>0</v>
      </c>
      <c r="AK100" s="48"/>
      <c r="AL100" s="45">
        <f>19621590+4214964</f>
        <v>23836554</v>
      </c>
      <c r="AM100" s="45"/>
      <c r="AN100" s="45">
        <v>20850778</v>
      </c>
      <c r="AO100" s="45"/>
      <c r="AP100" s="45">
        <v>48549</v>
      </c>
      <c r="AQ100" s="45"/>
      <c r="AR100" s="45">
        <f>+'GVFund Rev'!U100+'GVFund Rev'!W100-'GVFund Exp'!AH100-'GVFund Exp'!AL100+AJ100+AN100+AP100-'GV Fund BS'!S100</f>
        <v>0</v>
      </c>
      <c r="AS100" s="48"/>
    </row>
    <row r="101" spans="1:45" s="44" customFormat="1" ht="12.75" customHeight="1" x14ac:dyDescent="0.2">
      <c r="A101" s="46" t="s">
        <v>123</v>
      </c>
      <c r="B101" s="46"/>
      <c r="C101" s="64" t="s">
        <v>45</v>
      </c>
      <c r="D101" s="46"/>
      <c r="E101" s="45">
        <v>1311725</v>
      </c>
      <c r="F101" s="48"/>
      <c r="G101" s="45">
        <v>5917133</v>
      </c>
      <c r="H101" s="48"/>
      <c r="I101" s="45">
        <v>124383</v>
      </c>
      <c r="J101" s="48"/>
      <c r="K101" s="45">
        <v>292932</v>
      </c>
      <c r="L101" s="48"/>
      <c r="M101" s="45">
        <v>677233</v>
      </c>
      <c r="N101" s="48"/>
      <c r="O101" s="45">
        <v>220659</v>
      </c>
      <c r="P101" s="48"/>
      <c r="Q101" s="45">
        <v>0</v>
      </c>
      <c r="R101" s="48"/>
      <c r="S101" s="45">
        <v>1971979</v>
      </c>
      <c r="T101" s="48"/>
      <c r="U101" s="45">
        <v>0</v>
      </c>
      <c r="V101" s="48"/>
      <c r="W101" s="48"/>
      <c r="X101" s="35"/>
      <c r="Z101" s="35"/>
      <c r="AA101" s="35"/>
      <c r="AB101" s="45">
        <v>573628</v>
      </c>
      <c r="AC101" s="65"/>
      <c r="AD101" s="45">
        <v>251220</v>
      </c>
      <c r="AE101" s="65"/>
      <c r="AF101" s="45">
        <v>0</v>
      </c>
      <c r="AG101" s="65"/>
      <c r="AH101" s="48">
        <f t="shared" si="5"/>
        <v>11340892</v>
      </c>
      <c r="AI101" s="48"/>
      <c r="AJ101" s="48">
        <v>0</v>
      </c>
      <c r="AK101" s="48"/>
      <c r="AL101" s="45">
        <v>1691263</v>
      </c>
      <c r="AM101" s="45"/>
      <c r="AN101" s="45">
        <v>3278412</v>
      </c>
      <c r="AO101" s="45"/>
      <c r="AP101" s="45">
        <v>0</v>
      </c>
      <c r="AQ101" s="45"/>
      <c r="AR101" s="45">
        <f>+'GVFund Rev'!U101+'GVFund Rev'!W101-'GVFund Exp'!AH101-'GVFund Exp'!AL101+AJ101+AN101+AP101-'GV Fund BS'!S101</f>
        <v>0</v>
      </c>
      <c r="AS101" s="48"/>
    </row>
    <row r="102" spans="1:45" s="44" customFormat="1" ht="12.75" customHeight="1" x14ac:dyDescent="0.2">
      <c r="A102" s="35" t="s">
        <v>124</v>
      </c>
      <c r="C102" s="35" t="s">
        <v>125</v>
      </c>
      <c r="E102" s="45">
        <v>1360970</v>
      </c>
      <c r="F102" s="48"/>
      <c r="G102" s="45">
        <v>4949955</v>
      </c>
      <c r="H102" s="48"/>
      <c r="I102" s="45">
        <v>322269</v>
      </c>
      <c r="J102" s="48"/>
      <c r="K102" s="45">
        <v>56000</v>
      </c>
      <c r="L102" s="48"/>
      <c r="M102" s="45">
        <v>1382405</v>
      </c>
      <c r="N102" s="48"/>
      <c r="O102" s="45">
        <v>1291498</v>
      </c>
      <c r="P102" s="48"/>
      <c r="Q102" s="45">
        <v>252530</v>
      </c>
      <c r="R102" s="48"/>
      <c r="S102" s="45">
        <v>0</v>
      </c>
      <c r="T102" s="48"/>
      <c r="U102" s="45">
        <v>0</v>
      </c>
      <c r="V102" s="48"/>
      <c r="W102" s="48"/>
      <c r="X102" s="35"/>
      <c r="Z102" s="35"/>
      <c r="AA102" s="35"/>
      <c r="AB102" s="45">
        <v>322047</v>
      </c>
      <c r="AC102" s="65"/>
      <c r="AD102" s="45">
        <v>164084</v>
      </c>
      <c r="AE102" s="65"/>
      <c r="AF102" s="45">
        <v>0</v>
      </c>
      <c r="AG102" s="65"/>
      <c r="AH102" s="48">
        <f t="shared" si="5"/>
        <v>10101758</v>
      </c>
      <c r="AI102" s="48"/>
      <c r="AJ102" s="48">
        <v>0</v>
      </c>
      <c r="AK102" s="48"/>
      <c r="AL102" s="45">
        <f>1283255+1223023</f>
        <v>2506278</v>
      </c>
      <c r="AM102" s="45"/>
      <c r="AN102" s="45">
        <v>7030344</v>
      </c>
      <c r="AO102" s="45"/>
      <c r="AP102" s="45">
        <v>26289</v>
      </c>
      <c r="AQ102" s="45"/>
      <c r="AR102" s="45">
        <f>+'GVFund Rev'!U102+'GVFund Rev'!W102-'GVFund Exp'!AH102-'GVFund Exp'!AL102+AJ102+AN102+AP102-'GV Fund BS'!S102</f>
        <v>0</v>
      </c>
      <c r="AS102" s="48"/>
    </row>
    <row r="103" spans="1:45" s="44" customFormat="1" ht="12.75" customHeight="1" x14ac:dyDescent="0.2">
      <c r="A103" s="35" t="s">
        <v>126</v>
      </c>
      <c r="C103" s="35" t="s">
        <v>27</v>
      </c>
      <c r="E103" s="45">
        <v>2439646</v>
      </c>
      <c r="F103" s="48"/>
      <c r="G103" s="45">
        <v>6305028</v>
      </c>
      <c r="H103" s="48"/>
      <c r="I103" s="45">
        <v>122986</v>
      </c>
      <c r="J103" s="48"/>
      <c r="K103" s="45">
        <v>37617</v>
      </c>
      <c r="L103" s="48"/>
      <c r="M103" s="45">
        <v>872905</v>
      </c>
      <c r="N103" s="48"/>
      <c r="O103" s="45">
        <v>577378</v>
      </c>
      <c r="P103" s="48"/>
      <c r="Q103" s="45">
        <v>1915962</v>
      </c>
      <c r="R103" s="48"/>
      <c r="S103" s="45">
        <v>182169</v>
      </c>
      <c r="T103" s="48"/>
      <c r="U103" s="45">
        <v>0</v>
      </c>
      <c r="V103" s="48"/>
      <c r="W103" s="48"/>
      <c r="X103" s="35"/>
      <c r="Z103" s="35"/>
      <c r="AA103" s="35"/>
      <c r="AB103" s="45">
        <v>1127393</v>
      </c>
      <c r="AC103" s="65"/>
      <c r="AD103" s="45">
        <v>413988</v>
      </c>
      <c r="AE103" s="65"/>
      <c r="AF103" s="45">
        <f>134688+125870</f>
        <v>260558</v>
      </c>
      <c r="AG103" s="65"/>
      <c r="AH103" s="48">
        <f t="shared" si="5"/>
        <v>14255630</v>
      </c>
      <c r="AI103" s="48"/>
      <c r="AJ103" s="48">
        <v>0</v>
      </c>
      <c r="AK103" s="48"/>
      <c r="AL103" s="45">
        <f>5175000+1204669</f>
        <v>6379669</v>
      </c>
      <c r="AM103" s="45"/>
      <c r="AN103" s="45">
        <v>9421620</v>
      </c>
      <c r="AO103" s="45"/>
      <c r="AP103" s="45">
        <v>-31592</v>
      </c>
      <c r="AQ103" s="45"/>
      <c r="AR103" s="45">
        <f>+'GVFund Rev'!U103+'GVFund Rev'!W103-'GVFund Exp'!AH103-'GVFund Exp'!AL103+AJ103+AN103+AP103-'GV Fund BS'!S103</f>
        <v>0</v>
      </c>
      <c r="AS103" s="48"/>
    </row>
    <row r="104" spans="1:45" s="44" customFormat="1" ht="12.75" customHeight="1" x14ac:dyDescent="0.2">
      <c r="A104" s="35" t="s">
        <v>127</v>
      </c>
      <c r="C104" s="35" t="s">
        <v>43</v>
      </c>
      <c r="E104" s="45">
        <v>5821506</v>
      </c>
      <c r="F104" s="48"/>
      <c r="G104" s="45">
        <v>7943336</v>
      </c>
      <c r="H104" s="48"/>
      <c r="I104" s="45">
        <v>3301309</v>
      </c>
      <c r="J104" s="48"/>
      <c r="K104" s="45">
        <v>165311</v>
      </c>
      <c r="L104" s="48"/>
      <c r="M104" s="45">
        <v>10472973</v>
      </c>
      <c r="N104" s="48"/>
      <c r="O104" s="45">
        <v>2803019</v>
      </c>
      <c r="P104" s="48"/>
      <c r="Q104" s="45">
        <v>1697650</v>
      </c>
      <c r="R104" s="48"/>
      <c r="S104" s="45">
        <v>0</v>
      </c>
      <c r="T104" s="48"/>
      <c r="U104" s="45">
        <v>0</v>
      </c>
      <c r="V104" s="48"/>
      <c r="W104" s="48"/>
      <c r="X104" s="35"/>
      <c r="Z104" s="35"/>
      <c r="AA104" s="35"/>
      <c r="AB104" s="45">
        <v>2945653</v>
      </c>
      <c r="AC104" s="65"/>
      <c r="AD104" s="45">
        <v>2899735</v>
      </c>
      <c r="AE104" s="65"/>
      <c r="AF104" s="45">
        <v>0</v>
      </c>
      <c r="AG104" s="65"/>
      <c r="AH104" s="48">
        <f t="shared" si="5"/>
        <v>38050492</v>
      </c>
      <c r="AI104" s="48"/>
      <c r="AJ104" s="48">
        <v>0</v>
      </c>
      <c r="AK104" s="48"/>
      <c r="AL104" s="45">
        <v>5300000</v>
      </c>
      <c r="AM104" s="45"/>
      <c r="AN104" s="45">
        <v>17009029</v>
      </c>
      <c r="AO104" s="45"/>
      <c r="AP104" s="45">
        <v>0</v>
      </c>
      <c r="AQ104" s="45"/>
      <c r="AR104" s="45">
        <f>+'GVFund Rev'!U104+'GVFund Rev'!W104-'GVFund Exp'!AH104-'GVFund Exp'!AL104+AJ104+AN104+AP104-'GV Fund BS'!S104</f>
        <v>0</v>
      </c>
      <c r="AS104" s="48"/>
    </row>
    <row r="105" spans="1:45" s="46" customFormat="1" ht="12.75" customHeight="1" x14ac:dyDescent="0.2">
      <c r="A105" s="35" t="s">
        <v>128</v>
      </c>
      <c r="B105" s="44"/>
      <c r="C105" s="35" t="s">
        <v>119</v>
      </c>
      <c r="D105" s="44"/>
      <c r="E105" s="45">
        <f>878705+389726</f>
        <v>1268431</v>
      </c>
      <c r="F105" s="48"/>
      <c r="G105" s="45">
        <v>3324062</v>
      </c>
      <c r="H105" s="48"/>
      <c r="I105" s="45">
        <v>664368</v>
      </c>
      <c r="J105" s="48"/>
      <c r="K105" s="45">
        <v>12544</v>
      </c>
      <c r="L105" s="48"/>
      <c r="M105" s="45">
        <v>408738</v>
      </c>
      <c r="N105" s="48"/>
      <c r="O105" s="45">
        <v>68770</v>
      </c>
      <c r="P105" s="48"/>
      <c r="Q105" s="45">
        <v>0</v>
      </c>
      <c r="R105" s="48"/>
      <c r="S105" s="45">
        <v>72542</v>
      </c>
      <c r="T105" s="48"/>
      <c r="U105" s="45">
        <v>0</v>
      </c>
      <c r="V105" s="48"/>
      <c r="W105" s="48"/>
      <c r="X105" s="35"/>
      <c r="Y105" s="44"/>
      <c r="Z105" s="35"/>
      <c r="AA105" s="35"/>
      <c r="AB105" s="45">
        <v>173553</v>
      </c>
      <c r="AC105" s="65"/>
      <c r="AD105" s="45">
        <v>148393</v>
      </c>
      <c r="AE105" s="65"/>
      <c r="AF105" s="45">
        <v>0</v>
      </c>
      <c r="AG105" s="65"/>
      <c r="AH105" s="48">
        <f t="shared" si="5"/>
        <v>6141401</v>
      </c>
      <c r="AI105" s="48"/>
      <c r="AJ105" s="48">
        <v>0</v>
      </c>
      <c r="AK105" s="48"/>
      <c r="AL105" s="45">
        <v>747462</v>
      </c>
      <c r="AM105" s="45"/>
      <c r="AN105" s="45">
        <v>2439088</v>
      </c>
      <c r="AO105" s="45"/>
      <c r="AP105" s="45">
        <v>0</v>
      </c>
      <c r="AQ105" s="45"/>
      <c r="AR105" s="45">
        <f>+'GVFund Rev'!U105+'GVFund Rev'!W105-'GVFund Exp'!AH105-'GVFund Exp'!AL105+AJ105+AN105+AP105-'GV Fund BS'!S105</f>
        <v>0</v>
      </c>
      <c r="AS105" s="48"/>
    </row>
    <row r="106" spans="1:45" s="44" customFormat="1" ht="12.75" customHeight="1" x14ac:dyDescent="0.2">
      <c r="A106" s="35" t="s">
        <v>129</v>
      </c>
      <c r="C106" s="35" t="s">
        <v>80</v>
      </c>
      <c r="E106" s="45">
        <v>214222</v>
      </c>
      <c r="F106" s="48"/>
      <c r="G106" s="45">
        <v>1691664</v>
      </c>
      <c r="H106" s="48"/>
      <c r="I106" s="45">
        <v>660</v>
      </c>
      <c r="J106" s="48"/>
      <c r="K106" s="45">
        <v>19729</v>
      </c>
      <c r="L106" s="48"/>
      <c r="M106" s="45">
        <v>631855</v>
      </c>
      <c r="N106" s="48"/>
      <c r="O106" s="45">
        <v>20434</v>
      </c>
      <c r="P106" s="48"/>
      <c r="Q106" s="45">
        <v>0</v>
      </c>
      <c r="R106" s="48"/>
      <c r="S106" s="45">
        <v>285393</v>
      </c>
      <c r="T106" s="48"/>
      <c r="U106" s="45">
        <v>0</v>
      </c>
      <c r="V106" s="48"/>
      <c r="W106" s="48"/>
      <c r="X106" s="35"/>
      <c r="Z106" s="35"/>
      <c r="AA106" s="35"/>
      <c r="AB106" s="45">
        <v>438986</v>
      </c>
      <c r="AC106" s="65"/>
      <c r="AD106" s="45">
        <v>114925</v>
      </c>
      <c r="AE106" s="65"/>
      <c r="AF106" s="45">
        <v>0</v>
      </c>
      <c r="AG106" s="65"/>
      <c r="AH106" s="48">
        <f t="shared" si="5"/>
        <v>3417868</v>
      </c>
      <c r="AI106" s="48"/>
      <c r="AJ106" s="48">
        <v>0</v>
      </c>
      <c r="AK106" s="48"/>
      <c r="AL106" s="45">
        <v>858489</v>
      </c>
      <c r="AM106" s="45"/>
      <c r="AN106" s="45">
        <v>814972</v>
      </c>
      <c r="AO106" s="45"/>
      <c r="AP106" s="45">
        <v>0</v>
      </c>
      <c r="AQ106" s="45"/>
      <c r="AR106" s="45">
        <f>+'GVFund Rev'!U106+'GVFund Rev'!W106-'GVFund Exp'!AH106-'GVFund Exp'!AL106+AJ106+AN106+AP106-'GV Fund BS'!S106</f>
        <v>0</v>
      </c>
      <c r="AS106" s="48"/>
    </row>
    <row r="107" spans="1:45" s="44" customFormat="1" ht="12.75" customHeight="1" x14ac:dyDescent="0.2">
      <c r="A107" s="35" t="s">
        <v>130</v>
      </c>
      <c r="C107" s="35" t="s">
        <v>66</v>
      </c>
      <c r="E107" s="45">
        <v>3046448</v>
      </c>
      <c r="F107" s="48"/>
      <c r="G107" s="45">
        <v>14289848</v>
      </c>
      <c r="H107" s="48"/>
      <c r="I107" s="45">
        <v>1097060</v>
      </c>
      <c r="J107" s="48"/>
      <c r="K107" s="45">
        <v>0</v>
      </c>
      <c r="L107" s="48"/>
      <c r="M107" s="45">
        <v>1580484</v>
      </c>
      <c r="N107" s="48"/>
      <c r="O107" s="45">
        <v>400655</v>
      </c>
      <c r="P107" s="48"/>
      <c r="Q107" s="45">
        <v>0</v>
      </c>
      <c r="R107" s="48"/>
      <c r="S107" s="45">
        <v>9871165</v>
      </c>
      <c r="T107" s="48"/>
      <c r="U107" s="45">
        <v>0</v>
      </c>
      <c r="V107" s="48"/>
      <c r="W107" s="48"/>
      <c r="X107" s="35"/>
      <c r="Z107" s="35"/>
      <c r="AA107" s="35"/>
      <c r="AB107" s="45">
        <v>2019615</v>
      </c>
      <c r="AC107" s="65"/>
      <c r="AD107" s="45">
        <v>1309499</v>
      </c>
      <c r="AE107" s="65"/>
      <c r="AF107" s="45">
        <v>0</v>
      </c>
      <c r="AG107" s="65"/>
      <c r="AH107" s="48">
        <f t="shared" si="5"/>
        <v>33614774</v>
      </c>
      <c r="AI107" s="48"/>
      <c r="AJ107" s="48">
        <v>0</v>
      </c>
      <c r="AK107" s="48"/>
      <c r="AL107" s="45">
        <v>8020129</v>
      </c>
      <c r="AM107" s="45"/>
      <c r="AN107" s="45">
        <v>28416523</v>
      </c>
      <c r="AO107" s="45"/>
      <c r="AP107" s="45">
        <v>0</v>
      </c>
      <c r="AQ107" s="45"/>
      <c r="AR107" s="45">
        <f>+'GVFund Rev'!U107+'GVFund Rev'!W107-'GVFund Exp'!AH107-'GVFund Exp'!AL107+AJ107+AN107+AP107-'GV Fund BS'!S107</f>
        <v>0</v>
      </c>
      <c r="AS107" s="48"/>
    </row>
    <row r="108" spans="1:45" s="44" customFormat="1" ht="12.75" customHeight="1" x14ac:dyDescent="0.2">
      <c r="A108" s="35" t="s">
        <v>131</v>
      </c>
      <c r="C108" s="35" t="s">
        <v>13</v>
      </c>
      <c r="E108" s="45">
        <v>5695358</v>
      </c>
      <c r="F108" s="48"/>
      <c r="G108" s="45">
        <v>6336673</v>
      </c>
      <c r="H108" s="48"/>
      <c r="I108" s="45">
        <v>1771370</v>
      </c>
      <c r="J108" s="48"/>
      <c r="K108" s="45">
        <v>485700</v>
      </c>
      <c r="L108" s="48"/>
      <c r="M108" s="45">
        <v>2619938</v>
      </c>
      <c r="N108" s="48"/>
      <c r="O108" s="45">
        <v>1045882</v>
      </c>
      <c r="P108" s="48"/>
      <c r="Q108" s="45">
        <v>0</v>
      </c>
      <c r="R108" s="48"/>
      <c r="S108" s="45">
        <v>5253540</v>
      </c>
      <c r="T108" s="48"/>
      <c r="U108" s="45">
        <v>0</v>
      </c>
      <c r="V108" s="48"/>
      <c r="W108" s="48"/>
      <c r="X108" s="35"/>
      <c r="Z108" s="35"/>
      <c r="AA108" s="35"/>
      <c r="AB108" s="45">
        <v>2741487</v>
      </c>
      <c r="AC108" s="65"/>
      <c r="AD108" s="45">
        <v>1068630</v>
      </c>
      <c r="AE108" s="65"/>
      <c r="AF108" s="45">
        <v>203495</v>
      </c>
      <c r="AG108" s="65"/>
      <c r="AH108" s="48">
        <f t="shared" si="5"/>
        <v>27222073</v>
      </c>
      <c r="AI108" s="48"/>
      <c r="AJ108" s="48">
        <v>0</v>
      </c>
      <c r="AK108" s="48"/>
      <c r="AL108" s="45">
        <f>8378382+3427638</f>
        <v>11806020</v>
      </c>
      <c r="AM108" s="45"/>
      <c r="AN108" s="45">
        <v>13602954</v>
      </c>
      <c r="AO108" s="45"/>
      <c r="AP108" s="45">
        <v>0</v>
      </c>
      <c r="AQ108" s="45"/>
      <c r="AR108" s="45">
        <f>+'GVFund Rev'!U108+'GVFund Rev'!W108-'GVFund Exp'!AH108-'GVFund Exp'!AL108+AJ108+AN108+AP108-'GV Fund BS'!S108</f>
        <v>0</v>
      </c>
      <c r="AS108" s="48"/>
    </row>
    <row r="109" spans="1:45" s="44" customFormat="1" ht="12.75" customHeight="1" x14ac:dyDescent="0.2">
      <c r="A109" s="35" t="s">
        <v>38</v>
      </c>
      <c r="C109" s="35" t="s">
        <v>132</v>
      </c>
      <c r="E109" s="45">
        <v>1627996</v>
      </c>
      <c r="F109" s="48"/>
      <c r="G109" s="45">
        <f>1567828+1431119</f>
        <v>2998947</v>
      </c>
      <c r="H109" s="48"/>
      <c r="I109" s="45">
        <v>366442</v>
      </c>
      <c r="J109" s="48"/>
      <c r="K109" s="45">
        <v>0</v>
      </c>
      <c r="L109" s="48"/>
      <c r="M109" s="45">
        <v>616728</v>
      </c>
      <c r="N109" s="48"/>
      <c r="O109" s="45">
        <v>463587</v>
      </c>
      <c r="P109" s="48"/>
      <c r="Q109" s="45">
        <v>540313</v>
      </c>
      <c r="R109" s="48"/>
      <c r="S109" s="45">
        <v>711013</v>
      </c>
      <c r="T109" s="48"/>
      <c r="U109" s="45">
        <v>0</v>
      </c>
      <c r="V109" s="48"/>
      <c r="W109" s="48"/>
      <c r="X109" s="35"/>
      <c r="Z109" s="35"/>
      <c r="AA109" s="35"/>
      <c r="AB109" s="45">
        <v>1279042</v>
      </c>
      <c r="AC109" s="65"/>
      <c r="AD109" s="45">
        <v>76733</v>
      </c>
      <c r="AE109" s="65"/>
      <c r="AF109" s="45">
        <v>0</v>
      </c>
      <c r="AG109" s="65"/>
      <c r="AH109" s="48">
        <f t="shared" si="5"/>
        <v>8680801</v>
      </c>
      <c r="AI109" s="48"/>
      <c r="AJ109" s="48">
        <v>0</v>
      </c>
      <c r="AK109" s="48"/>
      <c r="AL109" s="45">
        <v>1939497</v>
      </c>
      <c r="AM109" s="45"/>
      <c r="AN109" s="45">
        <v>2986108</v>
      </c>
      <c r="AO109" s="45"/>
      <c r="AP109" s="45">
        <v>0</v>
      </c>
      <c r="AQ109" s="45"/>
      <c r="AR109" s="45">
        <f>+'GVFund Rev'!U109+'GVFund Rev'!W109-'GVFund Exp'!AH109-'GVFund Exp'!AL109+AJ109+AN109+AP109-'GV Fund BS'!S109</f>
        <v>0</v>
      </c>
      <c r="AS109" s="48"/>
    </row>
    <row r="110" spans="1:45" s="44" customFormat="1" ht="12.75" customHeight="1" x14ac:dyDescent="0.2">
      <c r="A110" s="35" t="s">
        <v>133</v>
      </c>
      <c r="C110" s="35" t="s">
        <v>27</v>
      </c>
      <c r="E110" s="45">
        <v>6057103</v>
      </c>
      <c r="F110" s="48"/>
      <c r="G110" s="45">
        <v>8049439</v>
      </c>
      <c r="H110" s="48"/>
      <c r="I110" s="45">
        <v>2057304</v>
      </c>
      <c r="J110" s="48"/>
      <c r="K110" s="45">
        <v>92369</v>
      </c>
      <c r="L110" s="48"/>
      <c r="M110" s="45">
        <v>2301417</v>
      </c>
      <c r="N110" s="48"/>
      <c r="O110" s="45">
        <v>3268970</v>
      </c>
      <c r="P110" s="48"/>
      <c r="Q110" s="45">
        <v>496390</v>
      </c>
      <c r="R110" s="48"/>
      <c r="S110" s="45">
        <v>6633360</v>
      </c>
      <c r="T110" s="48"/>
      <c r="U110" s="45">
        <v>0</v>
      </c>
      <c r="V110" s="48"/>
      <c r="W110" s="48"/>
      <c r="X110" s="35"/>
      <c r="Z110" s="35"/>
      <c r="AA110" s="35"/>
      <c r="AB110" s="45">
        <v>1485600</v>
      </c>
      <c r="AC110" s="65"/>
      <c r="AD110" s="45">
        <v>900657</v>
      </c>
      <c r="AE110" s="65"/>
      <c r="AF110" s="45">
        <v>231073</v>
      </c>
      <c r="AG110" s="65"/>
      <c r="AH110" s="48">
        <f t="shared" si="5"/>
        <v>31573682</v>
      </c>
      <c r="AI110" s="48"/>
      <c r="AJ110" s="48">
        <v>0</v>
      </c>
      <c r="AK110" s="48"/>
      <c r="AL110" s="45">
        <f>6600000+17706306+8375800</f>
        <v>32682106</v>
      </c>
      <c r="AM110" s="45"/>
      <c r="AN110" s="45">
        <v>11393859</v>
      </c>
      <c r="AO110" s="45"/>
      <c r="AP110" s="45">
        <v>0</v>
      </c>
      <c r="AQ110" s="45"/>
      <c r="AR110" s="45">
        <f>+'GVFund Rev'!U110+'GVFund Rev'!W110-'GVFund Exp'!AH110-'GVFund Exp'!AL110+AJ110+AN110+AP110-'GV Fund BS'!S110</f>
        <v>0</v>
      </c>
      <c r="AS110" s="48"/>
    </row>
    <row r="111" spans="1:45" s="44" customFormat="1" ht="12.75" customHeight="1" x14ac:dyDescent="0.2">
      <c r="A111" s="35" t="s">
        <v>482</v>
      </c>
      <c r="C111" s="35" t="s">
        <v>45</v>
      </c>
      <c r="E111" s="45">
        <v>1664214</v>
      </c>
      <c r="F111" s="48"/>
      <c r="G111" s="45">
        <v>4401254</v>
      </c>
      <c r="H111" s="48"/>
      <c r="I111" s="45">
        <v>1535431</v>
      </c>
      <c r="J111" s="48"/>
      <c r="K111" s="45">
        <v>115858</v>
      </c>
      <c r="L111" s="48"/>
      <c r="M111" s="45">
        <v>1410408</v>
      </c>
      <c r="N111" s="48"/>
      <c r="O111" s="45">
        <v>1012532</v>
      </c>
      <c r="P111" s="48"/>
      <c r="Q111" s="45">
        <v>0</v>
      </c>
      <c r="R111" s="48"/>
      <c r="S111" s="45">
        <v>607946</v>
      </c>
      <c r="T111" s="48"/>
      <c r="U111" s="45">
        <v>0</v>
      </c>
      <c r="V111" s="48"/>
      <c r="W111" s="48"/>
      <c r="X111" s="35"/>
      <c r="Z111" s="35"/>
      <c r="AA111" s="35"/>
      <c r="AB111" s="45">
        <v>616025</v>
      </c>
      <c r="AC111" s="65"/>
      <c r="AD111" s="45">
        <v>99463</v>
      </c>
      <c r="AE111" s="65"/>
      <c r="AF111" s="45">
        <v>0</v>
      </c>
      <c r="AG111" s="65"/>
      <c r="AH111" s="48">
        <f t="shared" si="5"/>
        <v>11463131</v>
      </c>
      <c r="AI111" s="48"/>
      <c r="AJ111" s="48">
        <v>0</v>
      </c>
      <c r="AK111" s="48"/>
      <c r="AL111" s="45">
        <v>1531978</v>
      </c>
      <c r="AM111" s="45"/>
      <c r="AN111" s="45">
        <v>13957799</v>
      </c>
      <c r="AO111" s="45"/>
      <c r="AP111" s="45">
        <v>173257</v>
      </c>
      <c r="AQ111" s="45"/>
      <c r="AR111" s="45">
        <f>+'GVFund Rev'!U111+'GVFund Rev'!W111-'GVFund Exp'!AH111-'GVFund Exp'!AL111+AJ111+AN111+AP111-'GV Fund BS'!S111</f>
        <v>0</v>
      </c>
      <c r="AS111" s="48"/>
    </row>
    <row r="112" spans="1:45" s="44" customFormat="1" ht="12.75" customHeight="1" x14ac:dyDescent="0.2">
      <c r="A112" s="35" t="s">
        <v>134</v>
      </c>
      <c r="B112" s="55"/>
      <c r="C112" s="35" t="s">
        <v>135</v>
      </c>
      <c r="E112" s="45">
        <v>1873401</v>
      </c>
      <c r="F112" s="48"/>
      <c r="G112" s="45">
        <v>3398721</v>
      </c>
      <c r="H112" s="48"/>
      <c r="I112" s="45">
        <v>744240</v>
      </c>
      <c r="J112" s="48"/>
      <c r="K112" s="45">
        <v>261749</v>
      </c>
      <c r="L112" s="48"/>
      <c r="M112" s="45">
        <v>651491</v>
      </c>
      <c r="N112" s="48"/>
      <c r="O112" s="45">
        <v>103316</v>
      </c>
      <c r="P112" s="48"/>
      <c r="Q112" s="45">
        <v>0</v>
      </c>
      <c r="R112" s="48"/>
      <c r="S112" s="45">
        <v>229441</v>
      </c>
      <c r="T112" s="48"/>
      <c r="U112" s="45">
        <v>0</v>
      </c>
      <c r="V112" s="48"/>
      <c r="W112" s="48"/>
      <c r="X112" s="35"/>
      <c r="Z112" s="35"/>
      <c r="AA112" s="35"/>
      <c r="AB112" s="45">
        <v>4604501</v>
      </c>
      <c r="AC112" s="65"/>
      <c r="AD112" s="45">
        <v>118191</v>
      </c>
      <c r="AE112" s="65"/>
      <c r="AF112" s="45">
        <v>0</v>
      </c>
      <c r="AG112" s="65"/>
      <c r="AH112" s="48">
        <f t="shared" si="5"/>
        <v>11985051</v>
      </c>
      <c r="AI112" s="48"/>
      <c r="AJ112" s="48"/>
      <c r="AK112" s="48"/>
      <c r="AL112" s="45">
        <v>180497</v>
      </c>
      <c r="AM112" s="45"/>
      <c r="AN112" s="45">
        <v>1352204</v>
      </c>
      <c r="AO112" s="45"/>
      <c r="AP112" s="45">
        <v>0</v>
      </c>
      <c r="AQ112" s="45"/>
      <c r="AR112" s="45">
        <f>+'GVFund Rev'!U112+'GVFund Rev'!W112-'GVFund Exp'!AH112-'GVFund Exp'!AL112+AJ112+AN112+AP112-'GV Fund BS'!S112</f>
        <v>0</v>
      </c>
      <c r="AS112" s="48"/>
    </row>
    <row r="113" spans="1:46" s="44" customFormat="1" ht="12.75" customHeight="1" x14ac:dyDescent="0.2">
      <c r="A113" s="35" t="s">
        <v>136</v>
      </c>
      <c r="C113" s="35" t="s">
        <v>136</v>
      </c>
      <c r="E113" s="45">
        <v>1121386</v>
      </c>
      <c r="F113" s="48"/>
      <c r="G113" s="45">
        <v>1956987</v>
      </c>
      <c r="H113" s="48"/>
      <c r="I113" s="45">
        <v>445388</v>
      </c>
      <c r="J113" s="48"/>
      <c r="K113" s="45">
        <v>344855</v>
      </c>
      <c r="L113" s="48"/>
      <c r="M113" s="45">
        <v>749754</v>
      </c>
      <c r="N113" s="48"/>
      <c r="O113" s="45">
        <v>166487</v>
      </c>
      <c r="P113" s="48"/>
      <c r="Q113" s="45">
        <v>0</v>
      </c>
      <c r="R113" s="48"/>
      <c r="S113" s="45">
        <v>0</v>
      </c>
      <c r="T113" s="48"/>
      <c r="U113" s="45">
        <v>0</v>
      </c>
      <c r="V113" s="48"/>
      <c r="W113" s="48"/>
      <c r="X113" s="35"/>
      <c r="Z113" s="35"/>
      <c r="AA113" s="35"/>
      <c r="AB113" s="45">
        <v>82133</v>
      </c>
      <c r="AC113" s="65"/>
      <c r="AD113" s="45">
        <v>19536</v>
      </c>
      <c r="AE113" s="65"/>
      <c r="AF113" s="45">
        <v>0</v>
      </c>
      <c r="AG113" s="65"/>
      <c r="AH113" s="48">
        <f t="shared" si="5"/>
        <v>4886526</v>
      </c>
      <c r="AI113" s="48"/>
      <c r="AJ113" s="48">
        <v>0</v>
      </c>
      <c r="AK113" s="48"/>
      <c r="AL113" s="45">
        <v>483072</v>
      </c>
      <c r="AM113" s="45"/>
      <c r="AN113" s="45">
        <v>5501265</v>
      </c>
      <c r="AO113" s="45"/>
      <c r="AP113" s="45">
        <v>0</v>
      </c>
      <c r="AQ113" s="45"/>
      <c r="AR113" s="45">
        <f>+'GVFund Rev'!U113+'GVFund Rev'!W113-'GVFund Exp'!AH113-'GVFund Exp'!AL113+AJ113+AN113+AP113-'GV Fund BS'!S113</f>
        <v>0</v>
      </c>
      <c r="AS113" s="48"/>
    </row>
    <row r="114" spans="1:46" s="44" customFormat="1" ht="12.75" customHeight="1" x14ac:dyDescent="0.2">
      <c r="A114" s="35" t="s">
        <v>137</v>
      </c>
      <c r="C114" s="35" t="s">
        <v>22</v>
      </c>
      <c r="E114" s="45">
        <v>2972845</v>
      </c>
      <c r="F114" s="48"/>
      <c r="G114" s="45">
        <v>10283338</v>
      </c>
      <c r="H114" s="48"/>
      <c r="I114" s="45">
        <v>3023979</v>
      </c>
      <c r="J114" s="48"/>
      <c r="K114" s="45">
        <v>665015</v>
      </c>
      <c r="L114" s="48"/>
      <c r="M114" s="45">
        <v>2185911</v>
      </c>
      <c r="N114" s="48"/>
      <c r="O114" s="45">
        <v>1401566</v>
      </c>
      <c r="P114" s="48"/>
      <c r="Q114" s="45">
        <v>0</v>
      </c>
      <c r="R114" s="48"/>
      <c r="S114" s="45">
        <v>5912555</v>
      </c>
      <c r="T114" s="48"/>
      <c r="U114" s="45">
        <v>0</v>
      </c>
      <c r="V114" s="48"/>
      <c r="W114" s="48"/>
      <c r="X114" s="35"/>
      <c r="Z114" s="35"/>
      <c r="AA114" s="35"/>
      <c r="AB114" s="45">
        <v>201973</v>
      </c>
      <c r="AC114" s="65"/>
      <c r="AD114" s="45">
        <v>197800</v>
      </c>
      <c r="AE114" s="65"/>
      <c r="AF114" s="45">
        <v>0</v>
      </c>
      <c r="AG114" s="65"/>
      <c r="AH114" s="48">
        <f t="shared" si="5"/>
        <v>26844982</v>
      </c>
      <c r="AI114" s="48"/>
      <c r="AJ114" s="48">
        <v>0</v>
      </c>
      <c r="AK114" s="48"/>
      <c r="AL114" s="45">
        <v>558522</v>
      </c>
      <c r="AM114" s="45"/>
      <c r="AN114" s="45">
        <v>20272380</v>
      </c>
      <c r="AO114" s="45"/>
      <c r="AP114" s="45">
        <v>0</v>
      </c>
      <c r="AQ114" s="45"/>
      <c r="AR114" s="45">
        <f>+'GVFund Rev'!U114+'GVFund Rev'!W114-'GVFund Exp'!AH114-'GVFund Exp'!AL114+AJ114+AN114+AP114-'GV Fund BS'!S114</f>
        <v>0</v>
      </c>
      <c r="AS114" s="48"/>
    </row>
    <row r="115" spans="1:46" s="121" customFormat="1" ht="12.75" hidden="1" customHeight="1" x14ac:dyDescent="0.2">
      <c r="A115" s="126" t="s">
        <v>138</v>
      </c>
      <c r="C115" s="126" t="s">
        <v>139</v>
      </c>
      <c r="E115" s="45"/>
      <c r="F115" s="48"/>
      <c r="G115" s="45"/>
      <c r="H115" s="48"/>
      <c r="I115" s="45"/>
      <c r="J115" s="48"/>
      <c r="K115" s="45"/>
      <c r="L115" s="48"/>
      <c r="M115" s="45"/>
      <c r="N115" s="48"/>
      <c r="O115" s="45"/>
      <c r="P115" s="48"/>
      <c r="Q115" s="45"/>
      <c r="R115" s="48"/>
      <c r="S115" s="45"/>
      <c r="T115" s="48"/>
      <c r="U115" s="45"/>
      <c r="V115" s="48"/>
      <c r="W115" s="48"/>
      <c r="X115" s="35"/>
      <c r="Y115" s="44"/>
      <c r="Z115" s="35"/>
      <c r="AA115" s="35"/>
      <c r="AB115" s="45"/>
      <c r="AC115" s="65"/>
      <c r="AD115" s="45"/>
      <c r="AE115" s="65"/>
      <c r="AF115" s="45"/>
      <c r="AG115" s="65"/>
      <c r="AH115" s="48">
        <f t="shared" si="5"/>
        <v>0</v>
      </c>
      <c r="AI115" s="48"/>
      <c r="AJ115" s="48">
        <v>0</v>
      </c>
      <c r="AK115" s="48"/>
      <c r="AL115" s="45"/>
      <c r="AM115" s="45"/>
      <c r="AN115" s="45"/>
      <c r="AO115" s="45"/>
      <c r="AP115" s="45"/>
      <c r="AQ115" s="127"/>
      <c r="AR115" s="127">
        <f>+'GVFund Rev'!U115+'GVFund Rev'!W115-'GVFund Exp'!AH115-'GVFund Exp'!AL115+AJ115+AN115+AP115-'GV Fund BS'!S115</f>
        <v>0</v>
      </c>
      <c r="AS115" s="130"/>
    </row>
    <row r="116" spans="1:46" s="44" customFormat="1" ht="12.75" customHeight="1" x14ac:dyDescent="0.2">
      <c r="A116" s="35" t="s">
        <v>140</v>
      </c>
      <c r="C116" s="35" t="s">
        <v>66</v>
      </c>
      <c r="E116" s="45">
        <v>12050675</v>
      </c>
      <c r="F116" s="48"/>
      <c r="G116" s="45">
        <f>14398245+10357123</f>
        <v>24755368</v>
      </c>
      <c r="H116" s="48"/>
      <c r="I116" s="45">
        <v>0</v>
      </c>
      <c r="J116" s="48"/>
      <c r="K116" s="45">
        <v>0</v>
      </c>
      <c r="L116" s="48"/>
      <c r="M116" s="45">
        <v>8631543</v>
      </c>
      <c r="N116" s="48"/>
      <c r="O116" s="45">
        <v>12450737</v>
      </c>
      <c r="P116" s="48"/>
      <c r="Q116" s="45">
        <v>0</v>
      </c>
      <c r="R116" s="48"/>
      <c r="S116" s="45">
        <v>25101663</v>
      </c>
      <c r="T116" s="48"/>
      <c r="U116" s="45">
        <v>0</v>
      </c>
      <c r="V116" s="48"/>
      <c r="W116" s="48"/>
      <c r="X116" s="35"/>
      <c r="Z116" s="35"/>
      <c r="AA116" s="35"/>
      <c r="AB116" s="45">
        <v>1062000</v>
      </c>
      <c r="AC116" s="65"/>
      <c r="AD116" s="45">
        <v>637150</v>
      </c>
      <c r="AE116" s="65"/>
      <c r="AF116" s="45">
        <v>0</v>
      </c>
      <c r="AG116" s="65"/>
      <c r="AH116" s="48">
        <f t="shared" si="5"/>
        <v>84689136</v>
      </c>
      <c r="AI116" s="48"/>
      <c r="AJ116" s="48">
        <v>0</v>
      </c>
      <c r="AK116" s="48"/>
      <c r="AL116" s="45">
        <v>11658166</v>
      </c>
      <c r="AM116" s="45"/>
      <c r="AN116" s="45">
        <v>67466759</v>
      </c>
      <c r="AO116" s="45"/>
      <c r="AP116" s="45">
        <v>0</v>
      </c>
      <c r="AQ116" s="45"/>
      <c r="AR116" s="45">
        <f>+'GVFund Rev'!U116+'GVFund Rev'!W116-'GVFund Exp'!AH116-'GVFund Exp'!AL116+AJ116+AN116+AP116-'GV Fund BS'!S117</f>
        <v>0</v>
      </c>
      <c r="AS116" s="48"/>
    </row>
    <row r="117" spans="1:46" s="44" customFormat="1" ht="12.75" customHeight="1" x14ac:dyDescent="0.2">
      <c r="A117" s="35" t="s">
        <v>478</v>
      </c>
      <c r="C117" s="35" t="s">
        <v>92</v>
      </c>
      <c r="E117" s="45">
        <v>1749578</v>
      </c>
      <c r="F117" s="48"/>
      <c r="G117" s="45">
        <v>2459765</v>
      </c>
      <c r="H117" s="48"/>
      <c r="I117" s="45">
        <v>71191</v>
      </c>
      <c r="J117" s="48"/>
      <c r="K117" s="45">
        <v>74939</v>
      </c>
      <c r="L117" s="48"/>
      <c r="M117" s="45">
        <v>1314505</v>
      </c>
      <c r="N117" s="48"/>
      <c r="O117" s="45">
        <v>376164</v>
      </c>
      <c r="P117" s="48"/>
      <c r="Q117" s="45">
        <v>0</v>
      </c>
      <c r="R117" s="48"/>
      <c r="S117" s="45">
        <v>696358</v>
      </c>
      <c r="T117" s="48"/>
      <c r="U117" s="45">
        <v>0</v>
      </c>
      <c r="V117" s="48"/>
      <c r="W117" s="48"/>
      <c r="X117" s="35"/>
      <c r="Z117" s="35"/>
      <c r="AA117" s="35"/>
      <c r="AB117" s="45">
        <f>247780+300000</f>
        <v>547780</v>
      </c>
      <c r="AC117" s="65"/>
      <c r="AD117" s="45">
        <v>159345</v>
      </c>
      <c r="AE117" s="65"/>
      <c r="AF117" s="45">
        <v>0</v>
      </c>
      <c r="AG117" s="65"/>
      <c r="AH117" s="48">
        <f t="shared" si="5"/>
        <v>7449625</v>
      </c>
      <c r="AI117" s="48"/>
      <c r="AJ117" s="48">
        <v>0</v>
      </c>
      <c r="AK117" s="48"/>
      <c r="AL117" s="45">
        <f>1215000+457318</f>
        <v>1672318</v>
      </c>
      <c r="AM117" s="45"/>
      <c r="AN117" s="45">
        <v>1820723</v>
      </c>
      <c r="AO117" s="45"/>
      <c r="AP117" s="45">
        <v>0</v>
      </c>
      <c r="AQ117" s="45"/>
      <c r="AR117" s="45">
        <f>+'GVFund Rev'!U117+'GVFund Rev'!W117-'GVFund Exp'!AH117-'GVFund Exp'!AL117+AJ117+AN117+AP117-'GV Fund BS'!S118</f>
        <v>0</v>
      </c>
      <c r="AS117" s="48"/>
    </row>
    <row r="118" spans="1:46" s="44" customFormat="1" ht="12.75" customHeight="1" x14ac:dyDescent="0.2">
      <c r="A118" s="64" t="s">
        <v>141</v>
      </c>
      <c r="B118" s="46"/>
      <c r="C118" s="64" t="s">
        <v>27</v>
      </c>
      <c r="D118" s="46"/>
      <c r="E118" s="45">
        <v>7691955</v>
      </c>
      <c r="F118" s="48"/>
      <c r="G118" s="45">
        <f>12223002+9197428</f>
        <v>21420430</v>
      </c>
      <c r="H118" s="48"/>
      <c r="I118" s="45">
        <v>6084834</v>
      </c>
      <c r="J118" s="48"/>
      <c r="K118" s="45">
        <v>2268579</v>
      </c>
      <c r="L118" s="48"/>
      <c r="M118" s="45">
        <v>2151849</v>
      </c>
      <c r="N118" s="48"/>
      <c r="O118" s="45">
        <v>1732556</v>
      </c>
      <c r="P118" s="48"/>
      <c r="Q118" s="45">
        <v>3331914</v>
      </c>
      <c r="R118" s="48"/>
      <c r="S118" s="45">
        <v>3022809</v>
      </c>
      <c r="T118" s="48"/>
      <c r="U118" s="45">
        <v>0</v>
      </c>
      <c r="V118" s="48"/>
      <c r="W118" s="48"/>
      <c r="X118" s="35"/>
      <c r="Z118" s="35"/>
      <c r="AA118" s="35"/>
      <c r="AB118" s="45">
        <v>11686748</v>
      </c>
      <c r="AC118" s="65"/>
      <c r="AD118" s="45">
        <v>1734982</v>
      </c>
      <c r="AE118" s="65"/>
      <c r="AF118" s="45">
        <v>114820</v>
      </c>
      <c r="AG118" s="65"/>
      <c r="AH118" s="48">
        <f t="shared" si="5"/>
        <v>61241476</v>
      </c>
      <c r="AI118" s="48"/>
      <c r="AJ118" s="48">
        <v>0</v>
      </c>
      <c r="AK118" s="48"/>
      <c r="AL118" s="45">
        <f>3048069+2836216</f>
        <v>5884285</v>
      </c>
      <c r="AM118" s="45"/>
      <c r="AN118" s="45">
        <v>14300153</v>
      </c>
      <c r="AO118" s="45"/>
      <c r="AP118" s="45">
        <v>0</v>
      </c>
      <c r="AQ118" s="45"/>
      <c r="AR118" s="45">
        <f>+'GVFund Rev'!U119+'GVFund Rev'!W119-'GVFund Exp'!AH118-'GVFund Exp'!AL118+AJ118+AN118+AP118-'GV Fund BS'!S119</f>
        <v>0</v>
      </c>
      <c r="AS118" s="48"/>
    </row>
    <row r="119" spans="1:46" s="44" customFormat="1" ht="12.75" customHeight="1" x14ac:dyDescent="0.2">
      <c r="A119" s="35" t="s">
        <v>142</v>
      </c>
      <c r="C119" s="35" t="s">
        <v>102</v>
      </c>
      <c r="E119" s="45">
        <v>7115172</v>
      </c>
      <c r="F119" s="48"/>
      <c r="G119" s="45">
        <v>16737295</v>
      </c>
      <c r="H119" s="48"/>
      <c r="I119" s="45">
        <v>825150</v>
      </c>
      <c r="J119" s="48"/>
      <c r="K119" s="45">
        <v>744821</v>
      </c>
      <c r="L119" s="48"/>
      <c r="M119" s="45">
        <v>3920300</v>
      </c>
      <c r="N119" s="48"/>
      <c r="O119" s="45">
        <v>1819231</v>
      </c>
      <c r="P119" s="48"/>
      <c r="Q119" s="45">
        <v>0</v>
      </c>
      <c r="R119" s="48"/>
      <c r="S119" s="45">
        <v>920837</v>
      </c>
      <c r="T119" s="48"/>
      <c r="U119" s="45">
        <v>0</v>
      </c>
      <c r="V119" s="48"/>
      <c r="W119" s="48"/>
      <c r="X119" s="35"/>
      <c r="Z119" s="35"/>
      <c r="AA119" s="35"/>
      <c r="AB119" s="45">
        <v>747956</v>
      </c>
      <c r="AC119" s="65"/>
      <c r="AD119" s="45">
        <v>325674</v>
      </c>
      <c r="AE119" s="65"/>
      <c r="AF119" s="45">
        <v>0</v>
      </c>
      <c r="AG119" s="65"/>
      <c r="AH119" s="48">
        <f t="shared" si="5"/>
        <v>33156436</v>
      </c>
      <c r="AI119" s="48"/>
      <c r="AJ119" s="48">
        <v>0</v>
      </c>
      <c r="AK119" s="48"/>
      <c r="AL119" s="45">
        <v>1289224</v>
      </c>
      <c r="AM119" s="45"/>
      <c r="AN119" s="45">
        <v>9535205</v>
      </c>
      <c r="AO119" s="45"/>
      <c r="AP119" s="45">
        <v>73978</v>
      </c>
      <c r="AQ119" s="45"/>
      <c r="AR119" s="45">
        <f>+'GVFund Rev'!U120+'GVFund Rev'!W120-'GVFund Exp'!AH119-'GVFund Exp'!AL119+AJ119+AN119+AP119-'GV Fund BS'!S120</f>
        <v>0</v>
      </c>
      <c r="AS119" s="48"/>
    </row>
    <row r="120" spans="1:46" s="44" customFormat="1" ht="12.75" customHeight="1" x14ac:dyDescent="0.2">
      <c r="A120" s="35" t="s">
        <v>143</v>
      </c>
      <c r="C120" s="35" t="s">
        <v>111</v>
      </c>
      <c r="E120" s="45">
        <v>3512438</v>
      </c>
      <c r="F120" s="48"/>
      <c r="G120" s="45">
        <f>4138153+2538806</f>
        <v>6676959</v>
      </c>
      <c r="H120" s="48"/>
      <c r="I120" s="45">
        <v>861847</v>
      </c>
      <c r="J120" s="48"/>
      <c r="K120" s="45">
        <v>175537</v>
      </c>
      <c r="L120" s="48"/>
      <c r="M120" s="45">
        <v>868916</v>
      </c>
      <c r="N120" s="48"/>
      <c r="O120" s="45">
        <v>493220</v>
      </c>
      <c r="P120" s="48"/>
      <c r="Q120" s="45">
        <v>0</v>
      </c>
      <c r="R120" s="48"/>
      <c r="S120" s="45">
        <v>3205214</v>
      </c>
      <c r="T120" s="48"/>
      <c r="U120" s="45">
        <v>296891</v>
      </c>
      <c r="V120" s="48"/>
      <c r="W120" s="48"/>
      <c r="X120" s="35"/>
      <c r="Z120" s="35"/>
      <c r="AA120" s="35"/>
      <c r="AB120" s="45">
        <v>540884</v>
      </c>
      <c r="AC120" s="65"/>
      <c r="AD120" s="45">
        <v>244320</v>
      </c>
      <c r="AE120" s="65"/>
      <c r="AF120" s="45">
        <v>0</v>
      </c>
      <c r="AG120" s="65"/>
      <c r="AH120" s="48">
        <f t="shared" si="5"/>
        <v>16876226</v>
      </c>
      <c r="AI120" s="48"/>
      <c r="AJ120" s="48">
        <v>0</v>
      </c>
      <c r="AK120" s="48"/>
      <c r="AL120" s="45">
        <v>474874</v>
      </c>
      <c r="AM120" s="45"/>
      <c r="AN120" s="45">
        <v>17328376</v>
      </c>
      <c r="AO120" s="45"/>
      <c r="AP120" s="45">
        <v>0</v>
      </c>
      <c r="AQ120" s="45"/>
      <c r="AR120" s="45">
        <f>+'GVFund Rev'!U121+'GVFund Rev'!W121-'GVFund Exp'!AH120-'GVFund Exp'!AL120+AJ120+AN120+AP120-'GV Fund BS'!S121</f>
        <v>0</v>
      </c>
      <c r="AS120" s="48"/>
    </row>
    <row r="121" spans="1:46" s="46" customFormat="1" ht="12.75" customHeight="1" x14ac:dyDescent="0.2">
      <c r="A121" s="28" t="s">
        <v>144</v>
      </c>
      <c r="B121" s="47"/>
      <c r="C121" s="28" t="s">
        <v>88</v>
      </c>
      <c r="D121" s="49"/>
      <c r="E121" s="45">
        <v>7961902</v>
      </c>
      <c r="F121" s="48"/>
      <c r="G121" s="45">
        <v>16436668</v>
      </c>
      <c r="H121" s="48"/>
      <c r="I121" s="45">
        <v>3795069</v>
      </c>
      <c r="J121" s="48"/>
      <c r="K121" s="45">
        <v>0</v>
      </c>
      <c r="L121" s="48"/>
      <c r="M121" s="45">
        <v>3331534</v>
      </c>
      <c r="N121" s="48"/>
      <c r="O121" s="45">
        <v>1021979</v>
      </c>
      <c r="P121" s="48"/>
      <c r="Q121" s="45">
        <v>0</v>
      </c>
      <c r="R121" s="48"/>
      <c r="S121" s="45">
        <v>8938750</v>
      </c>
      <c r="T121" s="48"/>
      <c r="U121" s="45">
        <v>0</v>
      </c>
      <c r="V121" s="48"/>
      <c r="W121" s="48"/>
      <c r="X121" s="35"/>
      <c r="Y121" s="44"/>
      <c r="Z121" s="35"/>
      <c r="AA121" s="35"/>
      <c r="AB121" s="45">
        <v>907005</v>
      </c>
      <c r="AC121" s="65"/>
      <c r="AD121" s="45">
        <v>162014</v>
      </c>
      <c r="AE121" s="65"/>
      <c r="AF121" s="45">
        <v>0</v>
      </c>
      <c r="AG121" s="65"/>
      <c r="AH121" s="48">
        <f t="shared" si="5"/>
        <v>42554921</v>
      </c>
      <c r="AI121" s="48"/>
      <c r="AJ121" s="48">
        <v>0</v>
      </c>
      <c r="AK121" s="48"/>
      <c r="AL121" s="45">
        <v>247173</v>
      </c>
      <c r="AM121" s="45"/>
      <c r="AN121" s="45">
        <v>12573821</v>
      </c>
      <c r="AO121" s="45"/>
      <c r="AP121" s="45">
        <v>0</v>
      </c>
      <c r="AQ121" s="45"/>
      <c r="AR121" s="45">
        <f>+'GVFund Rev'!U122+'GVFund Rev'!W122-'GVFund Exp'!AH121-'GVFund Exp'!AL121+AJ121+AN121+AP121-'GV Fund BS'!S122</f>
        <v>0</v>
      </c>
      <c r="AS121" s="48"/>
    </row>
    <row r="122" spans="1:46" s="44" customFormat="1" ht="12.75" customHeight="1" x14ac:dyDescent="0.2">
      <c r="A122" s="35" t="s">
        <v>36</v>
      </c>
      <c r="C122" s="35" t="s">
        <v>145</v>
      </c>
      <c r="E122" s="45">
        <v>772366</v>
      </c>
      <c r="F122" s="48"/>
      <c r="G122" s="45">
        <f>1743038+734356</f>
        <v>2477394</v>
      </c>
      <c r="H122" s="48"/>
      <c r="I122" s="45">
        <v>206536</v>
      </c>
      <c r="J122" s="48"/>
      <c r="K122" s="45">
        <v>312876</v>
      </c>
      <c r="L122" s="48"/>
      <c r="M122" s="45">
        <v>622234</v>
      </c>
      <c r="N122" s="48"/>
      <c r="O122" s="45">
        <v>109933</v>
      </c>
      <c r="P122" s="48"/>
      <c r="Q122" s="45">
        <v>2232</v>
      </c>
      <c r="R122" s="48"/>
      <c r="S122" s="45">
        <v>563768</v>
      </c>
      <c r="T122" s="48"/>
      <c r="U122" s="45">
        <v>0</v>
      </c>
      <c r="V122" s="48"/>
      <c r="W122" s="48"/>
      <c r="X122" s="35"/>
      <c r="Z122" s="35"/>
      <c r="AA122" s="35"/>
      <c r="AB122" s="45">
        <v>156466</v>
      </c>
      <c r="AC122" s="65"/>
      <c r="AD122" s="45">
        <v>17769</v>
      </c>
      <c r="AE122" s="65"/>
      <c r="AF122" s="45">
        <v>0</v>
      </c>
      <c r="AG122" s="65"/>
      <c r="AH122" s="48">
        <f t="shared" si="5"/>
        <v>5241574</v>
      </c>
      <c r="AI122" s="48"/>
      <c r="AJ122" s="48">
        <v>0</v>
      </c>
      <c r="AK122" s="48"/>
      <c r="AL122" s="45">
        <v>20000</v>
      </c>
      <c r="AM122" s="45"/>
      <c r="AN122" s="45">
        <v>2292118</v>
      </c>
      <c r="AO122" s="45"/>
      <c r="AP122" s="45">
        <v>0</v>
      </c>
      <c r="AQ122" s="45"/>
      <c r="AR122" s="45">
        <f>+'GVFund Rev'!U123+'GVFund Rev'!W123-'GVFund Exp'!AH122-'GVFund Exp'!AL122+AJ122+AN122+AP122-'GV Fund BS'!S123</f>
        <v>0</v>
      </c>
      <c r="AS122" s="48"/>
    </row>
    <row r="123" spans="1:46" s="44" customFormat="1" ht="12.75" customHeight="1" x14ac:dyDescent="0.2">
      <c r="A123" s="64" t="s">
        <v>146</v>
      </c>
      <c r="B123" s="46"/>
      <c r="C123" s="64" t="s">
        <v>147</v>
      </c>
      <c r="D123" s="46"/>
      <c r="E123" s="45">
        <v>1294638</v>
      </c>
      <c r="F123" s="48"/>
      <c r="G123" s="45">
        <v>3135839</v>
      </c>
      <c r="H123" s="48"/>
      <c r="I123" s="45">
        <v>495815</v>
      </c>
      <c r="J123" s="48"/>
      <c r="K123" s="45">
        <v>0</v>
      </c>
      <c r="L123" s="48"/>
      <c r="M123" s="45">
        <v>550782</v>
      </c>
      <c r="N123" s="48"/>
      <c r="O123" s="45">
        <v>160407</v>
      </c>
      <c r="P123" s="48"/>
      <c r="Q123" s="45">
        <v>0</v>
      </c>
      <c r="R123" s="48"/>
      <c r="S123" s="45">
        <v>610319</v>
      </c>
      <c r="T123" s="48"/>
      <c r="U123" s="45">
        <v>0</v>
      </c>
      <c r="V123" s="48"/>
      <c r="W123" s="48"/>
      <c r="X123" s="35"/>
      <c r="Z123" s="35"/>
      <c r="AA123" s="35"/>
      <c r="AB123" s="45">
        <v>3073736</v>
      </c>
      <c r="AC123" s="65"/>
      <c r="AD123" s="45">
        <v>165394</v>
      </c>
      <c r="AE123" s="65"/>
      <c r="AF123" s="45">
        <v>64217</v>
      </c>
      <c r="AG123" s="65"/>
      <c r="AH123" s="48">
        <f t="shared" si="5"/>
        <v>9551147</v>
      </c>
      <c r="AI123" s="48"/>
      <c r="AJ123" s="48">
        <v>0</v>
      </c>
      <c r="AK123" s="48"/>
      <c r="AL123" s="45">
        <v>434112</v>
      </c>
      <c r="AM123" s="45"/>
      <c r="AN123" s="45">
        <v>3887398</v>
      </c>
      <c r="AO123" s="45"/>
      <c r="AP123" s="45">
        <v>0</v>
      </c>
      <c r="AQ123" s="45"/>
      <c r="AR123" s="45">
        <f>+'GVFund Rev'!U124+'GVFund Rev'!W124-'GVFund Exp'!AH123-'GVFund Exp'!AL123+AJ123+AN123+AP123-'GV Fund BS'!S124</f>
        <v>0</v>
      </c>
      <c r="AS123" s="48"/>
    </row>
    <row r="124" spans="1:46" s="44" customFormat="1" ht="12.75" customHeight="1" x14ac:dyDescent="0.2">
      <c r="A124" s="35" t="s">
        <v>17</v>
      </c>
      <c r="C124" s="35" t="s">
        <v>17</v>
      </c>
      <c r="E124" s="45">
        <v>7674673</v>
      </c>
      <c r="F124" s="48"/>
      <c r="G124" s="45">
        <v>19921573</v>
      </c>
      <c r="H124" s="48"/>
      <c r="I124" s="45">
        <f>413375+2641821</f>
        <v>3055196</v>
      </c>
      <c r="J124" s="48"/>
      <c r="K124" s="45">
        <v>2209410</v>
      </c>
      <c r="L124" s="48"/>
      <c r="M124" s="45">
        <v>2494279</v>
      </c>
      <c r="N124" s="48"/>
      <c r="O124" s="45">
        <v>332550</v>
      </c>
      <c r="P124" s="48"/>
      <c r="Q124" s="45">
        <v>0</v>
      </c>
      <c r="R124" s="48"/>
      <c r="S124" s="45">
        <v>2765407</v>
      </c>
      <c r="T124" s="48"/>
      <c r="U124" s="45">
        <v>0</v>
      </c>
      <c r="V124" s="48"/>
      <c r="W124" s="48"/>
      <c r="X124" s="35"/>
      <c r="Z124" s="35"/>
      <c r="AA124" s="35"/>
      <c r="AB124" s="45">
        <v>3549320</v>
      </c>
      <c r="AC124" s="65"/>
      <c r="AD124" s="45">
        <v>1811649</v>
      </c>
      <c r="AE124" s="65"/>
      <c r="AF124" s="45">
        <v>82039</v>
      </c>
      <c r="AG124" s="65"/>
      <c r="AH124" s="48">
        <f t="shared" si="5"/>
        <v>43896096</v>
      </c>
      <c r="AI124" s="48"/>
      <c r="AJ124" s="48">
        <v>0</v>
      </c>
      <c r="AK124" s="48"/>
      <c r="AL124" s="45">
        <f>13860+2031297+2007462</f>
        <v>4052619</v>
      </c>
      <c r="AM124" s="45"/>
      <c r="AN124" s="45">
        <v>23852793</v>
      </c>
      <c r="AO124" s="45"/>
      <c r="AP124" s="45">
        <v>0</v>
      </c>
      <c r="AQ124" s="45"/>
      <c r="AR124" s="45">
        <f>+'GVFund Rev'!U125+'GVFund Rev'!W125-'GVFund Exp'!AH124-'GVFund Exp'!AL124+AJ124+AN124+AP124-'GV Fund BS'!S125</f>
        <v>0</v>
      </c>
      <c r="AS124" s="48"/>
    </row>
    <row r="125" spans="1:46" s="44" customFormat="1" ht="12.75" customHeight="1" x14ac:dyDescent="0.2">
      <c r="A125" s="35" t="s">
        <v>148</v>
      </c>
      <c r="C125" s="35" t="s">
        <v>15</v>
      </c>
      <c r="E125" s="45">
        <v>847125</v>
      </c>
      <c r="F125" s="48"/>
      <c r="G125" s="45">
        <v>2055272</v>
      </c>
      <c r="H125" s="48"/>
      <c r="I125" s="45">
        <v>151145</v>
      </c>
      <c r="J125" s="48"/>
      <c r="K125" s="45">
        <v>50860</v>
      </c>
      <c r="L125" s="48"/>
      <c r="M125" s="45">
        <v>610206</v>
      </c>
      <c r="N125" s="48"/>
      <c r="O125" s="45">
        <v>149882</v>
      </c>
      <c r="P125" s="48"/>
      <c r="Q125" s="45">
        <v>0</v>
      </c>
      <c r="R125" s="48"/>
      <c r="S125" s="45">
        <v>1098608</v>
      </c>
      <c r="T125" s="48"/>
      <c r="U125" s="45">
        <v>0</v>
      </c>
      <c r="V125" s="48"/>
      <c r="W125" s="48"/>
      <c r="X125" s="35"/>
      <c r="Z125" s="35"/>
      <c r="AA125" s="35"/>
      <c r="AB125" s="45">
        <v>104290</v>
      </c>
      <c r="AC125" s="65"/>
      <c r="AD125" s="45">
        <v>17177</v>
      </c>
      <c r="AE125" s="65"/>
      <c r="AF125" s="45">
        <v>0</v>
      </c>
      <c r="AG125" s="65"/>
      <c r="AH125" s="48">
        <f t="shared" si="5"/>
        <v>5084565</v>
      </c>
      <c r="AI125" s="48"/>
      <c r="AJ125" s="48">
        <v>0</v>
      </c>
      <c r="AK125" s="48"/>
      <c r="AL125" s="45">
        <v>449260</v>
      </c>
      <c r="AM125" s="45"/>
      <c r="AN125" s="45">
        <v>2191437</v>
      </c>
      <c r="AO125" s="45"/>
      <c r="AP125" s="45">
        <v>0</v>
      </c>
      <c r="AQ125" s="45"/>
      <c r="AR125" s="45">
        <f>+'GVFund Rev'!U126+'GVFund Rev'!W126-'GVFund Exp'!AH125-'GVFund Exp'!AL125+AJ125+AN125+AP125-'GV Fund BS'!S126</f>
        <v>0</v>
      </c>
      <c r="AS125" s="158"/>
      <c r="AT125" s="158"/>
    </row>
    <row r="126" spans="1:46" s="44" customFormat="1" ht="12.75" customHeight="1" x14ac:dyDescent="0.2">
      <c r="A126" s="35" t="s">
        <v>149</v>
      </c>
      <c r="C126" s="35" t="s">
        <v>45</v>
      </c>
      <c r="E126" s="45">
        <v>2579918</v>
      </c>
      <c r="F126" s="48"/>
      <c r="G126" s="45">
        <v>4865064</v>
      </c>
      <c r="H126" s="48"/>
      <c r="I126" s="45">
        <v>209694</v>
      </c>
      <c r="J126" s="48"/>
      <c r="K126" s="45">
        <v>0</v>
      </c>
      <c r="L126" s="48"/>
      <c r="M126" s="45">
        <v>595393</v>
      </c>
      <c r="N126" s="48"/>
      <c r="O126" s="45">
        <v>391113</v>
      </c>
      <c r="P126" s="48"/>
      <c r="Q126" s="45">
        <v>0</v>
      </c>
      <c r="R126" s="48"/>
      <c r="S126" s="45">
        <v>318937</v>
      </c>
      <c r="T126" s="48"/>
      <c r="U126" s="45">
        <v>0</v>
      </c>
      <c r="V126" s="48"/>
      <c r="W126" s="48"/>
      <c r="X126" s="35"/>
      <c r="Z126" s="35"/>
      <c r="AA126" s="35"/>
      <c r="AB126" s="45">
        <v>685212</v>
      </c>
      <c r="AC126" s="65"/>
      <c r="AD126" s="45">
        <v>329285</v>
      </c>
      <c r="AE126" s="65"/>
      <c r="AF126" s="45">
        <v>0</v>
      </c>
      <c r="AG126" s="65"/>
      <c r="AH126" s="48">
        <f t="shared" si="5"/>
        <v>9974616</v>
      </c>
      <c r="AI126" s="48"/>
      <c r="AJ126" s="48">
        <v>0</v>
      </c>
      <c r="AK126" s="48"/>
      <c r="AL126" s="45">
        <v>570279</v>
      </c>
      <c r="AM126" s="45"/>
      <c r="AN126" s="45">
        <v>4020170</v>
      </c>
      <c r="AO126" s="45"/>
      <c r="AP126" s="45">
        <v>9109</v>
      </c>
      <c r="AQ126" s="45"/>
      <c r="AR126" s="45">
        <f>+'GVFund Rev'!U127+'GVFund Rev'!W127-'GVFund Exp'!AH126-'GVFund Exp'!AL126+AJ126+AN126+AP126-'GV Fund BS'!S127</f>
        <v>0</v>
      </c>
      <c r="AS126" s="48"/>
    </row>
    <row r="127" spans="1:46" s="44" customFormat="1" ht="12.75" customHeight="1" x14ac:dyDescent="0.2">
      <c r="A127" s="35" t="s">
        <v>150</v>
      </c>
      <c r="C127" s="35" t="s">
        <v>27</v>
      </c>
      <c r="E127" s="45">
        <v>4709891</v>
      </c>
      <c r="F127" s="48"/>
      <c r="G127" s="45">
        <v>8072169</v>
      </c>
      <c r="H127" s="48"/>
      <c r="I127" s="45">
        <v>668792</v>
      </c>
      <c r="J127" s="48"/>
      <c r="K127" s="45">
        <v>56532</v>
      </c>
      <c r="L127" s="48"/>
      <c r="M127" s="45">
        <v>1731271</v>
      </c>
      <c r="N127" s="48"/>
      <c r="O127" s="45">
        <v>1085040</v>
      </c>
      <c r="P127" s="48"/>
      <c r="Q127" s="45">
        <v>1558311</v>
      </c>
      <c r="R127" s="48"/>
      <c r="S127" s="45">
        <v>563366</v>
      </c>
      <c r="T127" s="48"/>
      <c r="U127" s="45">
        <v>0</v>
      </c>
      <c r="V127" s="48"/>
      <c r="W127" s="48"/>
      <c r="X127" s="35"/>
      <c r="Z127" s="35"/>
      <c r="AA127" s="35"/>
      <c r="AB127" s="45">
        <v>1185094</v>
      </c>
      <c r="AC127" s="65"/>
      <c r="AD127" s="45">
        <v>81592</v>
      </c>
      <c r="AE127" s="65"/>
      <c r="AF127" s="45">
        <v>0</v>
      </c>
      <c r="AG127" s="65"/>
      <c r="AH127" s="48">
        <f t="shared" si="5"/>
        <v>19712058</v>
      </c>
      <c r="AI127" s="48"/>
      <c r="AJ127" s="48">
        <v>0</v>
      </c>
      <c r="AK127" s="48"/>
      <c r="AL127" s="45">
        <v>1715735</v>
      </c>
      <c r="AM127" s="45"/>
      <c r="AN127" s="45">
        <v>16074633</v>
      </c>
      <c r="AO127" s="45"/>
      <c r="AP127" s="45">
        <v>44668</v>
      </c>
      <c r="AQ127" s="45"/>
      <c r="AR127" s="45">
        <f>+'GVFund Rev'!U128+'GVFund Rev'!W128-'GVFund Exp'!AH127-'GVFund Exp'!AL127+AJ127+AN127+AP127-'GV Fund BS'!S128</f>
        <v>0</v>
      </c>
      <c r="AS127" s="48"/>
    </row>
    <row r="128" spans="1:46" s="44" customFormat="1" ht="12.75" customHeight="1" x14ac:dyDescent="0.2">
      <c r="A128" s="35" t="s">
        <v>151</v>
      </c>
      <c r="C128" s="35" t="s">
        <v>13</v>
      </c>
      <c r="E128" s="45">
        <v>2478276</v>
      </c>
      <c r="F128" s="48"/>
      <c r="G128" s="45">
        <v>4937774</v>
      </c>
      <c r="H128" s="48"/>
      <c r="I128" s="45">
        <v>490686</v>
      </c>
      <c r="J128" s="48"/>
      <c r="K128" s="45">
        <v>135132</v>
      </c>
      <c r="L128" s="48"/>
      <c r="M128" s="45">
        <v>1641868</v>
      </c>
      <c r="N128" s="48"/>
      <c r="O128" s="45">
        <v>1429410</v>
      </c>
      <c r="P128" s="48"/>
      <c r="Q128" s="45">
        <v>298874</v>
      </c>
      <c r="R128" s="48"/>
      <c r="S128" s="45">
        <v>397357</v>
      </c>
      <c r="T128" s="48"/>
      <c r="U128" s="45">
        <v>0</v>
      </c>
      <c r="V128" s="48"/>
      <c r="W128" s="48"/>
      <c r="X128" s="35"/>
      <c r="Z128" s="35"/>
      <c r="AA128" s="35"/>
      <c r="AB128" s="45">
        <v>1223275</v>
      </c>
      <c r="AC128" s="65"/>
      <c r="AD128" s="45">
        <v>548458</v>
      </c>
      <c r="AE128" s="65"/>
      <c r="AF128" s="45">
        <v>0</v>
      </c>
      <c r="AG128" s="65"/>
      <c r="AH128" s="48">
        <f t="shared" si="5"/>
        <v>13581110</v>
      </c>
      <c r="AI128" s="48"/>
      <c r="AJ128" s="48">
        <v>0</v>
      </c>
      <c r="AK128" s="48"/>
      <c r="AL128" s="45">
        <v>1899513</v>
      </c>
      <c r="AM128" s="45"/>
      <c r="AN128" s="45">
        <v>4835103</v>
      </c>
      <c r="AO128" s="45"/>
      <c r="AP128" s="45">
        <v>0</v>
      </c>
      <c r="AQ128" s="45"/>
      <c r="AR128" s="45">
        <f>+'GVFund Rev'!U129+'GVFund Rev'!W129-'GVFund Exp'!AH128-'GVFund Exp'!AL128+AJ128+AN128+AP128-'GV Fund BS'!S129</f>
        <v>0</v>
      </c>
      <c r="AS128" s="48"/>
    </row>
    <row r="129" spans="1:45" s="121" customFormat="1" ht="12.75" hidden="1" customHeight="1" x14ac:dyDescent="0.2">
      <c r="A129" s="126" t="s">
        <v>481</v>
      </c>
      <c r="C129" s="126" t="s">
        <v>45</v>
      </c>
      <c r="E129" s="127">
        <v>987756</v>
      </c>
      <c r="F129" s="130"/>
      <c r="G129" s="127">
        <v>3150251</v>
      </c>
      <c r="H129" s="130"/>
      <c r="I129" s="127">
        <v>101003</v>
      </c>
      <c r="J129" s="130"/>
      <c r="K129" s="127">
        <v>0</v>
      </c>
      <c r="L129" s="130"/>
      <c r="M129" s="127">
        <v>664201</v>
      </c>
      <c r="N129" s="130"/>
      <c r="O129" s="127">
        <v>113745</v>
      </c>
      <c r="P129" s="130"/>
      <c r="Q129" s="127">
        <v>574455</v>
      </c>
      <c r="R129" s="130"/>
      <c r="S129" s="127">
        <v>338942</v>
      </c>
      <c r="T129" s="130"/>
      <c r="U129" s="127">
        <v>0</v>
      </c>
      <c r="V129" s="130"/>
      <c r="W129" s="130"/>
      <c r="X129" s="126"/>
      <c r="Z129" s="126"/>
      <c r="AA129" s="126"/>
      <c r="AB129" s="127">
        <v>285000</v>
      </c>
      <c r="AC129" s="125"/>
      <c r="AD129" s="127">
        <v>17764</v>
      </c>
      <c r="AE129" s="125"/>
      <c r="AF129" s="127">
        <v>0</v>
      </c>
      <c r="AG129" s="125"/>
      <c r="AH129" s="130">
        <f t="shared" si="5"/>
        <v>6233117</v>
      </c>
      <c r="AI129" s="130"/>
      <c r="AJ129" s="130">
        <v>0</v>
      </c>
      <c r="AK129" s="130"/>
      <c r="AL129" s="127">
        <v>148762</v>
      </c>
      <c r="AM129" s="127"/>
      <c r="AN129" s="127">
        <v>1245886</v>
      </c>
      <c r="AO129" s="127"/>
      <c r="AP129" s="127">
        <v>0</v>
      </c>
      <c r="AQ129" s="127"/>
      <c r="AR129" s="127">
        <f>+'GVFund Rev'!U130+'GVFund Rev'!W130-'GVFund Exp'!AH129-'GVFund Exp'!AL129+AJ129+AN129+AP129-'GV Fund BS'!S130</f>
        <v>0</v>
      </c>
      <c r="AS129" s="121" t="s">
        <v>502</v>
      </c>
    </row>
    <row r="130" spans="1:45" s="44" customFormat="1" ht="12.75" customHeight="1" x14ac:dyDescent="0.2">
      <c r="A130" s="35" t="s">
        <v>152</v>
      </c>
      <c r="C130" s="35" t="s">
        <v>153</v>
      </c>
      <c r="E130" s="45">
        <v>9150773</v>
      </c>
      <c r="F130" s="48"/>
      <c r="G130" s="45">
        <v>20852533</v>
      </c>
      <c r="H130" s="48"/>
      <c r="I130" s="45">
        <v>2259281</v>
      </c>
      <c r="J130" s="48"/>
      <c r="K130" s="45">
        <v>7052</v>
      </c>
      <c r="L130" s="48"/>
      <c r="M130" s="45">
        <v>2197989</v>
      </c>
      <c r="N130" s="48"/>
      <c r="O130" s="45">
        <v>283280</v>
      </c>
      <c r="P130" s="48"/>
      <c r="Q130" s="45">
        <v>0</v>
      </c>
      <c r="R130" s="48"/>
      <c r="S130" s="45">
        <v>5312992</v>
      </c>
      <c r="T130" s="48"/>
      <c r="U130" s="45">
        <v>0</v>
      </c>
      <c r="V130" s="48"/>
      <c r="W130" s="48"/>
      <c r="X130" s="35"/>
      <c r="Z130" s="35"/>
      <c r="AA130" s="35"/>
      <c r="AB130" s="45">
        <v>425000</v>
      </c>
      <c r="AC130" s="65"/>
      <c r="AD130" s="45">
        <v>268236</v>
      </c>
      <c r="AE130" s="65"/>
      <c r="AF130" s="45">
        <v>0</v>
      </c>
      <c r="AG130" s="65"/>
      <c r="AH130" s="48">
        <f t="shared" si="5"/>
        <v>40757136</v>
      </c>
      <c r="AI130" s="48"/>
      <c r="AJ130" s="48">
        <v>0</v>
      </c>
      <c r="AK130" s="48"/>
      <c r="AL130" s="45">
        <v>596240</v>
      </c>
      <c r="AM130" s="45"/>
      <c r="AN130" s="45">
        <v>8787032</v>
      </c>
      <c r="AO130" s="45"/>
      <c r="AP130" s="45">
        <v>-44878</v>
      </c>
      <c r="AQ130" s="45"/>
      <c r="AR130" s="45">
        <f>+'GVFund Rev'!U131+'GVFund Rev'!W131-'GVFund Exp'!AH130-'GVFund Exp'!AL130+AJ130+AN130+AP130-'GV Fund BS'!S131</f>
        <v>0</v>
      </c>
      <c r="AS130" s="48"/>
    </row>
    <row r="131" spans="1:45" s="44" customFormat="1" ht="12.75" customHeight="1" x14ac:dyDescent="0.2">
      <c r="A131" s="35" t="s">
        <v>154</v>
      </c>
      <c r="C131" s="35" t="s">
        <v>27</v>
      </c>
      <c r="E131" s="45">
        <v>5920070</v>
      </c>
      <c r="F131" s="48"/>
      <c r="G131" s="45">
        <v>9958139</v>
      </c>
      <c r="H131" s="48"/>
      <c r="I131" s="45">
        <v>852226</v>
      </c>
      <c r="J131" s="48"/>
      <c r="K131" s="45">
        <v>96777</v>
      </c>
      <c r="L131" s="48"/>
      <c r="M131" s="45">
        <v>1055512</v>
      </c>
      <c r="N131" s="48"/>
      <c r="O131" s="45">
        <v>731573</v>
      </c>
      <c r="P131" s="48"/>
      <c r="Q131" s="45">
        <v>512439</v>
      </c>
      <c r="R131" s="48"/>
      <c r="S131" s="45">
        <v>932183</v>
      </c>
      <c r="T131" s="48"/>
      <c r="U131" s="45">
        <v>0</v>
      </c>
      <c r="V131" s="48"/>
      <c r="W131" s="48"/>
      <c r="X131" s="35"/>
      <c r="Z131" s="35"/>
      <c r="AA131" s="35"/>
      <c r="AB131" s="45">
        <v>1024656</v>
      </c>
      <c r="AC131" s="65"/>
      <c r="AD131" s="45">
        <v>866578</v>
      </c>
      <c r="AE131" s="65"/>
      <c r="AF131" s="45">
        <v>0</v>
      </c>
      <c r="AG131" s="65"/>
      <c r="AH131" s="48">
        <f t="shared" si="5"/>
        <v>21950153</v>
      </c>
      <c r="AI131" s="48"/>
      <c r="AJ131" s="48">
        <v>0</v>
      </c>
      <c r="AK131" s="48"/>
      <c r="AL131" s="45">
        <v>1761652</v>
      </c>
      <c r="AM131" s="45"/>
      <c r="AN131" s="45">
        <v>969443</v>
      </c>
      <c r="AO131" s="45"/>
      <c r="AP131" s="45">
        <v>0</v>
      </c>
      <c r="AQ131" s="45"/>
      <c r="AR131" s="45">
        <f>+'GVFund Rev'!U132+'GVFund Rev'!W132-'GVFund Exp'!AH131-'GVFund Exp'!AL131+AJ131+AN131+AP131-'GV Fund BS'!S132</f>
        <v>0</v>
      </c>
      <c r="AS131" s="48"/>
    </row>
    <row r="132" spans="1:45" s="44" customFormat="1" ht="12.75" customHeight="1" x14ac:dyDescent="0.2">
      <c r="A132" s="35" t="s">
        <v>155</v>
      </c>
      <c r="C132" s="35" t="s">
        <v>40</v>
      </c>
      <c r="E132" s="45">
        <f>3562175+842890</f>
        <v>4405065</v>
      </c>
      <c r="F132" s="48"/>
      <c r="G132" s="45">
        <f>3217646+3362755</f>
        <v>6580401</v>
      </c>
      <c r="H132" s="48"/>
      <c r="I132" s="45">
        <v>424387</v>
      </c>
      <c r="J132" s="48"/>
      <c r="K132" s="45">
        <v>823016</v>
      </c>
      <c r="L132" s="48"/>
      <c r="M132" s="45">
        <v>3723372</v>
      </c>
      <c r="N132" s="48"/>
      <c r="O132" s="45">
        <v>477040</v>
      </c>
      <c r="P132" s="48"/>
      <c r="Q132" s="45">
        <v>0</v>
      </c>
      <c r="R132" s="48"/>
      <c r="S132" s="45">
        <v>2866846</v>
      </c>
      <c r="T132" s="48"/>
      <c r="U132" s="45">
        <v>2052822</v>
      </c>
      <c r="V132" s="48"/>
      <c r="W132" s="48"/>
      <c r="X132" s="35"/>
      <c r="Z132" s="35"/>
      <c r="AA132" s="35"/>
      <c r="AB132" s="45">
        <v>81507</v>
      </c>
      <c r="AC132" s="65"/>
      <c r="AD132" s="45">
        <v>60055</v>
      </c>
      <c r="AE132" s="65"/>
      <c r="AF132" s="45">
        <v>238000</v>
      </c>
      <c r="AG132" s="65"/>
      <c r="AH132" s="48">
        <f t="shared" si="5"/>
        <v>21732511</v>
      </c>
      <c r="AI132" s="48"/>
      <c r="AJ132" s="48">
        <v>0</v>
      </c>
      <c r="AK132" s="48"/>
      <c r="AL132" s="45">
        <f>147460+256000</f>
        <v>403460</v>
      </c>
      <c r="AM132" s="45"/>
      <c r="AN132" s="45">
        <v>6856287</v>
      </c>
      <c r="AO132" s="45"/>
      <c r="AP132" s="45">
        <v>0</v>
      </c>
      <c r="AQ132" s="45"/>
      <c r="AR132" s="45">
        <f>+'GVFund Rev'!U133+'GVFund Rev'!W133-'GVFund Exp'!AH132-'GVFund Exp'!AL132+AJ132+AN132+AP132-'GV Fund BS'!S133</f>
        <v>0</v>
      </c>
      <c r="AS132" s="48"/>
    </row>
    <row r="133" spans="1:45" s="44" customFormat="1" ht="12.75" customHeight="1" x14ac:dyDescent="0.2">
      <c r="A133" s="35" t="s">
        <v>156</v>
      </c>
      <c r="C133" s="35" t="s">
        <v>156</v>
      </c>
      <c r="E133" s="45">
        <f>976173+3081972</f>
        <v>4058145</v>
      </c>
      <c r="F133" s="48"/>
      <c r="G133" s="45">
        <f>6778386+5526469+258206</f>
        <v>12563061</v>
      </c>
      <c r="H133" s="48"/>
      <c r="I133" s="45">
        <v>2572072</v>
      </c>
      <c r="J133" s="48"/>
      <c r="K133" s="45">
        <v>488966</v>
      </c>
      <c r="L133" s="48"/>
      <c r="M133" s="45">
        <f>1197923+3354214</f>
        <v>4552137</v>
      </c>
      <c r="N133" s="48"/>
      <c r="O133" s="45">
        <v>1114921</v>
      </c>
      <c r="P133" s="48"/>
      <c r="Q133" s="45">
        <v>0</v>
      </c>
      <c r="R133" s="48"/>
      <c r="S133" s="45">
        <v>0</v>
      </c>
      <c r="T133" s="48"/>
      <c r="U133" s="45">
        <v>0</v>
      </c>
      <c r="V133" s="48"/>
      <c r="W133" s="48"/>
      <c r="X133" s="35"/>
      <c r="Z133" s="35"/>
      <c r="AA133" s="35"/>
      <c r="AB133" s="45">
        <v>634053</v>
      </c>
      <c r="AC133" s="65"/>
      <c r="AD133" s="45">
        <v>192662</v>
      </c>
      <c r="AE133" s="65"/>
      <c r="AF133" s="45">
        <v>0</v>
      </c>
      <c r="AG133" s="65"/>
      <c r="AH133" s="48">
        <f t="shared" si="5"/>
        <v>26176017</v>
      </c>
      <c r="AI133" s="48"/>
      <c r="AJ133" s="48">
        <v>0</v>
      </c>
      <c r="AK133" s="48"/>
      <c r="AL133" s="45">
        <v>1663985</v>
      </c>
      <c r="AM133" s="45"/>
      <c r="AN133" s="45">
        <v>4930355</v>
      </c>
      <c r="AO133" s="45"/>
      <c r="AP133" s="45">
        <v>0</v>
      </c>
      <c r="AQ133" s="45"/>
      <c r="AR133" s="45">
        <f>+'GVFund Rev'!U134+'GVFund Rev'!W134-'GVFund Exp'!AH133-'GVFund Exp'!AL133+AJ133+AN133+AP133-'GV Fund BS'!S134</f>
        <v>0</v>
      </c>
      <c r="AS133" s="48"/>
    </row>
    <row r="134" spans="1:45" s="44" customFormat="1" ht="12.75" customHeight="1" x14ac:dyDescent="0.2">
      <c r="A134" s="35" t="s">
        <v>157</v>
      </c>
      <c r="C134" s="35" t="s">
        <v>33</v>
      </c>
      <c r="E134" s="45">
        <v>729613</v>
      </c>
      <c r="F134" s="48"/>
      <c r="G134" s="45">
        <v>2426073</v>
      </c>
      <c r="H134" s="48"/>
      <c r="I134" s="45">
        <v>136549</v>
      </c>
      <c r="J134" s="48"/>
      <c r="K134" s="45">
        <v>70456</v>
      </c>
      <c r="L134" s="48"/>
      <c r="M134" s="45">
        <v>439406</v>
      </c>
      <c r="N134" s="48"/>
      <c r="O134" s="45">
        <v>43827</v>
      </c>
      <c r="P134" s="48"/>
      <c r="Q134" s="45">
        <v>0</v>
      </c>
      <c r="R134" s="48"/>
      <c r="S134" s="45">
        <v>353148</v>
      </c>
      <c r="T134" s="48"/>
      <c r="U134" s="45">
        <v>0</v>
      </c>
      <c r="V134" s="48"/>
      <c r="W134" s="48"/>
      <c r="X134" s="35"/>
      <c r="Z134" s="35"/>
      <c r="AA134" s="35"/>
      <c r="AB134" s="45">
        <v>155114</v>
      </c>
      <c r="AC134" s="65"/>
      <c r="AD134" s="45">
        <v>14231</v>
      </c>
      <c r="AE134" s="65"/>
      <c r="AF134" s="45">
        <v>0</v>
      </c>
      <c r="AG134" s="65"/>
      <c r="AH134" s="48">
        <f t="shared" si="5"/>
        <v>4368417</v>
      </c>
      <c r="AI134" s="48"/>
      <c r="AJ134" s="48">
        <v>0</v>
      </c>
      <c r="AK134" s="48"/>
      <c r="AL134" s="45">
        <v>140128</v>
      </c>
      <c r="AM134" s="45"/>
      <c r="AN134" s="45">
        <v>2348633</v>
      </c>
      <c r="AO134" s="45"/>
      <c r="AP134" s="45">
        <v>0</v>
      </c>
      <c r="AQ134" s="45"/>
      <c r="AR134" s="45">
        <f>+'GVFund Rev'!U135+'GVFund Rev'!W135-'GVFund Exp'!AH134-'GVFund Exp'!AL134+AJ134+AN134+AP134-'GV Fund BS'!S135</f>
        <v>0</v>
      </c>
      <c r="AS134" s="48"/>
    </row>
    <row r="135" spans="1:45" s="44" customFormat="1" ht="12.75" customHeight="1" x14ac:dyDescent="0.2">
      <c r="A135" s="35" t="s">
        <v>158</v>
      </c>
      <c r="C135" s="35" t="s">
        <v>159</v>
      </c>
      <c r="E135" s="45">
        <v>2823826</v>
      </c>
      <c r="F135" s="48"/>
      <c r="G135" s="45">
        <f>3986401+3831002+830951</f>
        <v>8648354</v>
      </c>
      <c r="H135" s="48"/>
      <c r="I135" s="45">
        <v>2321900</v>
      </c>
      <c r="J135" s="48"/>
      <c r="K135" s="45">
        <v>346742</v>
      </c>
      <c r="L135" s="48"/>
      <c r="M135" s="45">
        <v>2452026</v>
      </c>
      <c r="N135" s="48"/>
      <c r="O135" s="45">
        <v>228162</v>
      </c>
      <c r="P135" s="48"/>
      <c r="Q135" s="45">
        <v>0</v>
      </c>
      <c r="R135" s="48"/>
      <c r="S135" s="45">
        <v>2768241</v>
      </c>
      <c r="T135" s="48"/>
      <c r="U135" s="45">
        <v>0</v>
      </c>
      <c r="V135" s="48"/>
      <c r="W135" s="48"/>
      <c r="X135" s="35"/>
      <c r="Z135" s="35"/>
      <c r="AA135" s="35"/>
      <c r="AB135" s="45">
        <v>520000</v>
      </c>
      <c r="AC135" s="65"/>
      <c r="AD135" s="45">
        <v>610574</v>
      </c>
      <c r="AE135" s="65"/>
      <c r="AF135" s="45">
        <v>0</v>
      </c>
      <c r="AG135" s="65"/>
      <c r="AH135" s="48">
        <f t="shared" si="5"/>
        <v>20719825</v>
      </c>
      <c r="AI135" s="48"/>
      <c r="AJ135" s="48">
        <v>0</v>
      </c>
      <c r="AK135" s="48"/>
      <c r="AL135" s="45">
        <v>3290538</v>
      </c>
      <c r="AM135" s="45"/>
      <c r="AN135" s="45">
        <v>-1948558</v>
      </c>
      <c r="AO135" s="45"/>
      <c r="AP135" s="45">
        <v>0</v>
      </c>
      <c r="AQ135" s="45"/>
      <c r="AR135" s="45">
        <f>+'GVFund Rev'!U136+'GVFund Rev'!W136-'GVFund Exp'!AH135-'GVFund Exp'!AL135+AJ135+AN135+AP135-'GV Fund BS'!S136</f>
        <v>0</v>
      </c>
      <c r="AS135" s="48"/>
    </row>
    <row r="136" spans="1:45" s="46" customFormat="1" ht="12.75" customHeight="1" x14ac:dyDescent="0.2">
      <c r="A136" s="64" t="s">
        <v>160</v>
      </c>
      <c r="C136" s="64" t="s">
        <v>111</v>
      </c>
      <c r="E136" s="48">
        <v>7938713</v>
      </c>
      <c r="F136" s="48"/>
      <c r="G136" s="48">
        <v>11766834</v>
      </c>
      <c r="H136" s="48"/>
      <c r="I136" s="48">
        <v>2451462</v>
      </c>
      <c r="J136" s="48"/>
      <c r="K136" s="48">
        <v>0</v>
      </c>
      <c r="L136" s="48"/>
      <c r="M136" s="48">
        <v>3536095</v>
      </c>
      <c r="N136" s="48"/>
      <c r="O136" s="48">
        <v>1835718</v>
      </c>
      <c r="P136" s="48"/>
      <c r="Q136" s="48">
        <v>295972</v>
      </c>
      <c r="R136" s="48"/>
      <c r="S136" s="48">
        <v>3750585</v>
      </c>
      <c r="T136" s="48"/>
      <c r="U136" s="48">
        <v>0</v>
      </c>
      <c r="V136" s="48"/>
      <c r="W136" s="48"/>
      <c r="X136" s="35"/>
      <c r="Y136" s="44"/>
      <c r="Z136" s="35"/>
      <c r="AA136" s="35"/>
      <c r="AB136" s="48">
        <v>4455000</v>
      </c>
      <c r="AC136" s="65"/>
      <c r="AD136" s="48">
        <v>1795495</v>
      </c>
      <c r="AE136" s="65"/>
      <c r="AF136" s="44">
        <v>68246</v>
      </c>
      <c r="AG136" s="65"/>
      <c r="AH136" s="48">
        <f t="shared" ref="AH136" si="6">SUM(E136:AF136)</f>
        <v>37894120</v>
      </c>
      <c r="AI136" s="48"/>
      <c r="AJ136" s="48">
        <v>0</v>
      </c>
      <c r="AK136" s="48"/>
      <c r="AL136" s="45">
        <f>2483830+3359664</f>
        <v>5843494</v>
      </c>
      <c r="AM136" s="45"/>
      <c r="AN136" s="45">
        <v>36207942</v>
      </c>
      <c r="AO136" s="45"/>
      <c r="AP136" s="45">
        <v>41535</v>
      </c>
      <c r="AQ136" s="45"/>
      <c r="AR136" s="45">
        <f>+'GVFund Rev'!U137+'GVFund Rev'!W137-'GVFund Exp'!AH136-'GVFund Exp'!AL136+AJ136+AN136+AP136-'GV Fund BS'!S137</f>
        <v>0</v>
      </c>
      <c r="AS136" s="68"/>
    </row>
    <row r="137" spans="1:45" s="44" customFormat="1" ht="12.75" customHeight="1" x14ac:dyDescent="0.2">
      <c r="A137" s="35" t="s">
        <v>161</v>
      </c>
      <c r="C137" s="35" t="s">
        <v>15</v>
      </c>
      <c r="E137" s="45">
        <v>6705633</v>
      </c>
      <c r="F137" s="48"/>
      <c r="G137" s="45">
        <v>10036889</v>
      </c>
      <c r="H137" s="48"/>
      <c r="I137" s="45">
        <f>1016741+182610</f>
        <v>1199351</v>
      </c>
      <c r="J137" s="48"/>
      <c r="K137" s="45">
        <v>632578</v>
      </c>
      <c r="L137" s="48"/>
      <c r="M137" s="45">
        <v>3406860</v>
      </c>
      <c r="N137" s="48"/>
      <c r="O137" s="45">
        <v>3256036</v>
      </c>
      <c r="P137" s="48"/>
      <c r="Q137" s="45">
        <v>10077</v>
      </c>
      <c r="R137" s="48"/>
      <c r="S137" s="45">
        <v>736271</v>
      </c>
      <c r="T137" s="48"/>
      <c r="U137" s="45">
        <v>0</v>
      </c>
      <c r="V137" s="48"/>
      <c r="W137" s="48"/>
      <c r="X137" s="35"/>
      <c r="Z137" s="35"/>
      <c r="AA137" s="35"/>
      <c r="AB137" s="45">
        <v>1029560</v>
      </c>
      <c r="AC137" s="65"/>
      <c r="AD137" s="45">
        <v>1214767</v>
      </c>
      <c r="AE137" s="65"/>
      <c r="AF137" s="45">
        <v>0</v>
      </c>
      <c r="AG137" s="65"/>
      <c r="AH137" s="48">
        <f t="shared" ref="AH137:AH198" si="7">SUM(E137:AF137)</f>
        <v>28228022</v>
      </c>
      <c r="AI137" s="48"/>
      <c r="AJ137" s="48">
        <v>0</v>
      </c>
      <c r="AK137" s="48"/>
      <c r="AL137" s="45">
        <v>1320862</v>
      </c>
      <c r="AM137" s="45"/>
      <c r="AN137" s="45">
        <v>6738760</v>
      </c>
      <c r="AO137" s="45"/>
      <c r="AP137" s="45">
        <v>0</v>
      </c>
      <c r="AQ137" s="45"/>
      <c r="AR137" s="45">
        <f>+'GVFund Rev'!U138+'GVFund Rev'!W138-'GVFund Exp'!AH137-'GVFund Exp'!AL137+AJ137+AN137+AP137-'GV Fund BS'!S138</f>
        <v>0</v>
      </c>
      <c r="AS137" s="48"/>
    </row>
    <row r="138" spans="1:45" s="44" customFormat="1" ht="12.75" customHeight="1" x14ac:dyDescent="0.2">
      <c r="A138" s="35"/>
      <c r="C138" s="35"/>
      <c r="E138" s="45"/>
      <c r="F138" s="48"/>
      <c r="G138" s="45"/>
      <c r="H138" s="48"/>
      <c r="I138" s="45"/>
      <c r="J138" s="48"/>
      <c r="K138" s="45"/>
      <c r="L138" s="48"/>
      <c r="M138" s="45"/>
      <c r="N138" s="48"/>
      <c r="O138" s="45"/>
      <c r="P138" s="48"/>
      <c r="Q138" s="45"/>
      <c r="R138" s="48"/>
      <c r="S138" s="45"/>
      <c r="T138" s="48"/>
      <c r="U138" s="45"/>
      <c r="V138" s="48"/>
      <c r="W138" s="48"/>
      <c r="X138" s="35"/>
      <c r="Z138" s="35"/>
      <c r="AA138" s="35"/>
      <c r="AB138" s="45"/>
      <c r="AC138" s="65"/>
      <c r="AD138" s="45"/>
      <c r="AE138" s="65"/>
      <c r="AF138" s="45"/>
      <c r="AG138" s="65"/>
      <c r="AH138" s="48"/>
      <c r="AI138" s="48"/>
      <c r="AJ138" s="48"/>
      <c r="AK138" s="48"/>
      <c r="AL138" s="48" t="s">
        <v>484</v>
      </c>
      <c r="AM138" s="45"/>
      <c r="AN138" s="45"/>
      <c r="AO138" s="45"/>
      <c r="AP138" s="45"/>
      <c r="AQ138" s="45"/>
      <c r="AR138" s="45"/>
      <c r="AS138" s="48"/>
    </row>
    <row r="139" spans="1:45" s="46" customFormat="1" ht="12.75" customHeight="1" x14ac:dyDescent="0.2">
      <c r="A139" s="64" t="s">
        <v>162</v>
      </c>
      <c r="C139" s="64" t="s">
        <v>163</v>
      </c>
      <c r="E139" s="94">
        <v>4975105</v>
      </c>
      <c r="F139" s="68"/>
      <c r="G139" s="94">
        <v>9534574</v>
      </c>
      <c r="H139" s="68"/>
      <c r="I139" s="94">
        <v>1485530</v>
      </c>
      <c r="J139" s="68"/>
      <c r="K139" s="94">
        <v>165134</v>
      </c>
      <c r="L139" s="68"/>
      <c r="M139" s="94">
        <v>2371081</v>
      </c>
      <c r="N139" s="68"/>
      <c r="O139" s="94">
        <v>1728961</v>
      </c>
      <c r="P139" s="68"/>
      <c r="Q139" s="94">
        <v>957869</v>
      </c>
      <c r="R139" s="68"/>
      <c r="S139" s="94">
        <v>3980347</v>
      </c>
      <c r="T139" s="68"/>
      <c r="U139" s="94">
        <v>0</v>
      </c>
      <c r="V139" s="68"/>
      <c r="W139" s="68"/>
      <c r="X139" s="64"/>
      <c r="Z139" s="64"/>
      <c r="AA139" s="64"/>
      <c r="AB139" s="94">
        <v>1037475</v>
      </c>
      <c r="AC139" s="66"/>
      <c r="AD139" s="94">
        <v>902669</v>
      </c>
      <c r="AE139" s="66"/>
      <c r="AF139" s="94">
        <v>0</v>
      </c>
      <c r="AG139" s="66"/>
      <c r="AH139" s="68">
        <f t="shared" si="7"/>
        <v>27138745</v>
      </c>
      <c r="AI139" s="68"/>
      <c r="AJ139" s="68">
        <v>0</v>
      </c>
      <c r="AK139" s="68"/>
      <c r="AL139" s="94">
        <v>19390570</v>
      </c>
      <c r="AM139" s="94"/>
      <c r="AN139" s="94">
        <v>31056216</v>
      </c>
      <c r="AO139" s="94"/>
      <c r="AP139" s="94">
        <v>4430</v>
      </c>
      <c r="AQ139" s="94"/>
      <c r="AR139" s="94">
        <f>+'GVFund Rev'!U139+'GVFund Rev'!W139-'GVFund Exp'!AH139-'GVFund Exp'!AL139+AJ139+AN139+AP139-'GV Fund BS'!S139</f>
        <v>0</v>
      </c>
      <c r="AS139" s="68"/>
    </row>
    <row r="140" spans="1:45" s="44" customFormat="1" ht="12.75" customHeight="1" x14ac:dyDescent="0.2">
      <c r="A140" s="35" t="s">
        <v>164</v>
      </c>
      <c r="C140" s="35" t="s">
        <v>27</v>
      </c>
      <c r="E140" s="45">
        <v>2370084</v>
      </c>
      <c r="F140" s="48"/>
      <c r="G140" s="45">
        <v>11372067</v>
      </c>
      <c r="H140" s="48"/>
      <c r="I140" s="45">
        <v>1072653</v>
      </c>
      <c r="J140" s="48"/>
      <c r="K140" s="45">
        <v>391154</v>
      </c>
      <c r="L140" s="48"/>
      <c r="M140" s="45">
        <v>3884941</v>
      </c>
      <c r="N140" s="48"/>
      <c r="O140" s="45">
        <v>1571781</v>
      </c>
      <c r="P140" s="48"/>
      <c r="Q140" s="45">
        <v>682817</v>
      </c>
      <c r="R140" s="48"/>
      <c r="S140" s="45">
        <v>0</v>
      </c>
      <c r="T140" s="48"/>
      <c r="U140" s="45">
        <v>0</v>
      </c>
      <c r="V140" s="48"/>
      <c r="W140" s="48"/>
      <c r="X140" s="35"/>
      <c r="Z140" s="35"/>
      <c r="AA140" s="35"/>
      <c r="AB140" s="45">
        <v>753602</v>
      </c>
      <c r="AC140" s="65"/>
      <c r="AD140" s="45">
        <v>45000</v>
      </c>
      <c r="AE140" s="65"/>
      <c r="AF140" s="45">
        <v>0</v>
      </c>
      <c r="AG140" s="65"/>
      <c r="AH140" s="48">
        <f t="shared" si="7"/>
        <v>22144099</v>
      </c>
      <c r="AI140" s="48"/>
      <c r="AJ140" s="48">
        <v>0</v>
      </c>
      <c r="AK140" s="48"/>
      <c r="AL140" s="45">
        <f>2800000+1135138</f>
        <v>3935138</v>
      </c>
      <c r="AM140" s="45"/>
      <c r="AN140" s="45">
        <v>17909685</v>
      </c>
      <c r="AO140" s="45"/>
      <c r="AP140" s="45">
        <v>22218</v>
      </c>
      <c r="AQ140" s="45"/>
      <c r="AR140" s="45">
        <f>+'GVFund Rev'!U140+'GVFund Rev'!W140-'GVFund Exp'!AH140-'GVFund Exp'!AL140+AJ140+AN140+AP140-'GV Fund BS'!S140</f>
        <v>0</v>
      </c>
      <c r="AS140" s="48"/>
    </row>
    <row r="141" spans="1:45" s="44" customFormat="1" ht="12.75" customHeight="1" x14ac:dyDescent="0.2">
      <c r="A141" s="35" t="s">
        <v>53</v>
      </c>
      <c r="C141" s="35" t="s">
        <v>53</v>
      </c>
      <c r="E141" s="45">
        <v>7018426</v>
      </c>
      <c r="F141" s="48"/>
      <c r="G141" s="45">
        <v>6844586</v>
      </c>
      <c r="H141" s="48"/>
      <c r="I141" s="45">
        <v>678352</v>
      </c>
      <c r="J141" s="48"/>
      <c r="K141" s="45">
        <v>213528</v>
      </c>
      <c r="L141" s="48"/>
      <c r="M141" s="45">
        <v>3762509</v>
      </c>
      <c r="N141" s="48"/>
      <c r="O141" s="45">
        <v>966334</v>
      </c>
      <c r="P141" s="48"/>
      <c r="Q141" s="45">
        <v>70516</v>
      </c>
      <c r="R141" s="48"/>
      <c r="S141" s="45">
        <v>691597</v>
      </c>
      <c r="T141" s="48"/>
      <c r="U141" s="45">
        <v>0</v>
      </c>
      <c r="V141" s="48"/>
      <c r="W141" s="48"/>
      <c r="X141" s="35"/>
      <c r="Z141" s="35"/>
      <c r="AA141" s="35"/>
      <c r="AB141" s="45">
        <v>247314</v>
      </c>
      <c r="AC141" s="65"/>
      <c r="AD141" s="45">
        <v>686818</v>
      </c>
      <c r="AE141" s="65"/>
      <c r="AF141" s="45">
        <v>0</v>
      </c>
      <c r="AG141" s="65"/>
      <c r="AH141" s="48">
        <f t="shared" si="7"/>
        <v>21179980</v>
      </c>
      <c r="AI141" s="48"/>
      <c r="AJ141" s="48">
        <v>0</v>
      </c>
      <c r="AK141" s="48"/>
      <c r="AL141" s="45">
        <v>113517</v>
      </c>
      <c r="AM141" s="45"/>
      <c r="AN141" s="45">
        <v>48290773</v>
      </c>
      <c r="AO141" s="45"/>
      <c r="AP141" s="45">
        <v>0</v>
      </c>
      <c r="AQ141" s="45"/>
      <c r="AR141" s="45">
        <f>+'GVFund Rev'!U141+'GVFund Rev'!W141-'GVFund Exp'!AH141-'GVFund Exp'!AL141+AJ141+AN141+AP141-'GV Fund BS'!S141</f>
        <v>0</v>
      </c>
      <c r="AS141" s="48"/>
    </row>
    <row r="142" spans="1:45" s="44" customFormat="1" ht="12.75" customHeight="1" x14ac:dyDescent="0.2">
      <c r="A142" s="35" t="s">
        <v>165</v>
      </c>
      <c r="C142" s="35" t="s">
        <v>92</v>
      </c>
      <c r="E142" s="45">
        <v>6726217</v>
      </c>
      <c r="F142" s="48"/>
      <c r="G142" s="45">
        <f>11593061+10984682</f>
        <v>22577743</v>
      </c>
      <c r="H142" s="48"/>
      <c r="I142" s="45">
        <v>2053967</v>
      </c>
      <c r="J142" s="48"/>
      <c r="K142" s="45">
        <v>0</v>
      </c>
      <c r="L142" s="48"/>
      <c r="M142" s="45">
        <v>11128744</v>
      </c>
      <c r="N142" s="48"/>
      <c r="O142" s="45">
        <v>6954044</v>
      </c>
      <c r="P142" s="48"/>
      <c r="Q142" s="45">
        <v>1936053</v>
      </c>
      <c r="R142" s="48"/>
      <c r="S142" s="45">
        <v>2554372</v>
      </c>
      <c r="T142" s="48"/>
      <c r="U142" s="45">
        <v>0</v>
      </c>
      <c r="V142" s="48"/>
      <c r="W142" s="48"/>
      <c r="X142" s="35"/>
      <c r="Z142" s="35"/>
      <c r="AA142" s="35"/>
      <c r="AB142" s="45">
        <v>2695139</v>
      </c>
      <c r="AC142" s="65"/>
      <c r="AD142" s="45">
        <v>1365238</v>
      </c>
      <c r="AE142" s="65"/>
      <c r="AF142" s="45">
        <v>0</v>
      </c>
      <c r="AG142" s="65"/>
      <c r="AH142" s="48">
        <f t="shared" si="7"/>
        <v>57991517</v>
      </c>
      <c r="AI142" s="48"/>
      <c r="AJ142" s="48">
        <v>0</v>
      </c>
      <c r="AK142" s="48"/>
      <c r="AL142" s="45">
        <v>3137511</v>
      </c>
      <c r="AM142" s="45"/>
      <c r="AN142" s="45">
        <v>23967435</v>
      </c>
      <c r="AO142" s="45"/>
      <c r="AP142" s="45">
        <v>-70738</v>
      </c>
      <c r="AQ142" s="45"/>
      <c r="AR142" s="45">
        <f>+'GVFund Rev'!U142+'GVFund Rev'!W142-'GVFund Exp'!AH142-'GVFund Exp'!AL142+AJ142+AN142+AP142-'GV Fund BS'!S142</f>
        <v>0</v>
      </c>
      <c r="AS142" s="48"/>
    </row>
    <row r="143" spans="1:45" s="44" customFormat="1" ht="12.75" customHeight="1" x14ac:dyDescent="0.2">
      <c r="A143" s="35" t="s">
        <v>166</v>
      </c>
      <c r="C143" s="35" t="s">
        <v>92</v>
      </c>
      <c r="E143" s="45">
        <v>686045</v>
      </c>
      <c r="F143" s="48"/>
      <c r="G143" s="45">
        <v>2288811</v>
      </c>
      <c r="H143" s="48"/>
      <c r="I143" s="45">
        <v>0</v>
      </c>
      <c r="J143" s="48"/>
      <c r="K143" s="45">
        <v>59725</v>
      </c>
      <c r="L143" s="48"/>
      <c r="M143" s="45">
        <v>485561</v>
      </c>
      <c r="N143" s="48"/>
      <c r="O143" s="45">
        <v>40880</v>
      </c>
      <c r="P143" s="48"/>
      <c r="Q143" s="45">
        <v>436098</v>
      </c>
      <c r="R143" s="48"/>
      <c r="S143" s="45">
        <v>44310</v>
      </c>
      <c r="T143" s="48"/>
      <c r="U143" s="45">
        <v>0</v>
      </c>
      <c r="V143" s="48"/>
      <c r="W143" s="48"/>
      <c r="X143" s="35"/>
      <c r="Z143" s="35"/>
      <c r="AA143" s="35"/>
      <c r="AB143" s="45">
        <v>413432</v>
      </c>
      <c r="AC143" s="65"/>
      <c r="AD143" s="45">
        <v>36071</v>
      </c>
      <c r="AE143" s="65"/>
      <c r="AF143" s="45">
        <v>12550</v>
      </c>
      <c r="AG143" s="65"/>
      <c r="AH143" s="48">
        <f t="shared" si="7"/>
        <v>4503483</v>
      </c>
      <c r="AI143" s="48"/>
      <c r="AJ143" s="48">
        <v>0</v>
      </c>
      <c r="AK143" s="48"/>
      <c r="AL143" s="45">
        <v>286169</v>
      </c>
      <c r="AM143" s="45"/>
      <c r="AN143" s="45">
        <v>1878526</v>
      </c>
      <c r="AO143" s="45"/>
      <c r="AP143" s="45">
        <v>0</v>
      </c>
      <c r="AQ143" s="45"/>
      <c r="AR143" s="45">
        <f>+'GVFund Rev'!U143+'GVFund Rev'!W143-'GVFund Exp'!AH143-'GVFund Exp'!AL143+AJ143+AN143+AP143-'GV Fund BS'!S143</f>
        <v>0</v>
      </c>
      <c r="AS143" s="48"/>
    </row>
    <row r="144" spans="1:45" s="44" customFormat="1" ht="12.75" customHeight="1" x14ac:dyDescent="0.2">
      <c r="A144" s="35" t="s">
        <v>167</v>
      </c>
      <c r="C144" s="35" t="s">
        <v>66</v>
      </c>
      <c r="E144" s="45">
        <v>5105123</v>
      </c>
      <c r="F144" s="48"/>
      <c r="G144" s="45">
        <v>8608236</v>
      </c>
      <c r="H144" s="48"/>
      <c r="I144" s="45">
        <v>966244</v>
      </c>
      <c r="J144" s="48"/>
      <c r="K144" s="45">
        <v>8349</v>
      </c>
      <c r="L144" s="48"/>
      <c r="M144" s="45">
        <v>1094136</v>
      </c>
      <c r="N144" s="48"/>
      <c r="O144" s="45">
        <v>2274424</v>
      </c>
      <c r="P144" s="48"/>
      <c r="Q144" s="45">
        <v>1223404</v>
      </c>
      <c r="R144" s="48"/>
      <c r="S144" s="45">
        <v>6821941</v>
      </c>
      <c r="T144" s="48"/>
      <c r="U144" s="45">
        <v>0</v>
      </c>
      <c r="V144" s="48"/>
      <c r="W144" s="48"/>
      <c r="X144" s="35"/>
      <c r="Z144" s="35"/>
      <c r="AA144" s="35"/>
      <c r="AB144" s="45">
        <v>458415</v>
      </c>
      <c r="AC144" s="65"/>
      <c r="AD144" s="45">
        <v>253389</v>
      </c>
      <c r="AE144" s="65"/>
      <c r="AF144" s="45">
        <v>78846</v>
      </c>
      <c r="AG144" s="65"/>
      <c r="AH144" s="48">
        <f t="shared" si="7"/>
        <v>26892507</v>
      </c>
      <c r="AI144" s="48"/>
      <c r="AJ144" s="48">
        <v>0</v>
      </c>
      <c r="AK144" s="48"/>
      <c r="AL144" s="45">
        <v>1390321</v>
      </c>
      <c r="AM144" s="45"/>
      <c r="AN144" s="45">
        <v>13661279</v>
      </c>
      <c r="AO144" s="45"/>
      <c r="AP144" s="45">
        <v>0</v>
      </c>
      <c r="AQ144" s="45"/>
      <c r="AR144" s="45">
        <f>+'GVFund Rev'!U144+'GVFund Rev'!W144-'GVFund Exp'!AH144-'GVFund Exp'!AL144+AJ144+AN144+AP144-'GV Fund BS'!S144</f>
        <v>0</v>
      </c>
      <c r="AS144" s="48"/>
    </row>
    <row r="145" spans="1:45" s="44" customFormat="1" ht="12.75" customHeight="1" x14ac:dyDescent="0.2">
      <c r="A145" s="44" t="s">
        <v>168</v>
      </c>
      <c r="C145" s="44" t="s">
        <v>27</v>
      </c>
      <c r="E145" s="45">
        <v>6620502</v>
      </c>
      <c r="F145" s="48"/>
      <c r="G145" s="45">
        <f>4824561+3512282+59032</f>
        <v>8395875</v>
      </c>
      <c r="H145" s="48"/>
      <c r="I145" s="45">
        <f>532084+304620</f>
        <v>836704</v>
      </c>
      <c r="J145" s="48"/>
      <c r="K145" s="45">
        <v>330767</v>
      </c>
      <c r="L145" s="48"/>
      <c r="M145" s="45">
        <v>1691980</v>
      </c>
      <c r="N145" s="48"/>
      <c r="O145" s="45">
        <v>2771542</v>
      </c>
      <c r="P145" s="48"/>
      <c r="Q145" s="45">
        <v>1091845</v>
      </c>
      <c r="R145" s="48"/>
      <c r="S145" s="45">
        <v>1494121</v>
      </c>
      <c r="T145" s="48"/>
      <c r="U145" s="45">
        <v>0</v>
      </c>
      <c r="V145" s="48"/>
      <c r="W145" s="48"/>
      <c r="X145" s="35"/>
      <c r="Z145" s="35"/>
      <c r="AA145" s="35"/>
      <c r="AB145" s="45">
        <v>1988289</v>
      </c>
      <c r="AC145" s="65"/>
      <c r="AD145" s="45">
        <v>408146</v>
      </c>
      <c r="AE145" s="65"/>
      <c r="AF145" s="45">
        <v>0</v>
      </c>
      <c r="AG145" s="65"/>
      <c r="AH145" s="48">
        <f t="shared" si="7"/>
        <v>25629771</v>
      </c>
      <c r="AI145" s="48"/>
      <c r="AJ145" s="48">
        <v>0</v>
      </c>
      <c r="AK145" s="48"/>
      <c r="AL145" s="45">
        <v>850000</v>
      </c>
      <c r="AM145" s="45"/>
      <c r="AN145" s="45">
        <v>8038072</v>
      </c>
      <c r="AO145" s="45"/>
      <c r="AP145" s="45">
        <v>0</v>
      </c>
      <c r="AQ145" s="45"/>
      <c r="AR145" s="45">
        <f>+'GVFund Rev'!U145+'GVFund Rev'!W145-'GVFund Exp'!AH145-'GVFund Exp'!AL145+AJ145+AN145+AP145-'GV Fund BS'!S145</f>
        <v>0</v>
      </c>
      <c r="AS145" s="48"/>
    </row>
    <row r="146" spans="1:45" s="44" customFormat="1" ht="12.75" customHeight="1" x14ac:dyDescent="0.2">
      <c r="A146" s="35" t="s">
        <v>169</v>
      </c>
      <c r="C146" s="35" t="s">
        <v>103</v>
      </c>
      <c r="E146" s="45">
        <v>3878578</v>
      </c>
      <c r="F146" s="48"/>
      <c r="G146" s="45">
        <v>24986978</v>
      </c>
      <c r="H146" s="48"/>
      <c r="I146" s="45">
        <v>21201669</v>
      </c>
      <c r="J146" s="48"/>
      <c r="K146" s="45">
        <v>744547</v>
      </c>
      <c r="L146" s="48"/>
      <c r="M146" s="45">
        <v>5870918</v>
      </c>
      <c r="N146" s="48"/>
      <c r="O146" s="45">
        <v>1002176</v>
      </c>
      <c r="P146" s="48"/>
      <c r="Q146" s="45">
        <v>2165339</v>
      </c>
      <c r="R146" s="48"/>
      <c r="S146" s="45">
        <v>0</v>
      </c>
      <c r="T146" s="48"/>
      <c r="U146" s="45">
        <v>0</v>
      </c>
      <c r="V146" s="48"/>
      <c r="W146" s="48"/>
      <c r="X146" s="35"/>
      <c r="Z146" s="35"/>
      <c r="AA146" s="35"/>
      <c r="AB146" s="45">
        <v>2227580</v>
      </c>
      <c r="AC146" s="65"/>
      <c r="AD146" s="45">
        <v>1393594</v>
      </c>
      <c r="AE146" s="65"/>
      <c r="AF146" s="45">
        <v>0</v>
      </c>
      <c r="AG146" s="65"/>
      <c r="AH146" s="48">
        <f t="shared" si="7"/>
        <v>63471379</v>
      </c>
      <c r="AI146" s="48"/>
      <c r="AJ146" s="48">
        <v>0</v>
      </c>
      <c r="AK146" s="48"/>
      <c r="AL146" s="45">
        <v>99000</v>
      </c>
      <c r="AM146" s="45"/>
      <c r="AN146" s="45">
        <v>29922013</v>
      </c>
      <c r="AO146" s="45"/>
      <c r="AP146" s="45">
        <v>0</v>
      </c>
      <c r="AQ146" s="45"/>
      <c r="AR146" s="45">
        <f>+'GVFund Rev'!U146+'GVFund Rev'!W146-'GVFund Exp'!AH146-'GVFund Exp'!AL146+AJ146+AN146+AP146-'GV Fund BS'!S146</f>
        <v>0</v>
      </c>
      <c r="AS146" s="48"/>
    </row>
    <row r="147" spans="1:45" s="44" customFormat="1" ht="12.75" customHeight="1" x14ac:dyDescent="0.2">
      <c r="A147" s="35" t="s">
        <v>170</v>
      </c>
      <c r="C147" s="35" t="s">
        <v>171</v>
      </c>
      <c r="E147" s="45">
        <v>1111250</v>
      </c>
      <c r="F147" s="48"/>
      <c r="G147" s="45">
        <v>3761280</v>
      </c>
      <c r="H147" s="48"/>
      <c r="I147" s="45">
        <v>0</v>
      </c>
      <c r="J147" s="48"/>
      <c r="K147" s="45">
        <v>464408</v>
      </c>
      <c r="L147" s="48"/>
      <c r="M147" s="45">
        <v>662856</v>
      </c>
      <c r="N147" s="48"/>
      <c r="O147" s="45">
        <v>164928</v>
      </c>
      <c r="P147" s="48"/>
      <c r="Q147" s="45">
        <v>0</v>
      </c>
      <c r="R147" s="48"/>
      <c r="S147" s="45">
        <v>693712</v>
      </c>
      <c r="T147" s="48"/>
      <c r="U147" s="45">
        <v>1070629</v>
      </c>
      <c r="V147" s="48"/>
      <c r="W147" s="48"/>
      <c r="X147" s="35"/>
      <c r="Z147" s="35"/>
      <c r="AA147" s="35"/>
      <c r="AB147" s="45">
        <v>290000</v>
      </c>
      <c r="AC147" s="65"/>
      <c r="AD147" s="45">
        <v>138597</v>
      </c>
      <c r="AE147" s="65"/>
      <c r="AF147" s="45">
        <v>0</v>
      </c>
      <c r="AG147" s="65"/>
      <c r="AH147" s="48">
        <f t="shared" si="7"/>
        <v>8357660</v>
      </c>
      <c r="AI147" s="48"/>
      <c r="AJ147" s="48">
        <v>0</v>
      </c>
      <c r="AK147" s="48"/>
      <c r="AL147" s="45">
        <v>100000</v>
      </c>
      <c r="AM147" s="45"/>
      <c r="AN147" s="45">
        <v>7065438</v>
      </c>
      <c r="AO147" s="45"/>
      <c r="AP147" s="45">
        <v>0</v>
      </c>
      <c r="AQ147" s="45"/>
      <c r="AR147" s="45">
        <f>+'GVFund Rev'!U147+'GVFund Rev'!W147-'GVFund Exp'!AH147-'GVFund Exp'!AL147+AJ147+AN147+AP147-'GV Fund BS'!S147</f>
        <v>0</v>
      </c>
      <c r="AS147" s="48"/>
    </row>
    <row r="148" spans="1:45" s="44" customFormat="1" ht="12.75" customHeight="1" x14ac:dyDescent="0.2">
      <c r="A148" s="35" t="s">
        <v>172</v>
      </c>
      <c r="C148" s="35" t="s">
        <v>103</v>
      </c>
      <c r="E148" s="45">
        <v>2250755</v>
      </c>
      <c r="F148" s="48"/>
      <c r="G148" s="45">
        <v>7120069</v>
      </c>
      <c r="H148" s="48"/>
      <c r="I148" s="45">
        <v>0</v>
      </c>
      <c r="J148" s="48"/>
      <c r="K148" s="45">
        <v>0</v>
      </c>
      <c r="L148" s="48"/>
      <c r="M148" s="45">
        <v>1462501</v>
      </c>
      <c r="N148" s="48"/>
      <c r="O148" s="45">
        <v>224689</v>
      </c>
      <c r="P148" s="48"/>
      <c r="Q148" s="45">
        <f>1358998+31603</f>
        <v>1390601</v>
      </c>
      <c r="R148" s="48"/>
      <c r="S148" s="45">
        <v>1830107</v>
      </c>
      <c r="T148" s="48"/>
      <c r="U148" s="45">
        <v>1182660</v>
      </c>
      <c r="V148" s="48"/>
      <c r="W148" s="48"/>
      <c r="X148" s="35"/>
      <c r="Z148" s="35"/>
      <c r="AA148" s="35"/>
      <c r="AB148" s="45">
        <v>1084867</v>
      </c>
      <c r="AC148" s="65"/>
      <c r="AD148" s="45">
        <v>532054</v>
      </c>
      <c r="AE148" s="65"/>
      <c r="AF148" s="45">
        <v>0</v>
      </c>
      <c r="AG148" s="65"/>
      <c r="AH148" s="48">
        <f t="shared" si="7"/>
        <v>17078303</v>
      </c>
      <c r="AI148" s="48"/>
      <c r="AJ148" s="48">
        <v>0</v>
      </c>
      <c r="AK148" s="48"/>
      <c r="AL148" s="45">
        <v>6303696</v>
      </c>
      <c r="AM148" s="45"/>
      <c r="AN148" s="45">
        <v>9124166</v>
      </c>
      <c r="AO148" s="45"/>
      <c r="AP148" s="45">
        <v>0</v>
      </c>
      <c r="AQ148" s="45"/>
      <c r="AR148" s="45">
        <f>+'GVFund Rev'!U148+'GVFund Rev'!W148-'GVFund Exp'!AH148-'GVFund Exp'!AL148+AJ148+AN148+AP148-'GV Fund BS'!S148</f>
        <v>0</v>
      </c>
      <c r="AS148" s="48"/>
    </row>
    <row r="149" spans="1:45" s="44" customFormat="1" ht="12.75" customHeight="1" x14ac:dyDescent="0.2">
      <c r="A149" s="35" t="s">
        <v>66</v>
      </c>
      <c r="C149" s="35" t="s">
        <v>45</v>
      </c>
      <c r="E149" s="45">
        <v>4773477</v>
      </c>
      <c r="F149" s="48"/>
      <c r="G149" s="45">
        <v>5571856</v>
      </c>
      <c r="H149" s="48"/>
      <c r="I149" s="45">
        <v>407163</v>
      </c>
      <c r="J149" s="48"/>
      <c r="K149" s="45">
        <v>0</v>
      </c>
      <c r="L149" s="48"/>
      <c r="M149" s="45">
        <v>1553391</v>
      </c>
      <c r="N149" s="48"/>
      <c r="O149" s="45">
        <v>1183413</v>
      </c>
      <c r="P149" s="48"/>
      <c r="Q149" s="45">
        <v>0</v>
      </c>
      <c r="R149" s="48"/>
      <c r="S149" s="45">
        <v>1750423</v>
      </c>
      <c r="T149" s="48"/>
      <c r="U149" s="45">
        <v>0</v>
      </c>
      <c r="V149" s="48"/>
      <c r="W149" s="48"/>
      <c r="X149" s="35"/>
      <c r="Z149" s="35"/>
      <c r="AA149" s="35"/>
      <c r="AB149" s="45">
        <v>619883</v>
      </c>
      <c r="AC149" s="65"/>
      <c r="AD149" s="45">
        <v>144521</v>
      </c>
      <c r="AE149" s="65"/>
      <c r="AF149" s="45">
        <v>0</v>
      </c>
      <c r="AG149" s="65"/>
      <c r="AH149" s="48">
        <f t="shared" si="7"/>
        <v>16004127</v>
      </c>
      <c r="AI149" s="48"/>
      <c r="AJ149" s="48">
        <v>0</v>
      </c>
      <c r="AK149" s="48"/>
      <c r="AL149" s="45">
        <v>435962</v>
      </c>
      <c r="AM149" s="45"/>
      <c r="AN149" s="45">
        <v>28546399</v>
      </c>
      <c r="AO149" s="45"/>
      <c r="AP149" s="45">
        <v>0</v>
      </c>
      <c r="AQ149" s="45"/>
      <c r="AR149" s="45">
        <f>+'GVFund Rev'!U149+'GVFund Rev'!W149-'GVFund Exp'!AH149-'GVFund Exp'!AL149+AJ149+AN149+AP149-'GV Fund BS'!S149</f>
        <v>0</v>
      </c>
      <c r="AS149" s="48"/>
    </row>
    <row r="150" spans="1:45" s="44" customFormat="1" ht="12.75" customHeight="1" x14ac:dyDescent="0.2">
      <c r="A150" s="35" t="s">
        <v>173</v>
      </c>
      <c r="C150" s="35" t="s">
        <v>66</v>
      </c>
      <c r="E150" s="45">
        <v>3153627</v>
      </c>
      <c r="F150" s="48"/>
      <c r="G150" s="45">
        <v>8432788</v>
      </c>
      <c r="H150" s="48"/>
      <c r="I150" s="45">
        <v>350822</v>
      </c>
      <c r="J150" s="48"/>
      <c r="K150" s="45">
        <v>78621</v>
      </c>
      <c r="L150" s="48"/>
      <c r="M150" s="45">
        <v>2637137</v>
      </c>
      <c r="N150" s="48"/>
      <c r="O150" s="45">
        <v>886368</v>
      </c>
      <c r="P150" s="48"/>
      <c r="Q150" s="45">
        <v>284131</v>
      </c>
      <c r="R150" s="48"/>
      <c r="S150" s="45">
        <f>1568610+119572</f>
        <v>1688182</v>
      </c>
      <c r="T150" s="48"/>
      <c r="U150" s="45">
        <v>0</v>
      </c>
      <c r="V150" s="48"/>
      <c r="W150" s="48"/>
      <c r="X150" s="35"/>
      <c r="Z150" s="35"/>
      <c r="AA150" s="35"/>
      <c r="AB150" s="45">
        <v>204990</v>
      </c>
      <c r="AC150" s="65"/>
      <c r="AD150" s="45">
        <v>125042</v>
      </c>
      <c r="AE150" s="65"/>
      <c r="AF150" s="45">
        <v>182313</v>
      </c>
      <c r="AG150" s="65"/>
      <c r="AH150" s="48">
        <f t="shared" si="7"/>
        <v>18024021</v>
      </c>
      <c r="AI150" s="48"/>
      <c r="AJ150" s="48">
        <v>0</v>
      </c>
      <c r="AK150" s="48"/>
      <c r="AL150" s="45">
        <v>2200000</v>
      </c>
      <c r="AM150" s="45"/>
      <c r="AN150" s="45">
        <v>14747159</v>
      </c>
      <c r="AO150" s="45"/>
      <c r="AP150" s="45">
        <v>0</v>
      </c>
      <c r="AQ150" s="45"/>
      <c r="AR150" s="45">
        <f>+'GVFund Rev'!U150+'GVFund Rev'!W150-'GVFund Exp'!AH150-'GVFund Exp'!AL150+AJ150+AN150+AP150-'GV Fund BS'!S150</f>
        <v>0</v>
      </c>
      <c r="AS150" s="48"/>
    </row>
    <row r="151" spans="1:45" s="46" customFormat="1" ht="12.75" customHeight="1" x14ac:dyDescent="0.2">
      <c r="A151" s="35" t="s">
        <v>174</v>
      </c>
      <c r="B151" s="44"/>
      <c r="C151" s="35" t="s">
        <v>45</v>
      </c>
      <c r="D151" s="44"/>
      <c r="E151" s="45">
        <v>594906</v>
      </c>
      <c r="F151" s="48"/>
      <c r="G151" s="45">
        <v>1788177</v>
      </c>
      <c r="H151" s="48"/>
      <c r="I151" s="45">
        <v>74735</v>
      </c>
      <c r="J151" s="48"/>
      <c r="K151" s="45">
        <v>0</v>
      </c>
      <c r="L151" s="48"/>
      <c r="M151" s="45">
        <f>364353+472406</f>
        <v>836759</v>
      </c>
      <c r="N151" s="48"/>
      <c r="O151" s="45">
        <v>158649</v>
      </c>
      <c r="P151" s="48"/>
      <c r="Q151" s="45">
        <v>0</v>
      </c>
      <c r="R151" s="48"/>
      <c r="S151" s="45">
        <v>1102009</v>
      </c>
      <c r="T151" s="48"/>
      <c r="U151" s="45">
        <v>0</v>
      </c>
      <c r="V151" s="48"/>
      <c r="W151" s="48"/>
      <c r="X151" s="35"/>
      <c r="Y151" s="44"/>
      <c r="Z151" s="35"/>
      <c r="AA151" s="35"/>
      <c r="AB151" s="45">
        <v>63960</v>
      </c>
      <c r="AC151" s="65"/>
      <c r="AD151" s="45">
        <v>92564</v>
      </c>
      <c r="AE151" s="65"/>
      <c r="AF151" s="45">
        <v>43355</v>
      </c>
      <c r="AG151" s="65"/>
      <c r="AH151" s="48">
        <f t="shared" si="7"/>
        <v>4755114</v>
      </c>
      <c r="AI151" s="48"/>
      <c r="AJ151" s="48">
        <v>0</v>
      </c>
      <c r="AK151" s="48"/>
      <c r="AL151" s="45">
        <f>979150+253379+1522934</f>
        <v>2755463</v>
      </c>
      <c r="AM151" s="45"/>
      <c r="AN151" s="45">
        <v>551430</v>
      </c>
      <c r="AO151" s="45"/>
      <c r="AP151" s="45">
        <v>0</v>
      </c>
      <c r="AQ151" s="45"/>
      <c r="AR151" s="45">
        <f>+'GVFund Rev'!U151+'GVFund Rev'!W151-'GVFund Exp'!AH151-'GVFund Exp'!AL151+AJ151+AN151+AP151-'GV Fund BS'!S151</f>
        <v>0</v>
      </c>
      <c r="AS151" s="48"/>
    </row>
    <row r="152" spans="1:45" s="44" customFormat="1" ht="12.75" customHeight="1" x14ac:dyDescent="0.2">
      <c r="A152" s="35" t="s">
        <v>175</v>
      </c>
      <c r="C152" s="35" t="s">
        <v>176</v>
      </c>
      <c r="E152" s="45">
        <v>5590698</v>
      </c>
      <c r="F152" s="48"/>
      <c r="G152" s="45">
        <v>6166170</v>
      </c>
      <c r="H152" s="48"/>
      <c r="I152" s="45">
        <v>591187</v>
      </c>
      <c r="J152" s="48"/>
      <c r="K152" s="45">
        <v>694326</v>
      </c>
      <c r="L152" s="48"/>
      <c r="M152" s="45">
        <v>3901070</v>
      </c>
      <c r="N152" s="48"/>
      <c r="O152" s="45">
        <v>718703</v>
      </c>
      <c r="P152" s="48"/>
      <c r="Q152" s="45">
        <v>0</v>
      </c>
      <c r="R152" s="48"/>
      <c r="S152" s="45">
        <v>0</v>
      </c>
      <c r="T152" s="48"/>
      <c r="U152" s="45">
        <v>0</v>
      </c>
      <c r="V152" s="48"/>
      <c r="W152" s="48"/>
      <c r="X152" s="35"/>
      <c r="Z152" s="35"/>
      <c r="AA152" s="35"/>
      <c r="AB152" s="45">
        <v>436723</v>
      </c>
      <c r="AC152" s="65"/>
      <c r="AD152" s="45">
        <v>287960</v>
      </c>
      <c r="AE152" s="65"/>
      <c r="AF152" s="45">
        <v>0</v>
      </c>
      <c r="AG152" s="65"/>
      <c r="AH152" s="48">
        <f t="shared" si="7"/>
        <v>18386837</v>
      </c>
      <c r="AI152" s="48"/>
      <c r="AJ152" s="48">
        <v>0</v>
      </c>
      <c r="AK152" s="48"/>
      <c r="AL152" s="45">
        <v>1028456</v>
      </c>
      <c r="AM152" s="45"/>
      <c r="AN152" s="45">
        <v>10036792</v>
      </c>
      <c r="AO152" s="45"/>
      <c r="AP152" s="45">
        <v>-9980</v>
      </c>
      <c r="AQ152" s="45"/>
      <c r="AR152" s="45">
        <f>+'GVFund Rev'!U152+'GVFund Rev'!W152-'GVFund Exp'!AH152-'GVFund Exp'!AL152+AJ152+AN152+AP152-'GV Fund BS'!S152</f>
        <v>0</v>
      </c>
      <c r="AS152" s="48"/>
    </row>
    <row r="153" spans="1:45" s="44" customFormat="1" ht="12.75" customHeight="1" x14ac:dyDescent="0.2">
      <c r="A153" s="35" t="s">
        <v>177</v>
      </c>
      <c r="C153" s="35" t="s">
        <v>13</v>
      </c>
      <c r="E153" s="45">
        <v>655958</v>
      </c>
      <c r="F153" s="48"/>
      <c r="G153" s="45">
        <v>1452669</v>
      </c>
      <c r="H153" s="48"/>
      <c r="I153" s="45">
        <v>0</v>
      </c>
      <c r="J153" s="48"/>
      <c r="K153" s="45">
        <v>39735</v>
      </c>
      <c r="L153" s="48"/>
      <c r="M153" s="45">
        <v>302372</v>
      </c>
      <c r="N153" s="48"/>
      <c r="O153" s="45">
        <v>39904</v>
      </c>
      <c r="P153" s="48"/>
      <c r="Q153" s="45">
        <v>0</v>
      </c>
      <c r="R153" s="48"/>
      <c r="S153" s="45">
        <v>250639</v>
      </c>
      <c r="T153" s="48"/>
      <c r="U153" s="45">
        <v>0</v>
      </c>
      <c r="V153" s="48"/>
      <c r="W153" s="48"/>
      <c r="X153" s="35"/>
      <c r="Z153" s="35"/>
      <c r="AA153" s="35"/>
      <c r="AB153" s="45">
        <v>327089</v>
      </c>
      <c r="AC153" s="65"/>
      <c r="AD153" s="45">
        <v>34525</v>
      </c>
      <c r="AE153" s="65"/>
      <c r="AF153" s="45">
        <v>6297</v>
      </c>
      <c r="AG153" s="65"/>
      <c r="AH153" s="48">
        <f t="shared" si="7"/>
        <v>3109188</v>
      </c>
      <c r="AI153" s="48"/>
      <c r="AJ153" s="48">
        <v>0</v>
      </c>
      <c r="AK153" s="48"/>
      <c r="AL153" s="45">
        <v>18296</v>
      </c>
      <c r="AM153" s="45"/>
      <c r="AN153" s="45">
        <v>3493585</v>
      </c>
      <c r="AO153" s="45"/>
      <c r="AP153" s="45">
        <v>0</v>
      </c>
      <c r="AQ153" s="45"/>
      <c r="AR153" s="45">
        <f>+'GVFund Rev'!U153+'GVFund Rev'!W153-'GVFund Exp'!AH153-'GVFund Exp'!AL153+AJ153+AN153+AP153-'GV Fund BS'!S153</f>
        <v>0</v>
      </c>
      <c r="AS153" s="48"/>
    </row>
    <row r="154" spans="1:45" s="44" customFormat="1" ht="12.75" customHeight="1" x14ac:dyDescent="0.2">
      <c r="A154" s="35" t="s">
        <v>178</v>
      </c>
      <c r="C154" s="35" t="s">
        <v>179</v>
      </c>
      <c r="E154" s="45">
        <v>962827</v>
      </c>
      <c r="F154" s="48"/>
      <c r="G154" s="45">
        <v>3278087</v>
      </c>
      <c r="H154" s="48"/>
      <c r="I154" s="45">
        <v>1260984</v>
      </c>
      <c r="J154" s="48"/>
      <c r="K154" s="45">
        <v>110917</v>
      </c>
      <c r="L154" s="48"/>
      <c r="M154" s="45">
        <v>596226</v>
      </c>
      <c r="N154" s="48"/>
      <c r="O154" s="45">
        <v>799615</v>
      </c>
      <c r="P154" s="48"/>
      <c r="Q154" s="45">
        <v>0</v>
      </c>
      <c r="R154" s="48"/>
      <c r="S154" s="45">
        <v>650487</v>
      </c>
      <c r="T154" s="48"/>
      <c r="U154" s="45">
        <v>0</v>
      </c>
      <c r="V154" s="48"/>
      <c r="W154" s="48"/>
      <c r="X154" s="35"/>
      <c r="Z154" s="35"/>
      <c r="AA154" s="35"/>
      <c r="AB154" s="45">
        <v>142751</v>
      </c>
      <c r="AC154" s="65"/>
      <c r="AD154" s="45">
        <v>96938</v>
      </c>
      <c r="AE154" s="65"/>
      <c r="AF154" s="45">
        <v>0</v>
      </c>
      <c r="AG154" s="65"/>
      <c r="AH154" s="48">
        <f t="shared" si="7"/>
        <v>7898832</v>
      </c>
      <c r="AI154" s="48"/>
      <c r="AJ154" s="48">
        <v>0</v>
      </c>
      <c r="AK154" s="48"/>
      <c r="AL154" s="45">
        <v>2447105</v>
      </c>
      <c r="AM154" s="45"/>
      <c r="AN154" s="45">
        <v>5496711</v>
      </c>
      <c r="AO154" s="45"/>
      <c r="AP154" s="45">
        <v>-59</v>
      </c>
      <c r="AQ154" s="45"/>
      <c r="AR154" s="45">
        <f>+'GVFund Rev'!U154+'GVFund Rev'!W154-'GVFund Exp'!AH154-'GVFund Exp'!AL154+AJ154+AN154+AP154-'GV Fund BS'!S154</f>
        <v>0</v>
      </c>
      <c r="AS154" s="48"/>
    </row>
    <row r="155" spans="1:45" s="44" customFormat="1" ht="12.75" customHeight="1" x14ac:dyDescent="0.2">
      <c r="A155" s="35" t="s">
        <v>180</v>
      </c>
      <c r="C155" s="35" t="s">
        <v>20</v>
      </c>
      <c r="E155" s="45">
        <v>561076</v>
      </c>
      <c r="F155" s="48"/>
      <c r="G155" s="45">
        <f>834249+435349</f>
        <v>1269598</v>
      </c>
      <c r="H155" s="48"/>
      <c r="I155" s="45">
        <v>213021</v>
      </c>
      <c r="J155" s="48"/>
      <c r="K155" s="45">
        <v>0</v>
      </c>
      <c r="L155" s="48"/>
      <c r="M155" s="45">
        <v>419726</v>
      </c>
      <c r="N155" s="48"/>
      <c r="O155" s="45">
        <v>241385</v>
      </c>
      <c r="P155" s="48"/>
      <c r="Q155" s="45">
        <v>0</v>
      </c>
      <c r="R155" s="48"/>
      <c r="S155" s="45">
        <v>236684</v>
      </c>
      <c r="T155" s="48"/>
      <c r="U155" s="45">
        <v>0</v>
      </c>
      <c r="V155" s="48"/>
      <c r="W155" s="48"/>
      <c r="X155" s="35"/>
      <c r="Z155" s="35"/>
      <c r="AA155" s="35"/>
      <c r="AB155" s="45">
        <v>98785</v>
      </c>
      <c r="AC155" s="65"/>
      <c r="AD155" s="45">
        <v>25820</v>
      </c>
      <c r="AE155" s="65"/>
      <c r="AF155" s="45">
        <v>125000</v>
      </c>
      <c r="AG155" s="65"/>
      <c r="AH155" s="48">
        <f t="shared" si="7"/>
        <v>3191095</v>
      </c>
      <c r="AI155" s="48"/>
      <c r="AJ155" s="48">
        <v>0</v>
      </c>
      <c r="AK155" s="48"/>
      <c r="AL155" s="45">
        <f>125000+24300</f>
        <v>149300</v>
      </c>
      <c r="AM155" s="45"/>
      <c r="AN155" s="45">
        <v>3292484</v>
      </c>
      <c r="AO155" s="45"/>
      <c r="AP155" s="45">
        <v>0</v>
      </c>
      <c r="AQ155" s="45"/>
      <c r="AR155" s="45">
        <f>+'GVFund Rev'!U155+'GVFund Rev'!W155-'GVFund Exp'!AH155-'GVFund Exp'!AL155+AJ155+AN155+AP155-'GV Fund BS'!S155</f>
        <v>0</v>
      </c>
      <c r="AS155" s="48"/>
    </row>
    <row r="156" spans="1:45" s="44" customFormat="1" ht="12.75" customHeight="1" x14ac:dyDescent="0.2">
      <c r="A156" s="44" t="s">
        <v>508</v>
      </c>
      <c r="B156" s="47"/>
      <c r="C156" s="44" t="s">
        <v>43</v>
      </c>
      <c r="E156" s="45">
        <v>4175224</v>
      </c>
      <c r="F156" s="48"/>
      <c r="G156" s="45">
        <v>2719451</v>
      </c>
      <c r="H156" s="48"/>
      <c r="I156" s="45">
        <f>1331037+9491552</f>
        <v>10822589</v>
      </c>
      <c r="J156" s="48"/>
      <c r="K156" s="45">
        <v>0</v>
      </c>
      <c r="L156" s="48"/>
      <c r="M156" s="45">
        <v>1977020</v>
      </c>
      <c r="N156" s="48"/>
      <c r="O156" s="45">
        <v>0</v>
      </c>
      <c r="P156" s="48"/>
      <c r="Q156" s="45">
        <v>0</v>
      </c>
      <c r="R156" s="48"/>
      <c r="S156" s="45">
        <v>9072269</v>
      </c>
      <c r="T156" s="48"/>
      <c r="U156" s="45">
        <v>0</v>
      </c>
      <c r="V156" s="48"/>
      <c r="W156" s="48"/>
      <c r="X156" s="35"/>
      <c r="Z156" s="35"/>
      <c r="AA156" s="35"/>
      <c r="AB156" s="45">
        <v>1800263</v>
      </c>
      <c r="AC156" s="65"/>
      <c r="AD156" s="45">
        <v>1477516</v>
      </c>
      <c r="AE156" s="65"/>
      <c r="AF156" s="45">
        <v>0</v>
      </c>
      <c r="AG156" s="65"/>
      <c r="AH156" s="48">
        <f t="shared" si="7"/>
        <v>32044332</v>
      </c>
      <c r="AI156" s="48"/>
      <c r="AJ156" s="48"/>
      <c r="AK156" s="48"/>
      <c r="AL156" s="45">
        <v>3294719</v>
      </c>
      <c r="AM156" s="45"/>
      <c r="AN156" s="45">
        <v>23181066</v>
      </c>
      <c r="AO156" s="45"/>
      <c r="AP156" s="45">
        <v>0</v>
      </c>
      <c r="AQ156" s="45"/>
      <c r="AR156" s="45">
        <f>+'GVFund Rev'!U156+'GVFund Rev'!W156-'GVFund Exp'!AH156-'GVFund Exp'!AL156+AJ156+AN156+AP156-'GV Fund BS'!S156</f>
        <v>0</v>
      </c>
      <c r="AS156" s="48"/>
    </row>
    <row r="157" spans="1:45" s="44" customFormat="1" ht="12.75" customHeight="1" x14ac:dyDescent="0.2">
      <c r="A157" s="35" t="s">
        <v>182</v>
      </c>
      <c r="C157" s="35" t="s">
        <v>183</v>
      </c>
      <c r="E157" s="45">
        <v>661772</v>
      </c>
      <c r="F157" s="48"/>
      <c r="G157" s="45">
        <v>568596</v>
      </c>
      <c r="H157" s="48"/>
      <c r="I157" s="45">
        <v>41306</v>
      </c>
      <c r="J157" s="48"/>
      <c r="K157" s="45">
        <v>744586</v>
      </c>
      <c r="L157" s="48"/>
      <c r="M157" s="45">
        <v>281312</v>
      </c>
      <c r="N157" s="48"/>
      <c r="O157" s="45">
        <v>66303</v>
      </c>
      <c r="P157" s="48"/>
      <c r="Q157" s="45">
        <v>0</v>
      </c>
      <c r="R157" s="48"/>
      <c r="S157" s="45">
        <v>234679</v>
      </c>
      <c r="T157" s="48"/>
      <c r="U157" s="45">
        <v>0</v>
      </c>
      <c r="V157" s="48"/>
      <c r="W157" s="48"/>
      <c r="X157" s="35"/>
      <c r="Z157" s="35"/>
      <c r="AA157" s="35"/>
      <c r="AB157" s="45">
        <v>432643</v>
      </c>
      <c r="AC157" s="65"/>
      <c r="AD157" s="45">
        <v>131678</v>
      </c>
      <c r="AE157" s="65"/>
      <c r="AF157" s="45">
        <v>0</v>
      </c>
      <c r="AG157" s="65"/>
      <c r="AH157" s="48">
        <f t="shared" si="7"/>
        <v>3162875</v>
      </c>
      <c r="AI157" s="48"/>
      <c r="AJ157" s="48">
        <v>0</v>
      </c>
      <c r="AK157" s="48"/>
      <c r="AL157" s="45">
        <v>208000</v>
      </c>
      <c r="AM157" s="45"/>
      <c r="AN157" s="45">
        <v>1160120</v>
      </c>
      <c r="AO157" s="45"/>
      <c r="AP157" s="45">
        <v>0</v>
      </c>
      <c r="AQ157" s="45"/>
      <c r="AR157" s="45">
        <f>+'GVFund Rev'!U157+'GVFund Rev'!W157-'GVFund Exp'!AH157-'GVFund Exp'!AL157+AJ157+AN157+AP157-'GV Fund BS'!S157</f>
        <v>0</v>
      </c>
      <c r="AS157" s="48"/>
    </row>
    <row r="158" spans="1:45" s="44" customFormat="1" ht="12.75" customHeight="1" x14ac:dyDescent="0.2">
      <c r="A158" s="64" t="s">
        <v>487</v>
      </c>
      <c r="B158" s="46"/>
      <c r="C158" s="64" t="s">
        <v>13</v>
      </c>
      <c r="D158" s="46"/>
      <c r="E158" s="45">
        <v>862247</v>
      </c>
      <c r="F158" s="48"/>
      <c r="G158" s="45">
        <v>3846717</v>
      </c>
      <c r="H158" s="48"/>
      <c r="I158" s="45">
        <v>120583</v>
      </c>
      <c r="J158" s="48"/>
      <c r="K158" s="45">
        <v>124424</v>
      </c>
      <c r="L158" s="48"/>
      <c r="M158" s="45">
        <v>1726937</v>
      </c>
      <c r="N158" s="48"/>
      <c r="O158" s="45">
        <v>28277</v>
      </c>
      <c r="P158" s="48"/>
      <c r="Q158" s="45">
        <v>0</v>
      </c>
      <c r="R158" s="48"/>
      <c r="S158" s="45">
        <v>358667</v>
      </c>
      <c r="T158" s="48"/>
      <c r="U158" s="45">
        <v>0</v>
      </c>
      <c r="V158" s="48"/>
      <c r="W158" s="48"/>
      <c r="X158" s="35"/>
      <c r="Z158" s="35"/>
      <c r="AA158" s="35"/>
      <c r="AB158" s="45">
        <v>27226</v>
      </c>
      <c r="AC158" s="65"/>
      <c r="AD158" s="45">
        <v>3888</v>
      </c>
      <c r="AE158" s="65"/>
      <c r="AF158" s="45">
        <v>0</v>
      </c>
      <c r="AG158" s="65"/>
      <c r="AH158" s="48">
        <f t="shared" si="7"/>
        <v>7098966</v>
      </c>
      <c r="AI158" s="48"/>
      <c r="AJ158" s="48">
        <v>0</v>
      </c>
      <c r="AK158" s="48"/>
      <c r="AL158" s="45">
        <v>733609</v>
      </c>
      <c r="AM158" s="45"/>
      <c r="AN158" s="45">
        <v>3533385</v>
      </c>
      <c r="AO158" s="45"/>
      <c r="AP158" s="45">
        <v>0</v>
      </c>
      <c r="AQ158" s="45"/>
      <c r="AR158" s="45">
        <f>+'GVFund Rev'!U158+'GVFund Rev'!W158-'GVFund Exp'!AH158-'GVFund Exp'!AL158+AJ158+AN158+AP158-'GV Fund BS'!S158</f>
        <v>0</v>
      </c>
      <c r="AS158" s="48"/>
    </row>
    <row r="159" spans="1:45" s="44" customFormat="1" ht="12.75" customHeight="1" x14ac:dyDescent="0.2">
      <c r="A159" s="64" t="s">
        <v>184</v>
      </c>
      <c r="B159" s="46"/>
      <c r="C159" s="64" t="s">
        <v>89</v>
      </c>
      <c r="D159" s="46"/>
      <c r="E159" s="45">
        <v>3453126</v>
      </c>
      <c r="F159" s="48"/>
      <c r="G159" s="45">
        <v>4926642</v>
      </c>
      <c r="H159" s="48"/>
      <c r="I159" s="45">
        <v>443749</v>
      </c>
      <c r="J159" s="48"/>
      <c r="K159" s="45">
        <v>676940</v>
      </c>
      <c r="L159" s="48"/>
      <c r="M159" s="45">
        <v>1291465</v>
      </c>
      <c r="N159" s="48"/>
      <c r="O159" s="45">
        <v>735416</v>
      </c>
      <c r="P159" s="48"/>
      <c r="Q159" s="45">
        <v>0</v>
      </c>
      <c r="R159" s="48"/>
      <c r="S159" s="45">
        <v>3296375</v>
      </c>
      <c r="T159" s="48"/>
      <c r="U159" s="45">
        <v>0</v>
      </c>
      <c r="V159" s="48"/>
      <c r="W159" s="48"/>
      <c r="X159" s="35"/>
      <c r="Z159" s="35"/>
      <c r="AA159" s="35"/>
      <c r="AB159" s="45">
        <v>167416</v>
      </c>
      <c r="AC159" s="65"/>
      <c r="AD159" s="45">
        <v>88356</v>
      </c>
      <c r="AE159" s="65"/>
      <c r="AF159" s="45">
        <v>0</v>
      </c>
      <c r="AG159" s="65"/>
      <c r="AH159" s="48">
        <f t="shared" si="7"/>
        <v>15079485</v>
      </c>
      <c r="AI159" s="48"/>
      <c r="AJ159" s="48">
        <v>0</v>
      </c>
      <c r="AK159" s="48"/>
      <c r="AL159" s="45">
        <v>165720</v>
      </c>
      <c r="AM159" s="45"/>
      <c r="AN159" s="45">
        <v>6134521</v>
      </c>
      <c r="AO159" s="45"/>
      <c r="AP159" s="45">
        <v>0</v>
      </c>
      <c r="AQ159" s="45"/>
      <c r="AR159" s="45">
        <f>+'GVFund Rev'!U159+'GVFund Rev'!W159-'GVFund Exp'!AH159-'GVFund Exp'!AL159+AJ159+AN159+AP159-'GV Fund BS'!S159</f>
        <v>0</v>
      </c>
      <c r="AS159" s="48"/>
    </row>
    <row r="160" spans="1:45" s="44" customFormat="1" ht="12.75" customHeight="1" x14ac:dyDescent="0.2">
      <c r="A160" s="35" t="s">
        <v>181</v>
      </c>
      <c r="C160" s="35" t="s">
        <v>125</v>
      </c>
      <c r="E160" s="45">
        <v>11311034</v>
      </c>
      <c r="F160" s="48"/>
      <c r="G160" s="45">
        <v>17582231</v>
      </c>
      <c r="H160" s="48"/>
      <c r="I160" s="45">
        <v>1940710</v>
      </c>
      <c r="J160" s="48"/>
      <c r="K160" s="45">
        <v>200044</v>
      </c>
      <c r="L160" s="48"/>
      <c r="M160" s="45">
        <v>3981510</v>
      </c>
      <c r="N160" s="48"/>
      <c r="O160" s="45">
        <v>0</v>
      </c>
      <c r="P160" s="48"/>
      <c r="Q160" s="45">
        <v>0</v>
      </c>
      <c r="R160" s="48"/>
      <c r="S160" s="45">
        <v>2983077</v>
      </c>
      <c r="T160" s="48"/>
      <c r="U160" s="45">
        <v>0</v>
      </c>
      <c r="V160" s="48"/>
      <c r="W160" s="48"/>
      <c r="X160" s="35"/>
      <c r="Z160" s="35"/>
      <c r="AA160" s="35"/>
      <c r="AB160" s="45">
        <v>751726</v>
      </c>
      <c r="AC160" s="65"/>
      <c r="AD160" s="45">
        <v>665800</v>
      </c>
      <c r="AE160" s="65"/>
      <c r="AF160" s="45">
        <v>0</v>
      </c>
      <c r="AG160" s="65"/>
      <c r="AH160" s="48">
        <f t="shared" si="7"/>
        <v>39416132</v>
      </c>
      <c r="AI160" s="48"/>
      <c r="AJ160" s="48">
        <v>0</v>
      </c>
      <c r="AK160" s="48"/>
      <c r="AL160" s="45">
        <v>4479992</v>
      </c>
      <c r="AM160" s="45"/>
      <c r="AN160" s="45">
        <v>14624331</v>
      </c>
      <c r="AO160" s="45"/>
      <c r="AP160" s="45">
        <v>34453</v>
      </c>
      <c r="AQ160" s="45"/>
      <c r="AR160" s="45">
        <f>+'GVFund Rev'!U160+'GVFund Rev'!W160-'GVFund Exp'!AH160-'GVFund Exp'!AL160+AJ160+AN160+AP160-'GV Fund BS'!S160</f>
        <v>0</v>
      </c>
      <c r="AS160" s="48"/>
    </row>
    <row r="161" spans="1:45" s="44" customFormat="1" ht="12.75" customHeight="1" x14ac:dyDescent="0.2">
      <c r="A161" s="35" t="s">
        <v>185</v>
      </c>
      <c r="C161" s="35" t="s">
        <v>80</v>
      </c>
      <c r="E161" s="45">
        <v>2021497</v>
      </c>
      <c r="F161" s="48"/>
      <c r="G161" s="45">
        <v>8184859</v>
      </c>
      <c r="H161" s="48"/>
      <c r="I161" s="45">
        <v>769020</v>
      </c>
      <c r="J161" s="48"/>
      <c r="K161" s="45">
        <v>579883</v>
      </c>
      <c r="L161" s="48"/>
      <c r="M161" s="45">
        <v>1421710</v>
      </c>
      <c r="N161" s="48"/>
      <c r="O161" s="45">
        <v>505454</v>
      </c>
      <c r="P161" s="48"/>
      <c r="Q161" s="45">
        <v>141712</v>
      </c>
      <c r="R161" s="48"/>
      <c r="S161" s="45">
        <v>3224908</v>
      </c>
      <c r="T161" s="48"/>
      <c r="U161" s="45">
        <v>0</v>
      </c>
      <c r="V161" s="48"/>
      <c r="W161" s="48"/>
      <c r="X161" s="35"/>
      <c r="Z161" s="35"/>
      <c r="AA161" s="35"/>
      <c r="AB161" s="45">
        <v>11384</v>
      </c>
      <c r="AC161" s="65"/>
      <c r="AD161" s="45">
        <v>51767</v>
      </c>
      <c r="AE161" s="65"/>
      <c r="AF161" s="45">
        <v>40674</v>
      </c>
      <c r="AG161" s="65"/>
      <c r="AH161" s="48">
        <f t="shared" si="7"/>
        <v>16952868</v>
      </c>
      <c r="AI161" s="48"/>
      <c r="AJ161" s="48">
        <v>0</v>
      </c>
      <c r="AK161" s="48"/>
      <c r="AL161" s="45">
        <v>8446006</v>
      </c>
      <c r="AM161" s="45"/>
      <c r="AN161" s="45">
        <v>11350374</v>
      </c>
      <c r="AO161" s="45"/>
      <c r="AP161" s="45">
        <v>0</v>
      </c>
      <c r="AQ161" s="45"/>
      <c r="AR161" s="45">
        <f>+'GVFund Rev'!U161+'GVFund Rev'!W161-'GVFund Exp'!AH161-'GVFund Exp'!AL161+AJ161+AN161+AP161-'GV Fund BS'!S161</f>
        <v>0</v>
      </c>
      <c r="AS161" s="48"/>
    </row>
    <row r="162" spans="1:45" s="44" customFormat="1" ht="12.75" customHeight="1" x14ac:dyDescent="0.2">
      <c r="A162" s="35" t="s">
        <v>186</v>
      </c>
      <c r="C162" s="35" t="s">
        <v>15</v>
      </c>
      <c r="E162" s="45">
        <v>1814570</v>
      </c>
      <c r="F162" s="48"/>
      <c r="G162" s="45">
        <f>3195293+721363</f>
        <v>3916656</v>
      </c>
      <c r="H162" s="48"/>
      <c r="I162" s="45">
        <v>422242</v>
      </c>
      <c r="J162" s="48"/>
      <c r="K162" s="45">
        <v>1600747</v>
      </c>
      <c r="L162" s="48"/>
      <c r="M162" s="45">
        <v>1191111</v>
      </c>
      <c r="N162" s="48"/>
      <c r="O162" s="45">
        <v>764555</v>
      </c>
      <c r="P162" s="48"/>
      <c r="Q162" s="45">
        <v>482492</v>
      </c>
      <c r="R162" s="48"/>
      <c r="S162" s="45">
        <v>1942925</v>
      </c>
      <c r="T162" s="48"/>
      <c r="U162" s="45">
        <v>0</v>
      </c>
      <c r="V162" s="48"/>
      <c r="W162" s="48"/>
      <c r="X162" s="35"/>
      <c r="Z162" s="35"/>
      <c r="AA162" s="35"/>
      <c r="AB162" s="45">
        <v>401315</v>
      </c>
      <c r="AC162" s="65"/>
      <c r="AD162" s="45">
        <v>83223</v>
      </c>
      <c r="AE162" s="65"/>
      <c r="AF162" s="45">
        <v>86340</v>
      </c>
      <c r="AG162" s="65"/>
      <c r="AH162" s="48">
        <f t="shared" si="7"/>
        <v>12706176</v>
      </c>
      <c r="AI162" s="48"/>
      <c r="AJ162" s="48">
        <v>0</v>
      </c>
      <c r="AK162" s="48"/>
      <c r="AL162" s="45">
        <v>877692</v>
      </c>
      <c r="AM162" s="45"/>
      <c r="AN162" s="45">
        <v>5053898</v>
      </c>
      <c r="AO162" s="45"/>
      <c r="AP162" s="45">
        <v>0</v>
      </c>
      <c r="AQ162" s="45"/>
      <c r="AR162" s="45">
        <f>+'GVFund Rev'!U162+'GVFund Rev'!W162-'GVFund Exp'!AH162-'GVFund Exp'!AL162+AJ162+AN162+AP162-'GV Fund BS'!S162</f>
        <v>0</v>
      </c>
      <c r="AS162" s="48"/>
    </row>
    <row r="163" spans="1:45" s="44" customFormat="1" ht="12.75" customHeight="1" x14ac:dyDescent="0.2">
      <c r="A163" s="35" t="s">
        <v>187</v>
      </c>
      <c r="C163" s="35" t="s">
        <v>27</v>
      </c>
      <c r="E163" s="45">
        <v>3646056</v>
      </c>
      <c r="F163" s="48"/>
      <c r="G163" s="45">
        <v>11513761</v>
      </c>
      <c r="H163" s="48"/>
      <c r="I163" s="45">
        <v>468200</v>
      </c>
      <c r="J163" s="48"/>
      <c r="K163" s="45">
        <v>628225</v>
      </c>
      <c r="L163" s="48"/>
      <c r="M163" s="45">
        <v>5163746</v>
      </c>
      <c r="N163" s="48"/>
      <c r="O163" s="45">
        <v>2287806</v>
      </c>
      <c r="P163" s="48"/>
      <c r="Q163" s="45">
        <v>2306879</v>
      </c>
      <c r="R163" s="48"/>
      <c r="S163" s="45">
        <v>376161</v>
      </c>
      <c r="T163" s="48"/>
      <c r="U163" s="45">
        <v>0</v>
      </c>
      <c r="V163" s="48"/>
      <c r="W163" s="48"/>
      <c r="X163" s="35"/>
      <c r="Z163" s="35"/>
      <c r="AA163" s="35"/>
      <c r="AB163" s="45">
        <v>4002500</v>
      </c>
      <c r="AC163" s="65"/>
      <c r="AD163" s="45">
        <v>1368647</v>
      </c>
      <c r="AE163" s="65"/>
      <c r="AF163" s="45">
        <v>17426</v>
      </c>
      <c r="AG163" s="65"/>
      <c r="AH163" s="48">
        <f t="shared" si="7"/>
        <v>31779407</v>
      </c>
      <c r="AI163" s="48"/>
      <c r="AJ163" s="48">
        <v>0</v>
      </c>
      <c r="AK163" s="48"/>
      <c r="AL163" s="45">
        <v>3085222</v>
      </c>
      <c r="AM163" s="45"/>
      <c r="AN163" s="45">
        <v>14850300</v>
      </c>
      <c r="AO163" s="45"/>
      <c r="AP163" s="45">
        <v>0</v>
      </c>
      <c r="AQ163" s="45"/>
      <c r="AR163" s="45">
        <f>+'GVFund Rev'!U163+'GVFund Rev'!W163-'GVFund Exp'!AH163-'GVFund Exp'!AL163+AJ163+AN163+AP163-'GV Fund BS'!S163</f>
        <v>0</v>
      </c>
      <c r="AS163" s="48"/>
    </row>
    <row r="164" spans="1:45" s="44" customFormat="1" ht="12.75" customHeight="1" x14ac:dyDescent="0.2">
      <c r="A164" s="44" t="s">
        <v>189</v>
      </c>
      <c r="C164" s="44" t="s">
        <v>17</v>
      </c>
      <c r="E164" s="45">
        <v>6567369</v>
      </c>
      <c r="F164" s="48"/>
      <c r="G164" s="45">
        <v>9949831</v>
      </c>
      <c r="H164" s="48"/>
      <c r="I164" s="45">
        <v>1389032</v>
      </c>
      <c r="J164" s="48"/>
      <c r="K164" s="45">
        <v>415087</v>
      </c>
      <c r="L164" s="48"/>
      <c r="M164" s="45">
        <v>2803235</v>
      </c>
      <c r="N164" s="48"/>
      <c r="O164" s="45">
        <v>368566</v>
      </c>
      <c r="P164" s="48"/>
      <c r="Q164" s="45">
        <v>0</v>
      </c>
      <c r="R164" s="48"/>
      <c r="S164" s="45">
        <v>689698</v>
      </c>
      <c r="T164" s="48"/>
      <c r="U164" s="45">
        <v>0</v>
      </c>
      <c r="V164" s="48"/>
      <c r="W164" s="48"/>
      <c r="X164" s="35"/>
      <c r="Z164" s="35"/>
      <c r="AA164" s="35"/>
      <c r="AB164" s="45">
        <v>3389265</v>
      </c>
      <c r="AC164" s="65"/>
      <c r="AD164" s="45">
        <v>262988</v>
      </c>
      <c r="AE164" s="65"/>
      <c r="AF164" s="45">
        <v>22879</v>
      </c>
      <c r="AG164" s="65"/>
      <c r="AH164" s="48">
        <f t="shared" si="7"/>
        <v>25857950</v>
      </c>
      <c r="AI164" s="48"/>
      <c r="AJ164" s="48">
        <v>0</v>
      </c>
      <c r="AK164" s="48"/>
      <c r="AL164" s="45">
        <v>1050000</v>
      </c>
      <c r="AM164" s="45"/>
      <c r="AN164" s="45">
        <v>7342958</v>
      </c>
      <c r="AO164" s="45"/>
      <c r="AP164" s="45">
        <v>0</v>
      </c>
      <c r="AQ164" s="45"/>
      <c r="AR164" s="45">
        <f>+'GVFund Rev'!U164+'GVFund Rev'!W164-'GVFund Exp'!AH164-'GVFund Exp'!AL164+AJ164+AN164+AP164-'GV Fund BS'!S164</f>
        <v>0</v>
      </c>
      <c r="AS164" s="48"/>
    </row>
    <row r="165" spans="1:45" s="44" customFormat="1" ht="12.75" customHeight="1" x14ac:dyDescent="0.2">
      <c r="A165" s="64" t="s">
        <v>188</v>
      </c>
      <c r="B165" s="46"/>
      <c r="C165" s="64" t="s">
        <v>27</v>
      </c>
      <c r="D165" s="46"/>
      <c r="E165" s="45">
        <v>2692168</v>
      </c>
      <c r="F165" s="48"/>
      <c r="G165" s="45">
        <v>10898451</v>
      </c>
      <c r="H165" s="48"/>
      <c r="I165" s="45">
        <v>706982</v>
      </c>
      <c r="J165" s="48"/>
      <c r="K165" s="45">
        <v>376706</v>
      </c>
      <c r="L165" s="48"/>
      <c r="M165" s="45">
        <v>2335184</v>
      </c>
      <c r="N165" s="48"/>
      <c r="O165" s="45">
        <v>946038</v>
      </c>
      <c r="P165" s="48"/>
      <c r="Q165" s="45">
        <v>2095287</v>
      </c>
      <c r="R165" s="48"/>
      <c r="S165" s="45">
        <v>6459015</v>
      </c>
      <c r="T165" s="48"/>
      <c r="U165" s="45">
        <v>0</v>
      </c>
      <c r="V165" s="48"/>
      <c r="W165" s="48"/>
      <c r="X165" s="35"/>
      <c r="Z165" s="35"/>
      <c r="AA165" s="35"/>
      <c r="AB165" s="45">
        <v>6337423</v>
      </c>
      <c r="AC165" s="65"/>
      <c r="AD165" s="45">
        <v>568927</v>
      </c>
      <c r="AE165" s="65"/>
      <c r="AF165" s="45">
        <v>0</v>
      </c>
      <c r="AG165" s="65"/>
      <c r="AH165" s="48">
        <f t="shared" si="7"/>
        <v>33416181</v>
      </c>
      <c r="AI165" s="48"/>
      <c r="AJ165" s="48">
        <v>0</v>
      </c>
      <c r="AK165" s="48"/>
      <c r="AL165" s="45">
        <v>3090690</v>
      </c>
      <c r="AM165" s="45"/>
      <c r="AN165" s="45">
        <v>12517851</v>
      </c>
      <c r="AO165" s="45"/>
      <c r="AP165" s="45">
        <v>0</v>
      </c>
      <c r="AQ165" s="45"/>
      <c r="AR165" s="45">
        <f>+'GVFund Rev'!U165+'GVFund Rev'!W165-'GVFund Exp'!AH165-'GVFund Exp'!AL165+AJ165+AN165+AP165-'GV Fund BS'!S165</f>
        <v>0</v>
      </c>
      <c r="AS165" s="48"/>
    </row>
    <row r="166" spans="1:45" s="44" customFormat="1" ht="12.75" customHeight="1" x14ac:dyDescent="0.2">
      <c r="A166" s="35" t="s">
        <v>190</v>
      </c>
      <c r="C166" s="35" t="s">
        <v>47</v>
      </c>
      <c r="E166" s="45">
        <v>1279165</v>
      </c>
      <c r="F166" s="48"/>
      <c r="G166" s="45">
        <v>2280391</v>
      </c>
      <c r="H166" s="48"/>
      <c r="I166" s="45">
        <v>106247</v>
      </c>
      <c r="J166" s="48"/>
      <c r="K166" s="45">
        <v>8682</v>
      </c>
      <c r="L166" s="48"/>
      <c r="M166" s="45">
        <v>453799</v>
      </c>
      <c r="N166" s="48"/>
      <c r="O166" s="45">
        <v>55894</v>
      </c>
      <c r="P166" s="48"/>
      <c r="Q166" s="45">
        <v>193065</v>
      </c>
      <c r="R166" s="48"/>
      <c r="S166" s="45">
        <v>139903</v>
      </c>
      <c r="T166" s="48"/>
      <c r="U166" s="45">
        <v>0</v>
      </c>
      <c r="V166" s="48"/>
      <c r="W166" s="48"/>
      <c r="X166" s="35"/>
      <c r="Z166" s="35"/>
      <c r="AA166" s="35"/>
      <c r="AB166" s="45">
        <v>94390</v>
      </c>
      <c r="AC166" s="65"/>
      <c r="AD166" s="45">
        <v>113180</v>
      </c>
      <c r="AE166" s="65"/>
      <c r="AF166" s="45">
        <v>0</v>
      </c>
      <c r="AG166" s="65"/>
      <c r="AH166" s="48">
        <f t="shared" si="7"/>
        <v>4724716</v>
      </c>
      <c r="AI166" s="48"/>
      <c r="AJ166" s="48">
        <v>0</v>
      </c>
      <c r="AK166" s="48"/>
      <c r="AL166" s="45">
        <v>105000</v>
      </c>
      <c r="AM166" s="45"/>
      <c r="AN166" s="45">
        <v>5391540</v>
      </c>
      <c r="AO166" s="45"/>
      <c r="AP166" s="45">
        <v>15026</v>
      </c>
      <c r="AQ166" s="45"/>
      <c r="AR166" s="45">
        <f>+'GVFund Rev'!U166+'GVFund Rev'!W166-'GVFund Exp'!AH166-'GVFund Exp'!AL166+AJ166+AN166+AP166-'GV Fund BS'!S166</f>
        <v>0</v>
      </c>
      <c r="AS166" s="48"/>
    </row>
    <row r="167" spans="1:45" s="44" customFormat="1" ht="12.75" customHeight="1" x14ac:dyDescent="0.2">
      <c r="A167" s="35" t="s">
        <v>191</v>
      </c>
      <c r="C167" s="35" t="s">
        <v>13</v>
      </c>
      <c r="E167" s="45">
        <v>2039058</v>
      </c>
      <c r="F167" s="48"/>
      <c r="G167" s="45">
        <v>3762855</v>
      </c>
      <c r="H167" s="48"/>
      <c r="I167" s="45">
        <v>136317</v>
      </c>
      <c r="J167" s="48"/>
      <c r="K167" s="45">
        <v>69907</v>
      </c>
      <c r="L167" s="48"/>
      <c r="M167" s="45">
        <v>1395894</v>
      </c>
      <c r="N167" s="48"/>
      <c r="O167" s="45">
        <v>140871</v>
      </c>
      <c r="P167" s="48"/>
      <c r="Q167" s="45">
        <v>0</v>
      </c>
      <c r="R167" s="48"/>
      <c r="S167" s="45">
        <v>365560</v>
      </c>
      <c r="T167" s="48"/>
      <c r="U167" s="45">
        <v>0</v>
      </c>
      <c r="V167" s="48"/>
      <c r="W167" s="48"/>
      <c r="X167" s="35"/>
      <c r="Z167" s="35"/>
      <c r="AA167" s="35"/>
      <c r="AB167" s="45">
        <v>2312000</v>
      </c>
      <c r="AC167" s="65"/>
      <c r="AD167" s="45">
        <v>295389</v>
      </c>
      <c r="AE167" s="65"/>
      <c r="AF167" s="45">
        <v>0</v>
      </c>
      <c r="AG167" s="65"/>
      <c r="AH167" s="48">
        <f t="shared" si="7"/>
        <v>10517851</v>
      </c>
      <c r="AI167" s="48"/>
      <c r="AJ167" s="48">
        <v>0</v>
      </c>
      <c r="AK167" s="48"/>
      <c r="AL167" s="45">
        <v>860178</v>
      </c>
      <c r="AM167" s="45"/>
      <c r="AN167" s="45">
        <v>5384594</v>
      </c>
      <c r="AO167" s="45"/>
      <c r="AP167" s="45">
        <v>0</v>
      </c>
      <c r="AQ167" s="45"/>
      <c r="AR167" s="45">
        <f>+'GVFund Rev'!U167+'GVFund Rev'!W167-'GVFund Exp'!AH167-'GVFund Exp'!AL167+AJ167+AN167+AP167-'GV Fund BS'!S167</f>
        <v>0</v>
      </c>
      <c r="AS167" s="48"/>
    </row>
    <row r="168" spans="1:45" s="44" customFormat="1" ht="12.75" customHeight="1" x14ac:dyDescent="0.2">
      <c r="A168" s="64" t="s">
        <v>192</v>
      </c>
      <c r="B168" s="46"/>
      <c r="C168" s="64" t="s">
        <v>38</v>
      </c>
      <c r="D168" s="46"/>
      <c r="E168" s="45">
        <v>2206855</v>
      </c>
      <c r="F168" s="48"/>
      <c r="G168" s="45">
        <v>4732600</v>
      </c>
      <c r="H168" s="48"/>
      <c r="I168" s="45">
        <v>1089814</v>
      </c>
      <c r="J168" s="48"/>
      <c r="K168" s="45">
        <v>162899</v>
      </c>
      <c r="L168" s="48"/>
      <c r="M168" s="45">
        <v>810410</v>
      </c>
      <c r="N168" s="48"/>
      <c r="O168" s="45">
        <v>1567962</v>
      </c>
      <c r="P168" s="48"/>
      <c r="Q168" s="45">
        <v>0</v>
      </c>
      <c r="R168" s="48"/>
      <c r="S168" s="45">
        <v>1421556</v>
      </c>
      <c r="T168" s="48"/>
      <c r="U168" s="45">
        <v>0</v>
      </c>
      <c r="V168" s="48"/>
      <c r="W168" s="48"/>
      <c r="X168" s="35"/>
      <c r="Z168" s="35"/>
      <c r="AA168" s="35"/>
      <c r="AB168" s="45">
        <v>181118</v>
      </c>
      <c r="AC168" s="65"/>
      <c r="AD168" s="45">
        <v>53203</v>
      </c>
      <c r="AE168" s="65"/>
      <c r="AF168" s="45">
        <v>0</v>
      </c>
      <c r="AG168" s="65"/>
      <c r="AH168" s="48">
        <f t="shared" si="7"/>
        <v>12226417</v>
      </c>
      <c r="AI168" s="48"/>
      <c r="AJ168" s="48">
        <v>0</v>
      </c>
      <c r="AK168" s="48"/>
      <c r="AL168" s="45">
        <v>672469</v>
      </c>
      <c r="AM168" s="45"/>
      <c r="AN168" s="45">
        <v>11952684</v>
      </c>
      <c r="AO168" s="45"/>
      <c r="AP168" s="45">
        <v>0</v>
      </c>
      <c r="AQ168" s="45"/>
      <c r="AR168" s="45">
        <f>+'GVFund Rev'!U168+'GVFund Rev'!W168-'GVFund Exp'!AH168-'GVFund Exp'!AL168+AJ168+AN168+AP168-'GV Fund BS'!S169</f>
        <v>0</v>
      </c>
      <c r="AS168" s="48"/>
    </row>
    <row r="169" spans="1:45" s="44" customFormat="1" ht="12.75" customHeight="1" x14ac:dyDescent="0.2">
      <c r="A169" s="35" t="s">
        <v>193</v>
      </c>
      <c r="C169" s="35" t="s">
        <v>45</v>
      </c>
      <c r="E169" s="45">
        <v>4137344</v>
      </c>
      <c r="F169" s="48"/>
      <c r="G169" s="45">
        <f>7186747+7718494</f>
        <v>14905241</v>
      </c>
      <c r="H169" s="48"/>
      <c r="I169" s="45">
        <v>105429</v>
      </c>
      <c r="J169" s="48"/>
      <c r="K169" s="45">
        <v>1040502</v>
      </c>
      <c r="L169" s="48"/>
      <c r="M169" s="45">
        <v>654689</v>
      </c>
      <c r="N169" s="48"/>
      <c r="O169" s="45">
        <v>1047524</v>
      </c>
      <c r="P169" s="48"/>
      <c r="Q169" s="45">
        <v>33723</v>
      </c>
      <c r="R169" s="48"/>
      <c r="S169" s="45">
        <v>1000</v>
      </c>
      <c r="T169" s="48"/>
      <c r="U169" s="45">
        <v>333961</v>
      </c>
      <c r="V169" s="48"/>
      <c r="W169" s="48"/>
      <c r="X169" s="35"/>
      <c r="Z169" s="35"/>
      <c r="AA169" s="35"/>
      <c r="AB169" s="45">
        <v>1420109</v>
      </c>
      <c r="AC169" s="65"/>
      <c r="AD169" s="45">
        <v>1433408</v>
      </c>
      <c r="AE169" s="65"/>
      <c r="AF169" s="45">
        <v>0</v>
      </c>
      <c r="AG169" s="65"/>
      <c r="AH169" s="48">
        <f t="shared" si="7"/>
        <v>25112930</v>
      </c>
      <c r="AI169" s="48"/>
      <c r="AJ169" s="48">
        <v>0</v>
      </c>
      <c r="AK169" s="48"/>
      <c r="AL169" s="45">
        <v>744504</v>
      </c>
      <c r="AM169" s="45"/>
      <c r="AN169" s="45">
        <v>4848464</v>
      </c>
      <c r="AO169" s="45"/>
      <c r="AP169" s="45">
        <v>0</v>
      </c>
      <c r="AQ169" s="45"/>
      <c r="AR169" s="45">
        <f>+'GVFund Rev'!U169+'GVFund Rev'!W169-'GVFund Exp'!AH169-'GVFund Exp'!AL169+AJ169+AN169+AP169-'GV Fund BS'!S170</f>
        <v>0</v>
      </c>
      <c r="AS169" s="65"/>
    </row>
    <row r="170" spans="1:45" s="44" customFormat="1" ht="12.75" customHeight="1" x14ac:dyDescent="0.2">
      <c r="A170" s="35" t="s">
        <v>194</v>
      </c>
      <c r="C170" s="35" t="s">
        <v>66</v>
      </c>
      <c r="E170" s="45">
        <v>2151994</v>
      </c>
      <c r="F170" s="48"/>
      <c r="G170" s="45">
        <v>5409172</v>
      </c>
      <c r="H170" s="48"/>
      <c r="I170" s="45">
        <v>1931812</v>
      </c>
      <c r="J170" s="48"/>
      <c r="K170" s="45">
        <v>115470</v>
      </c>
      <c r="L170" s="48"/>
      <c r="M170" s="45">
        <v>941140</v>
      </c>
      <c r="N170" s="48"/>
      <c r="O170" s="45">
        <v>986129</v>
      </c>
      <c r="P170" s="48"/>
      <c r="Q170" s="45">
        <v>0</v>
      </c>
      <c r="R170" s="48"/>
      <c r="S170" s="45">
        <v>2108643</v>
      </c>
      <c r="T170" s="48"/>
      <c r="U170" s="45">
        <v>0</v>
      </c>
      <c r="V170" s="48"/>
      <c r="W170" s="48"/>
      <c r="X170" s="35"/>
      <c r="Z170" s="35"/>
      <c r="AA170" s="35"/>
      <c r="AB170" s="45">
        <v>12988</v>
      </c>
      <c r="AC170" s="65"/>
      <c r="AD170" s="45">
        <v>51269</v>
      </c>
      <c r="AE170" s="65"/>
      <c r="AF170" s="45">
        <v>0</v>
      </c>
      <c r="AG170" s="65"/>
      <c r="AH170" s="48">
        <f t="shared" si="7"/>
        <v>13708617</v>
      </c>
      <c r="AI170" s="48"/>
      <c r="AJ170" s="48">
        <v>0</v>
      </c>
      <c r="AK170" s="48"/>
      <c r="AL170" s="45">
        <v>699156</v>
      </c>
      <c r="AM170" s="45"/>
      <c r="AN170" s="45">
        <v>10204535</v>
      </c>
      <c r="AO170" s="45"/>
      <c r="AP170" s="45">
        <v>0</v>
      </c>
      <c r="AQ170" s="45"/>
      <c r="AR170" s="45">
        <f>+'GVFund Rev'!U170+'GVFund Rev'!W170-'GVFund Exp'!AH170-'GVFund Exp'!AL170+AJ170+AN170+AP170-'GV Fund BS'!S171</f>
        <v>0</v>
      </c>
      <c r="AS170" s="48"/>
    </row>
    <row r="171" spans="1:45" s="44" customFormat="1" ht="12.75" customHeight="1" x14ac:dyDescent="0.2">
      <c r="A171" s="35" t="s">
        <v>195</v>
      </c>
      <c r="C171" s="35" t="s">
        <v>17</v>
      </c>
      <c r="E171" s="45">
        <v>3208035</v>
      </c>
      <c r="F171" s="48"/>
      <c r="G171" s="45">
        <v>3480799</v>
      </c>
      <c r="H171" s="48"/>
      <c r="I171" s="45">
        <v>451892</v>
      </c>
      <c r="J171" s="48"/>
      <c r="K171" s="45">
        <v>123175</v>
      </c>
      <c r="L171" s="48"/>
      <c r="M171" s="45">
        <v>706957</v>
      </c>
      <c r="N171" s="48"/>
      <c r="O171" s="45">
        <v>652169</v>
      </c>
      <c r="P171" s="48"/>
      <c r="Q171" s="45">
        <v>216459</v>
      </c>
      <c r="R171" s="48"/>
      <c r="S171" s="45">
        <v>2878065</v>
      </c>
      <c r="T171" s="48"/>
      <c r="U171" s="45">
        <v>0</v>
      </c>
      <c r="V171" s="48"/>
      <c r="W171" s="48"/>
      <c r="X171" s="35"/>
      <c r="Z171" s="35"/>
      <c r="AA171" s="35"/>
      <c r="AB171" s="45">
        <v>438940</v>
      </c>
      <c r="AC171" s="65"/>
      <c r="AD171" s="45">
        <v>373356</v>
      </c>
      <c r="AE171" s="65"/>
      <c r="AF171" s="45">
        <v>0</v>
      </c>
      <c r="AG171" s="65"/>
      <c r="AH171" s="48">
        <f t="shared" si="7"/>
        <v>12529847</v>
      </c>
      <c r="AI171" s="48"/>
      <c r="AJ171" s="48">
        <v>0</v>
      </c>
      <c r="AK171" s="48"/>
      <c r="AL171" s="45">
        <v>1648539</v>
      </c>
      <c r="AM171" s="45"/>
      <c r="AN171" s="45">
        <v>14822355</v>
      </c>
      <c r="AO171" s="45"/>
      <c r="AP171" s="45">
        <v>8988</v>
      </c>
      <c r="AQ171" s="45"/>
      <c r="AR171" s="45">
        <f>+'GVFund Rev'!U172+'GVFund Rev'!W172-'GVFund Exp'!AH171-'GVFund Exp'!AL171+AJ171+AN171+AP171-'GV Fund BS'!S172</f>
        <v>0</v>
      </c>
      <c r="AS171" s="48"/>
    </row>
    <row r="172" spans="1:45" s="46" customFormat="1" ht="12.75" customHeight="1" x14ac:dyDescent="0.2">
      <c r="A172" s="64" t="s">
        <v>196</v>
      </c>
      <c r="C172" s="64" t="s">
        <v>27</v>
      </c>
      <c r="E172" s="45">
        <v>1235579</v>
      </c>
      <c r="F172" s="48"/>
      <c r="G172" s="45">
        <v>2847889</v>
      </c>
      <c r="H172" s="48"/>
      <c r="I172" s="45">
        <f>339107+349045</f>
        <v>688152</v>
      </c>
      <c r="J172" s="48"/>
      <c r="K172" s="45">
        <v>89527</v>
      </c>
      <c r="L172" s="48"/>
      <c r="M172" s="45">
        <v>864131</v>
      </c>
      <c r="N172" s="48"/>
      <c r="O172" s="45">
        <v>155955</v>
      </c>
      <c r="P172" s="48"/>
      <c r="Q172" s="45">
        <v>0</v>
      </c>
      <c r="R172" s="48"/>
      <c r="S172" s="45">
        <v>2331553</v>
      </c>
      <c r="T172" s="48"/>
      <c r="U172" s="45">
        <v>0</v>
      </c>
      <c r="V172" s="48"/>
      <c r="W172" s="48"/>
      <c r="X172" s="35"/>
      <c r="Y172" s="44"/>
      <c r="Z172" s="35"/>
      <c r="AA172" s="35"/>
      <c r="AB172" s="45">
        <v>2561733</v>
      </c>
      <c r="AC172" s="65"/>
      <c r="AD172" s="45">
        <v>144666</v>
      </c>
      <c r="AE172" s="65"/>
      <c r="AF172" s="45">
        <v>0</v>
      </c>
      <c r="AG172" s="65"/>
      <c r="AH172" s="48">
        <f t="shared" si="7"/>
        <v>10919185</v>
      </c>
      <c r="AI172" s="48"/>
      <c r="AJ172" s="48">
        <v>0</v>
      </c>
      <c r="AK172" s="48"/>
      <c r="AL172" s="45">
        <v>0</v>
      </c>
      <c r="AM172" s="45"/>
      <c r="AN172" s="45">
        <v>4465186</v>
      </c>
      <c r="AO172" s="45"/>
      <c r="AP172" s="45">
        <v>0</v>
      </c>
      <c r="AQ172" s="45"/>
      <c r="AR172" s="45">
        <f>+'GVFund Rev'!U173+'GVFund Rev'!W173-'GVFund Exp'!AH172-'GVFund Exp'!AL172+AJ172+AN172+AP172-'GV Fund BS'!S173</f>
        <v>0</v>
      </c>
      <c r="AS172" s="48"/>
    </row>
    <row r="173" spans="1:45" s="44" customFormat="1" ht="12.75" customHeight="1" x14ac:dyDescent="0.2">
      <c r="A173" s="35" t="s">
        <v>386</v>
      </c>
      <c r="C173" s="35" t="s">
        <v>153</v>
      </c>
      <c r="E173" s="45">
        <v>1738429</v>
      </c>
      <c r="F173" s="48"/>
      <c r="G173" s="45">
        <v>2217747</v>
      </c>
      <c r="H173" s="48"/>
      <c r="I173" s="45">
        <v>28047</v>
      </c>
      <c r="J173" s="48"/>
      <c r="K173" s="45">
        <v>1571</v>
      </c>
      <c r="L173" s="48"/>
      <c r="M173" s="45">
        <v>1585371</v>
      </c>
      <c r="N173" s="48"/>
      <c r="O173" s="45">
        <v>98370</v>
      </c>
      <c r="P173" s="48"/>
      <c r="Q173" s="45">
        <v>0</v>
      </c>
      <c r="R173" s="48"/>
      <c r="S173" s="45">
        <v>86075</v>
      </c>
      <c r="T173" s="48"/>
      <c r="U173" s="45">
        <v>0</v>
      </c>
      <c r="V173" s="48"/>
      <c r="W173" s="48"/>
      <c r="X173" s="35"/>
      <c r="Z173" s="35"/>
      <c r="AA173" s="35"/>
      <c r="AB173" s="45">
        <v>92478</v>
      </c>
      <c r="AC173" s="65"/>
      <c r="AD173" s="45">
        <v>73330</v>
      </c>
      <c r="AE173" s="65"/>
      <c r="AF173" s="45">
        <v>0</v>
      </c>
      <c r="AG173" s="65"/>
      <c r="AH173" s="48">
        <f t="shared" si="7"/>
        <v>5921418</v>
      </c>
      <c r="AI173" s="48"/>
      <c r="AJ173" s="48">
        <v>0</v>
      </c>
      <c r="AK173" s="48"/>
      <c r="AL173" s="45">
        <v>219060</v>
      </c>
      <c r="AM173" s="45"/>
      <c r="AN173" s="45">
        <v>6436557</v>
      </c>
      <c r="AO173" s="45"/>
      <c r="AP173" s="45">
        <v>0</v>
      </c>
      <c r="AQ173" s="45"/>
      <c r="AR173" s="45">
        <f>+'GVFund Rev'!U174+'GVFund Rev'!W174-'GVFund Exp'!AH173-'GVFund Exp'!AL173+AJ173+AN173+AP173-'GV Fund BS'!S174</f>
        <v>0</v>
      </c>
      <c r="AS173" s="48"/>
    </row>
    <row r="174" spans="1:45" s="44" customFormat="1" ht="12.75" customHeight="1" x14ac:dyDescent="0.2">
      <c r="A174" s="35" t="s">
        <v>197</v>
      </c>
      <c r="C174" s="35" t="s">
        <v>163</v>
      </c>
      <c r="E174" s="45">
        <v>4774351</v>
      </c>
      <c r="F174" s="48"/>
      <c r="G174" s="45">
        <v>9939915</v>
      </c>
      <c r="H174" s="48"/>
      <c r="I174" s="45">
        <v>1048246</v>
      </c>
      <c r="J174" s="48"/>
      <c r="K174" s="45">
        <v>402647</v>
      </c>
      <c r="L174" s="48"/>
      <c r="M174" s="45">
        <v>3518660</v>
      </c>
      <c r="N174" s="48"/>
      <c r="O174" s="45">
        <v>720062</v>
      </c>
      <c r="P174" s="48"/>
      <c r="Q174" s="45">
        <v>607509</v>
      </c>
      <c r="R174" s="48"/>
      <c r="S174" s="45">
        <v>5346119</v>
      </c>
      <c r="T174" s="48"/>
      <c r="U174" s="45">
        <v>0</v>
      </c>
      <c r="V174" s="48"/>
      <c r="W174" s="48"/>
      <c r="X174" s="35"/>
      <c r="Z174" s="35"/>
      <c r="AA174" s="35"/>
      <c r="AB174" s="45">
        <v>7937700</v>
      </c>
      <c r="AC174" s="65"/>
      <c r="AD174" s="45">
        <v>870251</v>
      </c>
      <c r="AE174" s="65"/>
      <c r="AF174" s="45">
        <v>0</v>
      </c>
      <c r="AG174" s="65"/>
      <c r="AH174" s="48">
        <f t="shared" si="7"/>
        <v>35165460</v>
      </c>
      <c r="AI174" s="48"/>
      <c r="AJ174" s="48">
        <v>0</v>
      </c>
      <c r="AK174" s="48"/>
      <c r="AL174" s="45">
        <v>6283974</v>
      </c>
      <c r="AM174" s="45"/>
      <c r="AN174" s="45">
        <v>28665230</v>
      </c>
      <c r="AO174" s="45"/>
      <c r="AP174" s="45">
        <v>-115</v>
      </c>
      <c r="AQ174" s="45"/>
      <c r="AR174" s="45">
        <f>+'GVFund Rev'!U175+'GVFund Rev'!W175-'GVFund Exp'!AH174-'GVFund Exp'!AL174+AJ174+AN174+AP174-'GV Fund BS'!S175</f>
        <v>0</v>
      </c>
      <c r="AS174" s="48"/>
    </row>
    <row r="175" spans="1:45" s="46" customFormat="1" ht="12.75" customHeight="1" x14ac:dyDescent="0.2">
      <c r="A175" s="35" t="s">
        <v>198</v>
      </c>
      <c r="B175" s="44"/>
      <c r="C175" s="35" t="s">
        <v>199</v>
      </c>
      <c r="D175" s="44"/>
      <c r="E175" s="45">
        <v>1063944</v>
      </c>
      <c r="F175" s="48"/>
      <c r="G175" s="45">
        <f>1724404+544662</f>
        <v>2269066</v>
      </c>
      <c r="H175" s="48"/>
      <c r="I175" s="45">
        <v>0</v>
      </c>
      <c r="J175" s="48"/>
      <c r="K175" s="45">
        <v>179071</v>
      </c>
      <c r="L175" s="48"/>
      <c r="M175" s="45">
        <v>1257749</v>
      </c>
      <c r="N175" s="48"/>
      <c r="O175" s="45">
        <v>333811</v>
      </c>
      <c r="P175" s="48"/>
      <c r="Q175" s="45">
        <v>418618</v>
      </c>
      <c r="R175" s="48"/>
      <c r="S175" s="45">
        <v>871072</v>
      </c>
      <c r="T175" s="48"/>
      <c r="U175" s="45">
        <v>0</v>
      </c>
      <c r="V175" s="48"/>
      <c r="W175" s="48"/>
      <c r="X175" s="35"/>
      <c r="Y175" s="44"/>
      <c r="Z175" s="35"/>
      <c r="AA175" s="35"/>
      <c r="AB175" s="45">
        <v>17420</v>
      </c>
      <c r="AC175" s="65"/>
      <c r="AD175" s="45">
        <v>56932</v>
      </c>
      <c r="AE175" s="65"/>
      <c r="AF175" s="45">
        <v>0</v>
      </c>
      <c r="AG175" s="65"/>
      <c r="AH175" s="48">
        <f t="shared" si="7"/>
        <v>6467683</v>
      </c>
      <c r="AI175" s="48"/>
      <c r="AJ175" s="48">
        <v>0</v>
      </c>
      <c r="AK175" s="48"/>
      <c r="AL175" s="45">
        <v>1222299</v>
      </c>
      <c r="AM175" s="45"/>
      <c r="AN175" s="45">
        <v>5097258</v>
      </c>
      <c r="AO175" s="45"/>
      <c r="AP175" s="45">
        <v>0</v>
      </c>
      <c r="AQ175" s="45"/>
      <c r="AR175" s="45">
        <f>+'GVFund Rev'!U176+'GVFund Rev'!W176-'GVFund Exp'!AH175-'GVFund Exp'!AL175+AJ175+AN175+AP175-'GV Fund BS'!S176</f>
        <v>0</v>
      </c>
      <c r="AS175" s="48"/>
    </row>
    <row r="176" spans="1:45" s="44" customFormat="1" ht="12.75" customHeight="1" x14ac:dyDescent="0.2">
      <c r="A176" s="35" t="s">
        <v>200</v>
      </c>
      <c r="C176" s="35" t="s">
        <v>103</v>
      </c>
      <c r="E176" s="45">
        <v>1619314</v>
      </c>
      <c r="F176" s="48"/>
      <c r="G176" s="45">
        <v>5333030</v>
      </c>
      <c r="H176" s="48"/>
      <c r="I176" s="45">
        <v>1078761</v>
      </c>
      <c r="J176" s="48"/>
      <c r="K176" s="45">
        <v>124204</v>
      </c>
      <c r="L176" s="48"/>
      <c r="M176" s="45">
        <v>1205438</v>
      </c>
      <c r="N176" s="48"/>
      <c r="O176" s="45">
        <v>1256158</v>
      </c>
      <c r="P176" s="48"/>
      <c r="Q176" s="45">
        <v>0</v>
      </c>
      <c r="R176" s="48"/>
      <c r="S176" s="45">
        <v>530443</v>
      </c>
      <c r="T176" s="48"/>
      <c r="U176" s="45">
        <v>0</v>
      </c>
      <c r="V176" s="48"/>
      <c r="W176" s="48"/>
      <c r="X176" s="35"/>
      <c r="Z176" s="35"/>
      <c r="AA176" s="35"/>
      <c r="AB176" s="45">
        <v>235000</v>
      </c>
      <c r="AC176" s="65"/>
      <c r="AD176" s="45">
        <v>77150</v>
      </c>
      <c r="AE176" s="65"/>
      <c r="AF176" s="45">
        <v>0</v>
      </c>
      <c r="AG176" s="65"/>
      <c r="AH176" s="48">
        <f t="shared" si="7"/>
        <v>11459498</v>
      </c>
      <c r="AI176" s="48"/>
      <c r="AJ176" s="48">
        <v>0</v>
      </c>
      <c r="AK176" s="48"/>
      <c r="AL176" s="45">
        <v>1501919</v>
      </c>
      <c r="AM176" s="45"/>
      <c r="AN176" s="45">
        <v>11534799</v>
      </c>
      <c r="AO176" s="45"/>
      <c r="AP176" s="45">
        <v>0</v>
      </c>
      <c r="AQ176" s="45"/>
      <c r="AR176" s="45">
        <f>+'GVFund Rev'!U177+'GVFund Rev'!W177-'GVFund Exp'!AH176-'GVFund Exp'!AL176+AJ176+AN176+AP176-'GV Fund BS'!S177</f>
        <v>0</v>
      </c>
      <c r="AS176" s="48"/>
    </row>
    <row r="177" spans="1:45" s="44" customFormat="1" ht="12.75" customHeight="1" x14ac:dyDescent="0.2">
      <c r="A177" s="35" t="s">
        <v>201</v>
      </c>
      <c r="C177" s="35" t="s">
        <v>92</v>
      </c>
      <c r="E177" s="45">
        <v>4657111</v>
      </c>
      <c r="F177" s="48"/>
      <c r="G177" s="45">
        <v>7135751</v>
      </c>
      <c r="H177" s="48"/>
      <c r="I177" s="45">
        <v>363544</v>
      </c>
      <c r="J177" s="48"/>
      <c r="K177" s="45">
        <v>619796</v>
      </c>
      <c r="L177" s="48"/>
      <c r="M177" s="45">
        <v>2345029</v>
      </c>
      <c r="N177" s="48"/>
      <c r="O177" s="45">
        <v>725325</v>
      </c>
      <c r="P177" s="48"/>
      <c r="Q177" s="45">
        <v>0</v>
      </c>
      <c r="R177" s="48"/>
      <c r="S177" s="45">
        <v>1022837</v>
      </c>
      <c r="T177" s="48"/>
      <c r="U177" s="45">
        <v>0</v>
      </c>
      <c r="V177" s="48"/>
      <c r="W177" s="48"/>
      <c r="X177" s="35"/>
      <c r="Z177" s="35"/>
      <c r="AA177" s="35"/>
      <c r="AB177" s="45">
        <v>346102</v>
      </c>
      <c r="AC177" s="65"/>
      <c r="AD177" s="45">
        <v>161423</v>
      </c>
      <c r="AE177" s="65"/>
      <c r="AF177" s="45">
        <v>0</v>
      </c>
      <c r="AG177" s="65"/>
      <c r="AH177" s="48">
        <f t="shared" si="7"/>
        <v>17376918</v>
      </c>
      <c r="AI177" s="48"/>
      <c r="AJ177" s="48">
        <v>0</v>
      </c>
      <c r="AK177" s="48"/>
      <c r="AL177" s="45">
        <v>615000</v>
      </c>
      <c r="AM177" s="45"/>
      <c r="AN177" s="45">
        <v>8721337</v>
      </c>
      <c r="AO177" s="45"/>
      <c r="AP177" s="45">
        <v>-13195</v>
      </c>
      <c r="AQ177" s="45"/>
      <c r="AR177" s="45">
        <f>+'GVFund Rev'!U178+'GVFund Rev'!W178-'GVFund Exp'!AH177-'GVFund Exp'!AL177+AJ177+AN177+AP177-'GV Fund BS'!S178</f>
        <v>0</v>
      </c>
      <c r="AS177" s="48"/>
    </row>
    <row r="178" spans="1:45" s="44" customFormat="1" ht="12.75" customHeight="1" x14ac:dyDescent="0.2">
      <c r="A178" s="35" t="s">
        <v>202</v>
      </c>
      <c r="C178" s="35" t="s">
        <v>27</v>
      </c>
      <c r="E178" s="45">
        <v>22735059</v>
      </c>
      <c r="F178" s="48"/>
      <c r="G178" s="45">
        <v>29602239</v>
      </c>
      <c r="H178" s="48"/>
      <c r="I178" s="45">
        <v>8542215</v>
      </c>
      <c r="J178" s="48"/>
      <c r="K178" s="45">
        <v>316924</v>
      </c>
      <c r="L178" s="48"/>
      <c r="M178" s="45">
        <v>4350401</v>
      </c>
      <c r="N178" s="48"/>
      <c r="O178" s="45">
        <v>2946893</v>
      </c>
      <c r="P178" s="48"/>
      <c r="Q178" s="45">
        <v>1929826</v>
      </c>
      <c r="R178" s="48"/>
      <c r="S178" s="45">
        <v>2356591</v>
      </c>
      <c r="T178" s="48"/>
      <c r="U178" s="45">
        <v>0</v>
      </c>
      <c r="V178" s="48"/>
      <c r="W178" s="48"/>
      <c r="X178" s="35"/>
      <c r="Z178" s="35"/>
      <c r="AA178" s="35"/>
      <c r="AB178" s="45">
        <v>3619905</v>
      </c>
      <c r="AC178" s="65"/>
      <c r="AD178" s="45">
        <v>1230247</v>
      </c>
      <c r="AE178" s="65"/>
      <c r="AF178" s="45">
        <v>0</v>
      </c>
      <c r="AG178" s="65"/>
      <c r="AH178" s="48">
        <f t="shared" si="7"/>
        <v>77630300</v>
      </c>
      <c r="AI178" s="48"/>
      <c r="AJ178" s="48">
        <v>0</v>
      </c>
      <c r="AK178" s="48"/>
      <c r="AL178" s="45">
        <v>8345927</v>
      </c>
      <c r="AM178" s="45"/>
      <c r="AN178" s="45">
        <v>12622943</v>
      </c>
      <c r="AO178" s="45"/>
      <c r="AP178" s="45">
        <v>0</v>
      </c>
      <c r="AQ178" s="45"/>
      <c r="AR178" s="45">
        <f>+'GVFund Rev'!U179+'GVFund Rev'!W179-'GVFund Exp'!AH178-'GVFund Exp'!AL178+AJ178+AN178+AP178-'GV Fund BS'!S179</f>
        <v>0</v>
      </c>
      <c r="AS178" s="48"/>
    </row>
    <row r="179" spans="1:45" s="44" customFormat="1" ht="12.75" customHeight="1" x14ac:dyDescent="0.2">
      <c r="A179" s="35" t="s">
        <v>203</v>
      </c>
      <c r="C179" s="35" t="s">
        <v>27</v>
      </c>
      <c r="E179" s="45">
        <v>1886141</v>
      </c>
      <c r="F179" s="48"/>
      <c r="G179" s="45">
        <v>9152148</v>
      </c>
      <c r="H179" s="48"/>
      <c r="I179" s="45">
        <v>2055627</v>
      </c>
      <c r="J179" s="48"/>
      <c r="K179" s="45">
        <v>383470</v>
      </c>
      <c r="L179" s="48"/>
      <c r="M179" s="45">
        <v>766547</v>
      </c>
      <c r="N179" s="48"/>
      <c r="O179" s="45">
        <v>533108</v>
      </c>
      <c r="P179" s="48"/>
      <c r="Q179" s="45">
        <v>165433</v>
      </c>
      <c r="R179" s="48"/>
      <c r="S179" s="45">
        <v>1793496</v>
      </c>
      <c r="T179" s="48"/>
      <c r="U179" s="45">
        <v>0</v>
      </c>
      <c r="V179" s="48"/>
      <c r="W179" s="48"/>
      <c r="X179" s="35"/>
      <c r="Z179" s="35"/>
      <c r="AA179" s="35"/>
      <c r="AB179" s="45">
        <v>3653339</v>
      </c>
      <c r="AC179" s="65"/>
      <c r="AD179" s="45">
        <v>259734</v>
      </c>
      <c r="AE179" s="65"/>
      <c r="AF179" s="45">
        <v>160142</v>
      </c>
      <c r="AG179" s="65"/>
      <c r="AH179" s="48">
        <f t="shared" si="7"/>
        <v>20809185</v>
      </c>
      <c r="AI179" s="48"/>
      <c r="AJ179" s="48">
        <v>0</v>
      </c>
      <c r="AK179" s="48"/>
      <c r="AL179" s="45">
        <v>125000</v>
      </c>
      <c r="AM179" s="45"/>
      <c r="AN179" s="45">
        <v>1878385</v>
      </c>
      <c r="AO179" s="45"/>
      <c r="AP179" s="45">
        <v>0</v>
      </c>
      <c r="AQ179" s="45"/>
      <c r="AR179" s="45">
        <f>+'GVFund Rev'!U180+'GVFund Rev'!W180-'GVFund Exp'!AH179-'GVFund Exp'!AL179+AJ179+AN179+AP179-'GV Fund BS'!S180</f>
        <v>0</v>
      </c>
      <c r="AS179" s="48"/>
    </row>
    <row r="180" spans="1:45" s="44" customFormat="1" ht="12.75" customHeight="1" x14ac:dyDescent="0.2">
      <c r="A180" s="35" t="s">
        <v>204</v>
      </c>
      <c r="C180" s="35" t="s">
        <v>125</v>
      </c>
      <c r="E180" s="45">
        <v>1012038</v>
      </c>
      <c r="F180" s="48"/>
      <c r="G180" s="45">
        <v>1722313</v>
      </c>
      <c r="H180" s="48"/>
      <c r="I180" s="45">
        <f>269258+24799</f>
        <v>294057</v>
      </c>
      <c r="J180" s="48"/>
      <c r="K180" s="45">
        <v>60486</v>
      </c>
      <c r="L180" s="48"/>
      <c r="M180" s="45">
        <v>1418164</v>
      </c>
      <c r="N180" s="48"/>
      <c r="O180" s="45">
        <v>257165</v>
      </c>
      <c r="P180" s="48"/>
      <c r="Q180" s="45">
        <v>0</v>
      </c>
      <c r="R180" s="48"/>
      <c r="S180" s="45">
        <v>519744</v>
      </c>
      <c r="T180" s="48"/>
      <c r="U180" s="45">
        <v>0</v>
      </c>
      <c r="V180" s="48"/>
      <c r="W180" s="48"/>
      <c r="X180" s="35"/>
      <c r="Z180" s="35"/>
      <c r="AA180" s="35"/>
      <c r="AB180" s="45">
        <v>166928</v>
      </c>
      <c r="AC180" s="65"/>
      <c r="AD180" s="45">
        <v>38434</v>
      </c>
      <c r="AE180" s="65"/>
      <c r="AF180" s="45">
        <v>0</v>
      </c>
      <c r="AG180" s="65"/>
      <c r="AH180" s="48">
        <f t="shared" si="7"/>
        <v>5489329</v>
      </c>
      <c r="AI180" s="48"/>
      <c r="AJ180" s="48">
        <v>0</v>
      </c>
      <c r="AK180" s="48"/>
      <c r="AL180" s="45">
        <v>179477</v>
      </c>
      <c r="AM180" s="45"/>
      <c r="AN180" s="45">
        <v>4321941</v>
      </c>
      <c r="AO180" s="45"/>
      <c r="AP180" s="45">
        <v>0</v>
      </c>
      <c r="AQ180" s="45"/>
      <c r="AR180" s="45">
        <f>+'GVFund Rev'!U181+'GVFund Rev'!W181-'GVFund Exp'!AH180-'GVFund Exp'!AL180+AJ180+AN180+AP180-'GV Fund BS'!S181</f>
        <v>0</v>
      </c>
      <c r="AS180" s="48"/>
    </row>
    <row r="181" spans="1:45" s="44" customFormat="1" ht="12.75" customHeight="1" x14ac:dyDescent="0.2">
      <c r="A181" s="35" t="s">
        <v>205</v>
      </c>
      <c r="C181" s="35" t="s">
        <v>27</v>
      </c>
      <c r="E181" s="45">
        <v>1414137</v>
      </c>
      <c r="F181" s="48"/>
      <c r="G181" s="45">
        <f>2730023+2153847</f>
        <v>4883870</v>
      </c>
      <c r="H181" s="48"/>
      <c r="I181" s="45">
        <v>314663</v>
      </c>
      <c r="J181" s="48"/>
      <c r="K181" s="45">
        <v>29471</v>
      </c>
      <c r="L181" s="48"/>
      <c r="M181" s="45">
        <v>1406169</v>
      </c>
      <c r="N181" s="48"/>
      <c r="O181" s="45">
        <v>2000</v>
      </c>
      <c r="P181" s="48"/>
      <c r="Q181" s="45">
        <v>1259663</v>
      </c>
      <c r="R181" s="48"/>
      <c r="S181" s="45">
        <v>222895</v>
      </c>
      <c r="T181" s="48"/>
      <c r="U181" s="45">
        <v>0</v>
      </c>
      <c r="V181" s="48"/>
      <c r="W181" s="48"/>
      <c r="X181" s="35"/>
      <c r="Z181" s="35"/>
      <c r="AA181" s="35"/>
      <c r="AB181" s="45">
        <v>728407</v>
      </c>
      <c r="AC181" s="65"/>
      <c r="AD181" s="45">
        <v>371895</v>
      </c>
      <c r="AE181" s="65"/>
      <c r="AF181" s="45">
        <v>0</v>
      </c>
      <c r="AG181" s="65"/>
      <c r="AH181" s="48">
        <f t="shared" si="7"/>
        <v>10633170</v>
      </c>
      <c r="AI181" s="48"/>
      <c r="AJ181" s="48">
        <v>0</v>
      </c>
      <c r="AK181" s="48"/>
      <c r="AL181" s="45">
        <v>1008000</v>
      </c>
      <c r="AM181" s="45"/>
      <c r="AN181" s="45">
        <v>3516137</v>
      </c>
      <c r="AO181" s="45"/>
      <c r="AP181" s="45">
        <v>0</v>
      </c>
      <c r="AQ181" s="45"/>
      <c r="AR181" s="45">
        <f>+'GVFund Rev'!U182+'GVFund Rev'!W182-'GVFund Exp'!AH181-'GVFund Exp'!AL181+AJ181+AN181+AP181-'GV Fund BS'!S182</f>
        <v>0</v>
      </c>
      <c r="AS181" s="48"/>
    </row>
    <row r="182" spans="1:45" s="44" customFormat="1" ht="12.75" customHeight="1" x14ac:dyDescent="0.2">
      <c r="A182" s="35" t="s">
        <v>206</v>
      </c>
      <c r="C182" s="35" t="s">
        <v>47</v>
      </c>
      <c r="E182" s="45">
        <v>4377077</v>
      </c>
      <c r="F182" s="48"/>
      <c r="G182" s="45">
        <v>8119998</v>
      </c>
      <c r="H182" s="48"/>
      <c r="I182" s="45">
        <v>817180</v>
      </c>
      <c r="J182" s="48"/>
      <c r="K182" s="45">
        <v>36327</v>
      </c>
      <c r="L182" s="48"/>
      <c r="M182" s="45">
        <v>2610428</v>
      </c>
      <c r="N182" s="48"/>
      <c r="O182" s="45">
        <v>1316737</v>
      </c>
      <c r="P182" s="48"/>
      <c r="Q182" s="45">
        <v>1117904</v>
      </c>
      <c r="R182" s="48"/>
      <c r="S182" s="45">
        <v>1320381</v>
      </c>
      <c r="T182" s="48"/>
      <c r="U182" s="45">
        <v>0</v>
      </c>
      <c r="V182" s="48"/>
      <c r="W182" s="48"/>
      <c r="X182" s="35"/>
      <c r="Z182" s="35"/>
      <c r="AA182" s="35"/>
      <c r="AB182" s="45">
        <v>0</v>
      </c>
      <c r="AC182" s="65"/>
      <c r="AD182" s="45">
        <v>49679</v>
      </c>
      <c r="AE182" s="65"/>
      <c r="AF182" s="45">
        <v>0</v>
      </c>
      <c r="AG182" s="65"/>
      <c r="AH182" s="48">
        <f t="shared" si="7"/>
        <v>19765711</v>
      </c>
      <c r="AI182" s="48"/>
      <c r="AJ182" s="48">
        <v>0</v>
      </c>
      <c r="AK182" s="48"/>
      <c r="AL182" s="45">
        <v>4841318</v>
      </c>
      <c r="AM182" s="45"/>
      <c r="AN182" s="45">
        <v>5633138</v>
      </c>
      <c r="AO182" s="45"/>
      <c r="AP182" s="45">
        <v>61476</v>
      </c>
      <c r="AQ182" s="45"/>
      <c r="AR182" s="45">
        <f>+'GVFund Rev'!U183+'GVFund Rev'!W183-'GVFund Exp'!AH182-'GVFund Exp'!AL182+AJ182+AN182+AP182-'GV Fund BS'!S183</f>
        <v>0</v>
      </c>
      <c r="AS182" s="48"/>
    </row>
    <row r="183" spans="1:45" s="44" customFormat="1" ht="12.75" customHeight="1" x14ac:dyDescent="0.2">
      <c r="A183" s="35" t="s">
        <v>207</v>
      </c>
      <c r="C183" s="35" t="s">
        <v>102</v>
      </c>
      <c r="E183" s="45">
        <v>2473392</v>
      </c>
      <c r="F183" s="48"/>
      <c r="G183" s="45">
        <v>4087623</v>
      </c>
      <c r="H183" s="48"/>
      <c r="I183" s="45">
        <v>505464</v>
      </c>
      <c r="J183" s="48"/>
      <c r="K183" s="45">
        <v>99073</v>
      </c>
      <c r="L183" s="48"/>
      <c r="M183" s="45">
        <v>706954</v>
      </c>
      <c r="N183" s="48"/>
      <c r="O183" s="45">
        <v>549167</v>
      </c>
      <c r="P183" s="48"/>
      <c r="Q183" s="45">
        <v>0</v>
      </c>
      <c r="R183" s="48"/>
      <c r="S183" s="45">
        <v>588452</v>
      </c>
      <c r="T183" s="48"/>
      <c r="U183" s="45">
        <v>0</v>
      </c>
      <c r="V183" s="48"/>
      <c r="W183" s="48"/>
      <c r="X183" s="35"/>
      <c r="Z183" s="35"/>
      <c r="AA183" s="35"/>
      <c r="AB183" s="45">
        <f>835877</f>
        <v>835877</v>
      </c>
      <c r="AC183" s="65"/>
      <c r="AD183" s="45">
        <v>383495</v>
      </c>
      <c r="AE183" s="65"/>
      <c r="AF183" s="45">
        <v>270000</v>
      </c>
      <c r="AG183" s="65"/>
      <c r="AH183" s="48">
        <f t="shared" si="7"/>
        <v>10499497</v>
      </c>
      <c r="AI183" s="48"/>
      <c r="AJ183" s="48">
        <v>0</v>
      </c>
      <c r="AK183" s="48"/>
      <c r="AL183" s="45">
        <f>2025000+4106860</f>
        <v>6131860</v>
      </c>
      <c r="AM183" s="45"/>
      <c r="AN183" s="45">
        <v>2723446</v>
      </c>
      <c r="AO183" s="45"/>
      <c r="AP183" s="45">
        <v>0</v>
      </c>
      <c r="AQ183" s="45"/>
      <c r="AR183" s="45">
        <f>+'GVFund Rev'!U184+'GVFund Rev'!W184-'GVFund Exp'!AH183-'GVFund Exp'!AL183+AJ183+AN183+AP183-'GV Fund BS'!S184</f>
        <v>0</v>
      </c>
      <c r="AS183" s="48"/>
    </row>
    <row r="184" spans="1:45" s="44" customFormat="1" ht="12.75" customHeight="1" x14ac:dyDescent="0.2">
      <c r="A184" s="35" t="s">
        <v>208</v>
      </c>
      <c r="C184" s="35" t="s">
        <v>209</v>
      </c>
      <c r="E184" s="45">
        <v>1210761</v>
      </c>
      <c r="F184" s="48"/>
      <c r="G184" s="45">
        <v>7192718</v>
      </c>
      <c r="H184" s="48"/>
      <c r="I184" s="45">
        <v>378885</v>
      </c>
      <c r="J184" s="48"/>
      <c r="K184" s="45">
        <v>329242</v>
      </c>
      <c r="L184" s="48"/>
      <c r="M184" s="45">
        <v>2060615</v>
      </c>
      <c r="N184" s="48"/>
      <c r="O184" s="45">
        <v>361895</v>
      </c>
      <c r="P184" s="48"/>
      <c r="Q184" s="45">
        <v>63174</v>
      </c>
      <c r="R184" s="48"/>
      <c r="S184" s="45">
        <v>1132280</v>
      </c>
      <c r="T184" s="48"/>
      <c r="U184" s="45">
        <v>0</v>
      </c>
      <c r="V184" s="48"/>
      <c r="W184" s="48"/>
      <c r="X184" s="35"/>
      <c r="Z184" s="35"/>
      <c r="AA184" s="35"/>
      <c r="AB184" s="45">
        <v>2010985</v>
      </c>
      <c r="AC184" s="65"/>
      <c r="AD184" s="45">
        <v>201592</v>
      </c>
      <c r="AE184" s="65"/>
      <c r="AF184" s="45">
        <v>0</v>
      </c>
      <c r="AG184" s="65"/>
      <c r="AH184" s="48">
        <f t="shared" si="7"/>
        <v>14942147</v>
      </c>
      <c r="AI184" s="48"/>
      <c r="AJ184" s="48">
        <v>0</v>
      </c>
      <c r="AK184" s="48"/>
      <c r="AL184" s="45">
        <v>2659741</v>
      </c>
      <c r="AM184" s="45"/>
      <c r="AN184" s="45">
        <v>25106701</v>
      </c>
      <c r="AO184" s="45"/>
      <c r="AP184" s="45">
        <v>0</v>
      </c>
      <c r="AQ184" s="45"/>
      <c r="AR184" s="45">
        <f>+'GVFund Rev'!U185+'GVFund Rev'!W185-'GVFund Exp'!AH184-'GVFund Exp'!AL184+AJ184+AN184+AP184-'GV Fund BS'!S185</f>
        <v>0</v>
      </c>
      <c r="AS184" s="48"/>
    </row>
    <row r="185" spans="1:45" s="44" customFormat="1" ht="12.75" customHeight="1" x14ac:dyDescent="0.2">
      <c r="A185" s="44" t="s">
        <v>210</v>
      </c>
      <c r="C185" s="44" t="s">
        <v>211</v>
      </c>
      <c r="E185" s="45">
        <v>1363370</v>
      </c>
      <c r="F185" s="48"/>
      <c r="G185" s="45">
        <f>1779297+278380</f>
        <v>2057677</v>
      </c>
      <c r="H185" s="48"/>
      <c r="I185" s="45">
        <v>163284</v>
      </c>
      <c r="J185" s="48"/>
      <c r="K185" s="45">
        <v>192033</v>
      </c>
      <c r="L185" s="48"/>
      <c r="M185" s="45">
        <v>642379</v>
      </c>
      <c r="N185" s="48"/>
      <c r="O185" s="45">
        <v>54763</v>
      </c>
      <c r="P185" s="48"/>
      <c r="Q185" s="45">
        <v>0</v>
      </c>
      <c r="R185" s="48"/>
      <c r="S185" s="45">
        <v>456751</v>
      </c>
      <c r="T185" s="48"/>
      <c r="U185" s="45">
        <v>0</v>
      </c>
      <c r="V185" s="48"/>
      <c r="W185" s="48"/>
      <c r="X185" s="35"/>
      <c r="Z185" s="35"/>
      <c r="AA185" s="35"/>
      <c r="AB185" s="45">
        <v>77062</v>
      </c>
      <c r="AC185" s="65"/>
      <c r="AD185" s="45">
        <v>18746</v>
      </c>
      <c r="AE185" s="65"/>
      <c r="AF185" s="45">
        <v>0</v>
      </c>
      <c r="AG185" s="65"/>
      <c r="AH185" s="48">
        <f t="shared" si="7"/>
        <v>5026065</v>
      </c>
      <c r="AI185" s="48"/>
      <c r="AJ185" s="48">
        <v>0</v>
      </c>
      <c r="AK185" s="48"/>
      <c r="AL185" s="45">
        <v>400242</v>
      </c>
      <c r="AM185" s="45"/>
      <c r="AN185" s="45">
        <v>2730015</v>
      </c>
      <c r="AO185" s="45"/>
      <c r="AP185" s="45">
        <v>0</v>
      </c>
      <c r="AQ185" s="45"/>
      <c r="AR185" s="45">
        <f>+'GVFund Rev'!U186+'GVFund Rev'!W186-'GVFund Exp'!AH185-'GVFund Exp'!AL185+AJ185+AN185+AP185-'GV Fund BS'!S186</f>
        <v>0</v>
      </c>
      <c r="AS185" s="48"/>
    </row>
    <row r="186" spans="1:45" s="44" customFormat="1" ht="12.75" customHeight="1" x14ac:dyDescent="0.2">
      <c r="A186" s="44" t="s">
        <v>212</v>
      </c>
      <c r="C186" s="44" t="s">
        <v>213</v>
      </c>
      <c r="E186" s="45">
        <v>3453147</v>
      </c>
      <c r="F186" s="48"/>
      <c r="G186" s="45">
        <v>8226131</v>
      </c>
      <c r="H186" s="48"/>
      <c r="I186" s="45">
        <v>626998</v>
      </c>
      <c r="J186" s="48"/>
      <c r="K186" s="45">
        <v>2568128</v>
      </c>
      <c r="L186" s="48"/>
      <c r="M186" s="45">
        <v>1321875</v>
      </c>
      <c r="N186" s="48"/>
      <c r="O186" s="45">
        <v>64374</v>
      </c>
      <c r="P186" s="48"/>
      <c r="Q186" s="45">
        <v>0</v>
      </c>
      <c r="R186" s="48"/>
      <c r="S186" s="45">
        <v>699867</v>
      </c>
      <c r="T186" s="48"/>
      <c r="U186" s="45">
        <v>0</v>
      </c>
      <c r="V186" s="48"/>
      <c r="W186" s="48"/>
      <c r="X186" s="35"/>
      <c r="Z186" s="35"/>
      <c r="AA186" s="35"/>
      <c r="AB186" s="45">
        <v>161881</v>
      </c>
      <c r="AC186" s="65"/>
      <c r="AD186" s="45">
        <v>122282</v>
      </c>
      <c r="AE186" s="65"/>
      <c r="AF186" s="45">
        <v>0</v>
      </c>
      <c r="AG186" s="65"/>
      <c r="AH186" s="48">
        <f t="shared" si="7"/>
        <v>17244683</v>
      </c>
      <c r="AI186" s="48"/>
      <c r="AJ186" s="48">
        <v>0</v>
      </c>
      <c r="AK186" s="48"/>
      <c r="AL186" s="45">
        <v>18000</v>
      </c>
      <c r="AM186" s="45"/>
      <c r="AN186" s="45">
        <v>3586641</v>
      </c>
      <c r="AO186" s="45"/>
      <c r="AP186" s="45">
        <v>38563</v>
      </c>
      <c r="AQ186" s="45"/>
      <c r="AR186" s="45">
        <f>+'GVFund Rev'!U187+'GVFund Rev'!W187-'GVFund Exp'!AH186-'GVFund Exp'!AL186+AJ186+AN186+AP186-'GV Fund BS'!S187</f>
        <v>0</v>
      </c>
      <c r="AS186" s="48"/>
    </row>
    <row r="187" spans="1:45" s="44" customFormat="1" ht="12.75" hidden="1" customHeight="1" x14ac:dyDescent="0.2">
      <c r="A187" s="44" t="s">
        <v>214</v>
      </c>
      <c r="C187" s="44" t="s">
        <v>86</v>
      </c>
      <c r="E187" s="45">
        <v>1567973</v>
      </c>
      <c r="F187" s="48"/>
      <c r="G187" s="45">
        <v>2176399</v>
      </c>
      <c r="H187" s="48"/>
      <c r="I187" s="45">
        <v>843701</v>
      </c>
      <c r="J187" s="48"/>
      <c r="K187" s="45">
        <v>0</v>
      </c>
      <c r="L187" s="48"/>
      <c r="M187" s="45">
        <v>0</v>
      </c>
      <c r="N187" s="48"/>
      <c r="O187" s="45">
        <v>559988</v>
      </c>
      <c r="P187" s="48"/>
      <c r="Q187" s="45">
        <v>1148520</v>
      </c>
      <c r="R187" s="48"/>
      <c r="S187" s="45">
        <v>352175</v>
      </c>
      <c r="T187" s="48"/>
      <c r="U187" s="45">
        <v>0</v>
      </c>
      <c r="V187" s="48"/>
      <c r="W187" s="48"/>
      <c r="X187" s="35"/>
      <c r="Z187" s="35"/>
      <c r="AA187" s="35"/>
      <c r="AB187" s="45">
        <v>1690000</v>
      </c>
      <c r="AC187" s="65"/>
      <c r="AD187" s="45">
        <v>840837</v>
      </c>
      <c r="AE187" s="65"/>
      <c r="AF187" s="45">
        <v>144995</v>
      </c>
      <c r="AG187" s="65"/>
      <c r="AH187" s="48">
        <f t="shared" si="7"/>
        <v>9324588</v>
      </c>
      <c r="AI187" s="48"/>
      <c r="AJ187" s="48">
        <v>0</v>
      </c>
      <c r="AK187" s="48"/>
      <c r="AL187" s="45">
        <f>322500+9441599</f>
        <v>9764099</v>
      </c>
      <c r="AM187" s="45"/>
      <c r="AN187" s="45">
        <v>8269386</v>
      </c>
      <c r="AO187" s="45"/>
      <c r="AP187" s="45">
        <v>0</v>
      </c>
      <c r="AQ187" s="45"/>
      <c r="AR187" s="45">
        <f>+'GVFund Rev'!U188+'GVFund Rev'!W188-'GVFund Exp'!AH187-'GVFund Exp'!AL187+AJ187+AN187+AP187-'GV Fund BS'!S188</f>
        <v>0</v>
      </c>
      <c r="AS187" s="48"/>
    </row>
    <row r="188" spans="1:45" s="44" customFormat="1" ht="12.75" customHeight="1" x14ac:dyDescent="0.2">
      <c r="A188" s="35" t="s">
        <v>215</v>
      </c>
      <c r="C188" s="35" t="s">
        <v>22</v>
      </c>
      <c r="E188" s="45">
        <v>1571220</v>
      </c>
      <c r="F188" s="48"/>
      <c r="G188" s="45">
        <f>3042023+1924257</f>
        <v>4966280</v>
      </c>
      <c r="H188" s="48"/>
      <c r="I188" s="45">
        <f>1083663+71953</f>
        <v>1155616</v>
      </c>
      <c r="J188" s="48"/>
      <c r="K188" s="45">
        <v>242073</v>
      </c>
      <c r="L188" s="48"/>
      <c r="M188" s="45">
        <v>1088775</v>
      </c>
      <c r="N188" s="48"/>
      <c r="O188" s="45">
        <v>748982</v>
      </c>
      <c r="P188" s="48"/>
      <c r="Q188" s="45">
        <v>0</v>
      </c>
      <c r="R188" s="48"/>
      <c r="S188" s="45">
        <v>757446</v>
      </c>
      <c r="T188" s="48"/>
      <c r="U188" s="45">
        <v>0</v>
      </c>
      <c r="V188" s="48"/>
      <c r="W188" s="48"/>
      <c r="X188" s="35"/>
      <c r="Z188" s="35"/>
      <c r="AA188" s="35"/>
      <c r="AB188" s="45">
        <v>380738</v>
      </c>
      <c r="AC188" s="65"/>
      <c r="AD188" s="45">
        <v>291183</v>
      </c>
      <c r="AE188" s="65"/>
      <c r="AF188" s="45">
        <v>0</v>
      </c>
      <c r="AG188" s="65"/>
      <c r="AH188" s="48">
        <f t="shared" si="7"/>
        <v>11202313</v>
      </c>
      <c r="AI188" s="48"/>
      <c r="AJ188" s="48">
        <v>0</v>
      </c>
      <c r="AK188" s="48"/>
      <c r="AL188" s="45">
        <v>616642</v>
      </c>
      <c r="AM188" s="45"/>
      <c r="AN188" s="45">
        <v>12822212</v>
      </c>
      <c r="AO188" s="45"/>
      <c r="AP188" s="45">
        <v>0</v>
      </c>
      <c r="AQ188" s="45"/>
      <c r="AR188" s="45">
        <f>+'GVFund Rev'!U189+'GVFund Rev'!W189-'GVFund Exp'!AH188-'GVFund Exp'!AL188+AJ188+AN188+AP188-'GV Fund BS'!S189</f>
        <v>0</v>
      </c>
      <c r="AS188" s="48"/>
    </row>
    <row r="189" spans="1:45" s="44" customFormat="1" ht="12.75" customHeight="1" x14ac:dyDescent="0.2">
      <c r="A189" s="35" t="s">
        <v>216</v>
      </c>
      <c r="C189" s="35" t="s">
        <v>45</v>
      </c>
      <c r="E189" s="45">
        <v>1867817</v>
      </c>
      <c r="F189" s="48"/>
      <c r="G189" s="45">
        <v>5136649</v>
      </c>
      <c r="H189" s="48"/>
      <c r="I189" s="45">
        <v>173317</v>
      </c>
      <c r="J189" s="48"/>
      <c r="K189" s="45">
        <v>5190</v>
      </c>
      <c r="L189" s="48"/>
      <c r="M189" s="45">
        <v>944528</v>
      </c>
      <c r="N189" s="48"/>
      <c r="O189" s="45">
        <v>435217</v>
      </c>
      <c r="P189" s="48"/>
      <c r="Q189" s="45">
        <v>473346</v>
      </c>
      <c r="R189" s="48"/>
      <c r="S189" s="45">
        <v>1866520</v>
      </c>
      <c r="T189" s="48"/>
      <c r="U189" s="45">
        <v>0</v>
      </c>
      <c r="V189" s="48"/>
      <c r="W189" s="48"/>
      <c r="X189" s="35"/>
      <c r="Z189" s="35"/>
      <c r="AA189" s="35"/>
      <c r="AB189" s="45">
        <v>227702</v>
      </c>
      <c r="AC189" s="65"/>
      <c r="AD189" s="45">
        <v>81859</v>
      </c>
      <c r="AE189" s="65"/>
      <c r="AF189" s="45">
        <v>0</v>
      </c>
      <c r="AG189" s="65"/>
      <c r="AH189" s="48">
        <f t="shared" si="7"/>
        <v>11212145</v>
      </c>
      <c r="AI189" s="48"/>
      <c r="AJ189" s="48">
        <v>0</v>
      </c>
      <c r="AK189" s="48"/>
      <c r="AL189" s="45">
        <v>429111</v>
      </c>
      <c r="AM189" s="45"/>
      <c r="AN189" s="45">
        <v>2647664</v>
      </c>
      <c r="AO189" s="45"/>
      <c r="AP189" s="45">
        <v>0</v>
      </c>
      <c r="AQ189" s="45"/>
      <c r="AR189" s="45">
        <f>+'GVFund Rev'!U190+'GVFund Rev'!W190-'GVFund Exp'!AH189-'GVFund Exp'!AL189+AJ189+AN189+AP189-'GV Fund BS'!S190</f>
        <v>0</v>
      </c>
      <c r="AS189" s="48"/>
    </row>
    <row r="190" spans="1:45" s="44" customFormat="1" ht="12.75" customHeight="1" x14ac:dyDescent="0.2">
      <c r="A190" s="35" t="s">
        <v>217</v>
      </c>
      <c r="C190" s="35" t="s">
        <v>43</v>
      </c>
      <c r="E190" s="45">
        <v>4103538</v>
      </c>
      <c r="F190" s="48"/>
      <c r="G190" s="45">
        <v>8015723</v>
      </c>
      <c r="H190" s="48"/>
      <c r="I190" s="45">
        <v>1296538</v>
      </c>
      <c r="J190" s="48"/>
      <c r="K190" s="45">
        <v>205060</v>
      </c>
      <c r="L190" s="48"/>
      <c r="M190" s="45">
        <v>1407506</v>
      </c>
      <c r="N190" s="48"/>
      <c r="O190" s="45">
        <v>970662</v>
      </c>
      <c r="P190" s="48"/>
      <c r="Q190" s="45">
        <v>0</v>
      </c>
      <c r="R190" s="48"/>
      <c r="S190" s="45">
        <v>2011384</v>
      </c>
      <c r="T190" s="48"/>
      <c r="U190" s="45">
        <v>0</v>
      </c>
      <c r="V190" s="48"/>
      <c r="W190" s="48"/>
      <c r="X190" s="35"/>
      <c r="Z190" s="35"/>
      <c r="AA190" s="35"/>
      <c r="AB190" s="45">
        <v>1944652</v>
      </c>
      <c r="AC190" s="65"/>
      <c r="AD190" s="45">
        <v>939579</v>
      </c>
      <c r="AE190" s="65"/>
      <c r="AF190" s="45">
        <v>0</v>
      </c>
      <c r="AG190" s="65"/>
      <c r="AH190" s="48">
        <f t="shared" si="7"/>
        <v>20894642</v>
      </c>
      <c r="AI190" s="48"/>
      <c r="AJ190" s="48">
        <v>0</v>
      </c>
      <c r="AK190" s="48"/>
      <c r="AL190" s="45">
        <v>150000</v>
      </c>
      <c r="AM190" s="45"/>
      <c r="AN190" s="45">
        <v>14252641</v>
      </c>
      <c r="AO190" s="45"/>
      <c r="AP190" s="45">
        <v>74548</v>
      </c>
      <c r="AQ190" s="45"/>
      <c r="AR190" s="45">
        <f>+'GVFund Rev'!U191+'GVFund Rev'!W191-'GVFund Exp'!AH190-'GVFund Exp'!AL190+AJ190+AN190+AP190-'GV Fund BS'!S191</f>
        <v>0</v>
      </c>
      <c r="AS190" s="48"/>
    </row>
    <row r="191" spans="1:45" s="44" customFormat="1" ht="12.75" customHeight="1" x14ac:dyDescent="0.2">
      <c r="A191" s="35" t="s">
        <v>218</v>
      </c>
      <c r="C191" s="35" t="s">
        <v>27</v>
      </c>
      <c r="E191" s="45">
        <v>1888312</v>
      </c>
      <c r="F191" s="48"/>
      <c r="G191" s="45">
        <v>5479889</v>
      </c>
      <c r="H191" s="48"/>
      <c r="I191" s="45">
        <v>415464</v>
      </c>
      <c r="J191" s="48"/>
      <c r="K191" s="45">
        <v>0</v>
      </c>
      <c r="L191" s="48"/>
      <c r="M191" s="45">
        <v>1566153</v>
      </c>
      <c r="N191" s="48"/>
      <c r="O191" s="45">
        <v>304700</v>
      </c>
      <c r="P191" s="48"/>
      <c r="Q191" s="45">
        <v>0</v>
      </c>
      <c r="R191" s="48"/>
      <c r="S191" s="45">
        <v>749020</v>
      </c>
      <c r="T191" s="48"/>
      <c r="U191" s="45">
        <v>0</v>
      </c>
      <c r="V191" s="48"/>
      <c r="W191" s="48"/>
      <c r="X191" s="35"/>
      <c r="Z191" s="35"/>
      <c r="AA191" s="35"/>
      <c r="AB191" s="45">
        <v>3575091</v>
      </c>
      <c r="AC191" s="65"/>
      <c r="AD191" s="45">
        <v>945267</v>
      </c>
      <c r="AE191" s="65"/>
      <c r="AF191" s="45">
        <v>0</v>
      </c>
      <c r="AG191" s="65"/>
      <c r="AH191" s="48">
        <f t="shared" si="7"/>
        <v>14923896</v>
      </c>
      <c r="AI191" s="48"/>
      <c r="AJ191" s="48">
        <v>0</v>
      </c>
      <c r="AK191" s="48"/>
      <c r="AL191" s="45">
        <v>4222775</v>
      </c>
      <c r="AM191" s="45"/>
      <c r="AN191" s="45">
        <v>2818144</v>
      </c>
      <c r="AO191" s="45"/>
      <c r="AP191" s="45">
        <v>0</v>
      </c>
      <c r="AQ191" s="45"/>
      <c r="AR191" s="45">
        <f>+'GVFund Rev'!U192+'GVFund Rev'!W192-'GVFund Exp'!AH191-'GVFund Exp'!AL191+AJ191+AN191+AP191-'GV Fund BS'!S192</f>
        <v>0</v>
      </c>
      <c r="AS191" s="48"/>
    </row>
    <row r="192" spans="1:45" s="44" customFormat="1" ht="12.75" customHeight="1" x14ac:dyDescent="0.2">
      <c r="A192" s="35" t="s">
        <v>219</v>
      </c>
      <c r="C192" s="35" t="s">
        <v>199</v>
      </c>
      <c r="E192" s="45">
        <v>647555</v>
      </c>
      <c r="F192" s="48"/>
      <c r="G192" s="45">
        <v>1504036</v>
      </c>
      <c r="H192" s="48"/>
      <c r="I192" s="45">
        <v>0</v>
      </c>
      <c r="J192" s="48"/>
      <c r="K192" s="45">
        <v>96079</v>
      </c>
      <c r="L192" s="48"/>
      <c r="M192" s="45">
        <v>557351</v>
      </c>
      <c r="N192" s="48"/>
      <c r="O192" s="45">
        <v>423095</v>
      </c>
      <c r="P192" s="48"/>
      <c r="Q192" s="45">
        <v>412392</v>
      </c>
      <c r="R192" s="48"/>
      <c r="S192" s="45">
        <v>5500</v>
      </c>
      <c r="T192" s="48"/>
      <c r="U192" s="45">
        <v>0</v>
      </c>
      <c r="V192" s="48"/>
      <c r="W192" s="48"/>
      <c r="X192" s="35"/>
      <c r="Z192" s="35"/>
      <c r="AA192" s="35"/>
      <c r="AB192" s="45">
        <v>94071</v>
      </c>
      <c r="AC192" s="65"/>
      <c r="AD192" s="45">
        <v>45222</v>
      </c>
      <c r="AE192" s="65"/>
      <c r="AF192" s="45">
        <v>0</v>
      </c>
      <c r="AG192" s="65"/>
      <c r="AH192" s="48">
        <f t="shared" si="7"/>
        <v>3785301</v>
      </c>
      <c r="AI192" s="48"/>
      <c r="AJ192" s="48">
        <v>0</v>
      </c>
      <c r="AK192" s="48"/>
      <c r="AL192" s="45">
        <v>198364</v>
      </c>
      <c r="AM192" s="45"/>
      <c r="AN192" s="45">
        <v>1949462</v>
      </c>
      <c r="AO192" s="45"/>
      <c r="AP192" s="45">
        <v>0</v>
      </c>
      <c r="AQ192" s="45"/>
      <c r="AR192" s="45">
        <f>+'GVFund Rev'!U193+'GVFund Rev'!W193-'GVFund Exp'!AH192-'GVFund Exp'!AL192+AJ192+AN192+AP192-'GV Fund BS'!S193</f>
        <v>0</v>
      </c>
      <c r="AS192" s="48"/>
    </row>
    <row r="193" spans="1:45" s="44" customFormat="1" ht="12.75" customHeight="1" x14ac:dyDescent="0.2">
      <c r="A193" s="35" t="s">
        <v>220</v>
      </c>
      <c r="C193" s="35" t="s">
        <v>66</v>
      </c>
      <c r="E193" s="45">
        <v>2021784</v>
      </c>
      <c r="F193" s="48"/>
      <c r="G193" s="45">
        <v>5963274</v>
      </c>
      <c r="H193" s="48"/>
      <c r="I193" s="45">
        <v>522937</v>
      </c>
      <c r="J193" s="48"/>
      <c r="K193" s="45">
        <v>3982</v>
      </c>
      <c r="L193" s="48"/>
      <c r="M193" s="45">
        <v>1634776</v>
      </c>
      <c r="N193" s="48"/>
      <c r="O193" s="45">
        <v>46000</v>
      </c>
      <c r="P193" s="48"/>
      <c r="Q193" s="45">
        <v>0</v>
      </c>
      <c r="R193" s="48"/>
      <c r="S193" s="45">
        <v>222403</v>
      </c>
      <c r="T193" s="48"/>
      <c r="U193" s="45">
        <v>0</v>
      </c>
      <c r="V193" s="48"/>
      <c r="W193" s="48"/>
      <c r="X193" s="35"/>
      <c r="Z193" s="35"/>
      <c r="AA193" s="35"/>
      <c r="AB193" s="45">
        <v>334249</v>
      </c>
      <c r="AC193" s="65"/>
      <c r="AD193" s="45">
        <v>94039</v>
      </c>
      <c r="AE193" s="65"/>
      <c r="AF193" s="45">
        <v>0</v>
      </c>
      <c r="AG193" s="65"/>
      <c r="AH193" s="48">
        <f t="shared" si="7"/>
        <v>10843444</v>
      </c>
      <c r="AI193" s="48"/>
      <c r="AJ193" s="48">
        <v>0</v>
      </c>
      <c r="AK193" s="48"/>
      <c r="AL193" s="45">
        <v>3025939</v>
      </c>
      <c r="AM193" s="45"/>
      <c r="AN193" s="45">
        <v>8944200</v>
      </c>
      <c r="AO193" s="45"/>
      <c r="AP193" s="45">
        <v>0</v>
      </c>
      <c r="AQ193" s="45"/>
      <c r="AR193" s="45">
        <f>+'GVFund Rev'!U194+'GVFund Rev'!W194-'GVFund Exp'!AH193-'GVFund Exp'!AL193+AJ193+AN193+AP193-'GV Fund BS'!S194</f>
        <v>0</v>
      </c>
      <c r="AS193" s="48"/>
    </row>
    <row r="194" spans="1:45" s="44" customFormat="1" ht="12.75" customHeight="1" x14ac:dyDescent="0.2">
      <c r="A194" s="35" t="s">
        <v>221</v>
      </c>
      <c r="C194" s="35" t="s">
        <v>27</v>
      </c>
      <c r="E194" s="45">
        <v>4888964</v>
      </c>
      <c r="F194" s="48"/>
      <c r="G194" s="45">
        <v>9104294</v>
      </c>
      <c r="H194" s="48"/>
      <c r="I194" s="45">
        <v>807866</v>
      </c>
      <c r="J194" s="48"/>
      <c r="K194" s="45">
        <v>1281566</v>
      </c>
      <c r="L194" s="48"/>
      <c r="M194" s="45">
        <v>2138947</v>
      </c>
      <c r="N194" s="48"/>
      <c r="O194" s="45">
        <v>3188335</v>
      </c>
      <c r="P194" s="48"/>
      <c r="Q194" s="45">
        <v>4592412</v>
      </c>
      <c r="R194" s="48"/>
      <c r="S194" s="45">
        <v>2997396</v>
      </c>
      <c r="T194" s="48"/>
      <c r="U194" s="45">
        <v>0</v>
      </c>
      <c r="V194" s="48"/>
      <c r="W194" s="48"/>
      <c r="X194" s="35"/>
      <c r="Z194" s="35"/>
      <c r="AA194" s="35"/>
      <c r="AB194" s="45">
        <v>1909286</v>
      </c>
      <c r="AC194" s="65"/>
      <c r="AD194" s="45">
        <v>716098</v>
      </c>
      <c r="AE194" s="65"/>
      <c r="AF194" s="45">
        <v>74864</v>
      </c>
      <c r="AG194" s="65"/>
      <c r="AH194" s="48">
        <f t="shared" si="7"/>
        <v>31700028</v>
      </c>
      <c r="AI194" s="48"/>
      <c r="AJ194" s="48">
        <v>0</v>
      </c>
      <c r="AK194" s="48"/>
      <c r="AL194" s="45">
        <f>2812830+3680000</f>
        <v>6492830</v>
      </c>
      <c r="AM194" s="45"/>
      <c r="AN194" s="45">
        <v>10719566</v>
      </c>
      <c r="AO194" s="45"/>
      <c r="AP194" s="45">
        <v>0</v>
      </c>
      <c r="AQ194" s="45"/>
      <c r="AR194" s="45">
        <f>+'GVFund Rev'!U195+'GVFund Rev'!W195-'GVFund Exp'!AH194-'GVFund Exp'!AL194+AJ194+AN194+AP194-'GV Fund BS'!S195</f>
        <v>0</v>
      </c>
      <c r="AS194" s="48"/>
    </row>
    <row r="195" spans="1:45" s="44" customFormat="1" ht="12.75" customHeight="1" x14ac:dyDescent="0.2">
      <c r="A195" s="35" t="s">
        <v>222</v>
      </c>
      <c r="C195" s="35" t="s">
        <v>47</v>
      </c>
      <c r="E195" s="45">
        <v>1463278</v>
      </c>
      <c r="F195" s="48"/>
      <c r="G195" s="45">
        <v>2236476</v>
      </c>
      <c r="H195" s="48"/>
      <c r="I195" s="45">
        <v>0</v>
      </c>
      <c r="J195" s="48"/>
      <c r="K195" s="45">
        <v>0</v>
      </c>
      <c r="L195" s="48"/>
      <c r="M195" s="45">
        <v>919925</v>
      </c>
      <c r="N195" s="48"/>
      <c r="O195" s="45">
        <v>301426</v>
      </c>
      <c r="P195" s="48"/>
      <c r="Q195" s="45">
        <v>240951</v>
      </c>
      <c r="R195" s="48"/>
      <c r="S195" s="45">
        <v>455547</v>
      </c>
      <c r="T195" s="48"/>
      <c r="U195" s="45">
        <v>0</v>
      </c>
      <c r="V195" s="48"/>
      <c r="W195" s="48"/>
      <c r="X195" s="35"/>
      <c r="Z195" s="35"/>
      <c r="AA195" s="35"/>
      <c r="AB195" s="45">
        <v>190000</v>
      </c>
      <c r="AC195" s="65"/>
      <c r="AD195" s="45">
        <v>155505</v>
      </c>
      <c r="AE195" s="65"/>
      <c r="AF195" s="45">
        <v>0</v>
      </c>
      <c r="AG195" s="65"/>
      <c r="AH195" s="48">
        <f t="shared" si="7"/>
        <v>5963108</v>
      </c>
      <c r="AI195" s="48"/>
      <c r="AJ195" s="48">
        <v>0</v>
      </c>
      <c r="AK195" s="48"/>
      <c r="AL195" s="45">
        <v>660000</v>
      </c>
      <c r="AM195" s="45"/>
      <c r="AN195" s="45">
        <v>6229868</v>
      </c>
      <c r="AO195" s="45"/>
      <c r="AP195" s="45">
        <v>0</v>
      </c>
      <c r="AQ195" s="45"/>
      <c r="AR195" s="45">
        <f>+'GVFund Rev'!U196+'GVFund Rev'!W196-'GVFund Exp'!AH195-'GVFund Exp'!AL195+AJ195+AN195+AP195-'GV Fund BS'!S196</f>
        <v>0</v>
      </c>
      <c r="AS195" s="48"/>
    </row>
    <row r="196" spans="1:45" s="44" customFormat="1" ht="12.75" customHeight="1" x14ac:dyDescent="0.2">
      <c r="A196" s="35" t="s">
        <v>223</v>
      </c>
      <c r="C196" s="35" t="s">
        <v>94</v>
      </c>
      <c r="E196" s="45">
        <v>1307023</v>
      </c>
      <c r="F196" s="48"/>
      <c r="G196" s="45">
        <v>3267549</v>
      </c>
      <c r="H196" s="48"/>
      <c r="I196" s="45">
        <v>339468</v>
      </c>
      <c r="J196" s="48"/>
      <c r="K196" s="45">
        <v>112071</v>
      </c>
      <c r="L196" s="48"/>
      <c r="M196" s="45">
        <v>743998</v>
      </c>
      <c r="N196" s="48"/>
      <c r="O196" s="45">
        <v>455900</v>
      </c>
      <c r="P196" s="48"/>
      <c r="Q196" s="45">
        <v>0</v>
      </c>
      <c r="R196" s="48"/>
      <c r="S196" s="45">
        <v>1405987</v>
      </c>
      <c r="T196" s="48"/>
      <c r="U196" s="45">
        <v>0</v>
      </c>
      <c r="V196" s="48"/>
      <c r="W196" s="48"/>
      <c r="X196" s="35"/>
      <c r="Z196" s="35"/>
      <c r="AA196" s="35"/>
      <c r="AB196" s="45">
        <v>227178</v>
      </c>
      <c r="AC196" s="65"/>
      <c r="AD196" s="45">
        <v>149439</v>
      </c>
      <c r="AE196" s="65"/>
      <c r="AF196" s="45">
        <v>0</v>
      </c>
      <c r="AG196" s="65"/>
      <c r="AH196" s="48">
        <f t="shared" si="7"/>
        <v>8008613</v>
      </c>
      <c r="AI196" s="48"/>
      <c r="AJ196" s="48">
        <v>0</v>
      </c>
      <c r="AK196" s="48"/>
      <c r="AL196" s="45">
        <v>297483</v>
      </c>
      <c r="AM196" s="45"/>
      <c r="AN196" s="45">
        <v>2011111</v>
      </c>
      <c r="AO196" s="45"/>
      <c r="AP196" s="45">
        <v>0</v>
      </c>
      <c r="AQ196" s="45"/>
      <c r="AR196" s="45">
        <f>+'GVFund Rev'!U197+'GVFund Rev'!W197-'GVFund Exp'!AH196-'GVFund Exp'!AL196+AJ196+AN196+AP196-'GV Fund BS'!S197</f>
        <v>0</v>
      </c>
      <c r="AS196" s="48"/>
    </row>
    <row r="197" spans="1:45" s="46" customFormat="1" ht="12.75" customHeight="1" x14ac:dyDescent="0.2">
      <c r="A197" s="35" t="s">
        <v>76</v>
      </c>
      <c r="B197" s="44"/>
      <c r="C197" s="35" t="s">
        <v>132</v>
      </c>
      <c r="D197" s="44"/>
      <c r="E197" s="45">
        <f>1038040+2863831</f>
        <v>3901871</v>
      </c>
      <c r="F197" s="48"/>
      <c r="G197" s="45">
        <f>5498666+5522370+252562</f>
        <v>11273598</v>
      </c>
      <c r="H197" s="48"/>
      <c r="I197" s="45">
        <v>2704414</v>
      </c>
      <c r="J197" s="48"/>
      <c r="K197" s="45">
        <v>271130</v>
      </c>
      <c r="L197" s="48"/>
      <c r="M197" s="45">
        <v>3110557</v>
      </c>
      <c r="N197" s="48"/>
      <c r="O197" s="45">
        <v>385373</v>
      </c>
      <c r="P197" s="48"/>
      <c r="Q197" s="45">
        <v>92756</v>
      </c>
      <c r="R197" s="48"/>
      <c r="S197" s="45">
        <v>1635471</v>
      </c>
      <c r="T197" s="48"/>
      <c r="U197" s="45">
        <v>0</v>
      </c>
      <c r="V197" s="48"/>
      <c r="W197" s="48"/>
      <c r="X197" s="35"/>
      <c r="Y197" s="44"/>
      <c r="Z197" s="35"/>
      <c r="AA197" s="35"/>
      <c r="AB197" s="45">
        <v>5455694</v>
      </c>
      <c r="AC197" s="65"/>
      <c r="AD197" s="45">
        <v>1001860</v>
      </c>
      <c r="AE197" s="65"/>
      <c r="AF197" s="45">
        <v>115335</v>
      </c>
      <c r="AG197" s="65"/>
      <c r="AH197" s="48">
        <f t="shared" si="7"/>
        <v>29948059</v>
      </c>
      <c r="AI197" s="48"/>
      <c r="AJ197" s="48">
        <v>0</v>
      </c>
      <c r="AK197" s="48"/>
      <c r="AL197" s="45">
        <v>4800180</v>
      </c>
      <c r="AM197" s="45"/>
      <c r="AN197" s="45">
        <v>5068451</v>
      </c>
      <c r="AO197" s="45"/>
      <c r="AP197" s="45">
        <v>0</v>
      </c>
      <c r="AQ197" s="45"/>
      <c r="AR197" s="45">
        <f>+'GVFund Rev'!U198+'GVFund Rev'!W198-'GVFund Exp'!AH197-'GVFund Exp'!AL197+AJ197+AN197+AP197-'GV Fund BS'!S198</f>
        <v>0</v>
      </c>
      <c r="AS197" s="48"/>
    </row>
    <row r="198" spans="1:45" s="44" customFormat="1" ht="12.75" customHeight="1" x14ac:dyDescent="0.2">
      <c r="A198" s="64" t="s">
        <v>224</v>
      </c>
      <c r="B198" s="46"/>
      <c r="C198" s="64" t="s">
        <v>27</v>
      </c>
      <c r="D198" s="46"/>
      <c r="E198" s="45">
        <v>1819046</v>
      </c>
      <c r="F198" s="48"/>
      <c r="G198" s="45">
        <v>3968395</v>
      </c>
      <c r="H198" s="48"/>
      <c r="I198" s="45">
        <v>591250</v>
      </c>
      <c r="J198" s="48"/>
      <c r="K198" s="45">
        <v>871585</v>
      </c>
      <c r="L198" s="48"/>
      <c r="M198" s="45">
        <v>1782075</v>
      </c>
      <c r="N198" s="48"/>
      <c r="O198" s="45">
        <v>1351816</v>
      </c>
      <c r="P198" s="48"/>
      <c r="Q198" s="45">
        <v>71991</v>
      </c>
      <c r="R198" s="48"/>
      <c r="S198" s="45">
        <v>1793496</v>
      </c>
      <c r="T198" s="48"/>
      <c r="U198" s="45">
        <v>0</v>
      </c>
      <c r="V198" s="48"/>
      <c r="W198" s="48"/>
      <c r="X198" s="35"/>
      <c r="Z198" s="35"/>
      <c r="AA198" s="35"/>
      <c r="AB198" s="45">
        <v>1462648</v>
      </c>
      <c r="AC198" s="65"/>
      <c r="AD198" s="45">
        <v>646286</v>
      </c>
      <c r="AE198" s="65"/>
      <c r="AF198" s="45">
        <f>277320+145000</f>
        <v>422320</v>
      </c>
      <c r="AG198" s="65"/>
      <c r="AH198" s="48">
        <f t="shared" si="7"/>
        <v>14780908</v>
      </c>
      <c r="AI198" s="48"/>
      <c r="AJ198" s="48">
        <v>0</v>
      </c>
      <c r="AK198" s="48"/>
      <c r="AL198" s="45">
        <f>10701752+1474130</f>
        <v>12175882</v>
      </c>
      <c r="AM198" s="45"/>
      <c r="AN198" s="45">
        <v>4954854</v>
      </c>
      <c r="AO198" s="45"/>
      <c r="AP198" s="45">
        <v>0</v>
      </c>
      <c r="AQ198" s="45"/>
      <c r="AR198" s="45">
        <f>+'GVFund Rev'!U199+'GVFund Rev'!W199-'GVFund Exp'!AH198-'GVFund Exp'!AL198+AJ198+AN198+AP198-'GV Fund BS'!S199</f>
        <v>0</v>
      </c>
      <c r="AS198" s="48"/>
    </row>
    <row r="199" spans="1:45" s="44" customFormat="1" ht="12.75" customHeight="1" x14ac:dyDescent="0.2">
      <c r="A199" s="35" t="s">
        <v>225</v>
      </c>
      <c r="C199" s="35" t="s">
        <v>27</v>
      </c>
      <c r="E199" s="45">
        <f>4969022+2541564</f>
        <v>7510586</v>
      </c>
      <c r="F199" s="48"/>
      <c r="G199" s="45">
        <f>13589212+7400549+758089</f>
        <v>21747850</v>
      </c>
      <c r="H199" s="48"/>
      <c r="I199" s="45">
        <v>5935701</v>
      </c>
      <c r="J199" s="48"/>
      <c r="K199" s="45">
        <v>596372</v>
      </c>
      <c r="L199" s="48"/>
      <c r="M199" s="45">
        <v>3552894</v>
      </c>
      <c r="N199" s="48"/>
      <c r="O199" s="45">
        <f>2550309+962718</f>
        <v>3513027</v>
      </c>
      <c r="P199" s="48"/>
      <c r="Q199" s="45">
        <f>2515800+4023249</f>
        <v>6539049</v>
      </c>
      <c r="R199" s="48"/>
      <c r="S199" s="45">
        <v>0</v>
      </c>
      <c r="T199" s="48"/>
      <c r="U199" s="45">
        <v>0</v>
      </c>
      <c r="V199" s="48"/>
      <c r="W199" s="48"/>
      <c r="X199" s="35"/>
      <c r="Z199" s="35"/>
      <c r="AA199" s="35"/>
      <c r="AB199" s="45">
        <v>3983104</v>
      </c>
      <c r="AC199" s="65"/>
      <c r="AD199" s="45">
        <v>903912</v>
      </c>
      <c r="AE199" s="65"/>
      <c r="AF199" s="45">
        <v>0</v>
      </c>
      <c r="AG199" s="65"/>
      <c r="AH199" s="48">
        <f t="shared" ref="AH199" si="8">SUM(E199:AF199)</f>
        <v>54282495</v>
      </c>
      <c r="AI199" s="48"/>
      <c r="AJ199" s="48">
        <v>0</v>
      </c>
      <c r="AK199" s="48"/>
      <c r="AL199" s="45">
        <v>5775498</v>
      </c>
      <c r="AM199" s="45"/>
      <c r="AN199" s="45">
        <v>38300759</v>
      </c>
      <c r="AO199" s="45"/>
      <c r="AP199" s="45">
        <v>0</v>
      </c>
      <c r="AQ199" s="45"/>
      <c r="AR199" s="45">
        <f>+'GVFund Rev'!U200+'GVFund Rev'!W200-'GVFund Exp'!AH199-'GVFund Exp'!AL199+AJ199+AN199+AP199-'GV Fund BS'!S200</f>
        <v>0</v>
      </c>
      <c r="AS199" s="48"/>
    </row>
    <row r="200" spans="1:45" s="44" customFormat="1" ht="12.75" customHeight="1" x14ac:dyDescent="0.2">
      <c r="A200" s="64"/>
      <c r="B200" s="46"/>
      <c r="C200" s="64"/>
      <c r="D200" s="46"/>
      <c r="E200" s="45"/>
      <c r="F200" s="48"/>
      <c r="G200" s="45"/>
      <c r="H200" s="48"/>
      <c r="I200" s="45"/>
      <c r="J200" s="48"/>
      <c r="K200" s="45"/>
      <c r="L200" s="48"/>
      <c r="M200" s="45"/>
      <c r="N200" s="48"/>
      <c r="O200" s="45"/>
      <c r="P200" s="48"/>
      <c r="Q200" s="45"/>
      <c r="R200" s="48"/>
      <c r="S200" s="45"/>
      <c r="T200" s="48"/>
      <c r="U200" s="45"/>
      <c r="V200" s="48"/>
      <c r="W200" s="48"/>
      <c r="X200" s="35"/>
      <c r="Z200" s="35"/>
      <c r="AA200" s="35"/>
      <c r="AB200" s="45"/>
      <c r="AC200" s="65"/>
      <c r="AD200" s="45"/>
      <c r="AE200" s="65"/>
      <c r="AF200" s="45"/>
      <c r="AG200" s="65"/>
      <c r="AH200" s="48"/>
      <c r="AI200" s="48"/>
      <c r="AJ200" s="48"/>
      <c r="AK200" s="48"/>
      <c r="AL200" s="48" t="s">
        <v>484</v>
      </c>
      <c r="AM200" s="45"/>
      <c r="AN200" s="45"/>
      <c r="AO200" s="45"/>
      <c r="AP200" s="45"/>
      <c r="AQ200" s="45"/>
      <c r="AR200" s="45"/>
      <c r="AS200" s="48"/>
    </row>
    <row r="201" spans="1:45" s="46" customFormat="1" ht="12.75" customHeight="1" x14ac:dyDescent="0.2">
      <c r="A201" s="64" t="s">
        <v>226</v>
      </c>
      <c r="C201" s="64" t="s">
        <v>45</v>
      </c>
      <c r="E201" s="94">
        <v>3400002</v>
      </c>
      <c r="F201" s="68"/>
      <c r="G201" s="94">
        <v>11643831</v>
      </c>
      <c r="H201" s="68"/>
      <c r="I201" s="94">
        <v>584908</v>
      </c>
      <c r="J201" s="68"/>
      <c r="K201" s="94">
        <v>374322</v>
      </c>
      <c r="L201" s="68"/>
      <c r="M201" s="94">
        <v>2113934</v>
      </c>
      <c r="N201" s="68"/>
      <c r="O201" s="94">
        <v>2481596</v>
      </c>
      <c r="P201" s="68"/>
      <c r="Q201" s="94">
        <v>527483</v>
      </c>
      <c r="R201" s="68"/>
      <c r="S201" s="94">
        <v>2286976</v>
      </c>
      <c r="T201" s="68"/>
      <c r="U201" s="94">
        <v>0</v>
      </c>
      <c r="V201" s="68"/>
      <c r="W201" s="68"/>
      <c r="X201" s="64"/>
      <c r="Z201" s="64"/>
      <c r="AA201" s="64"/>
      <c r="AB201" s="94">
        <v>1783777</v>
      </c>
      <c r="AC201" s="66"/>
      <c r="AD201" s="94">
        <v>538968</v>
      </c>
      <c r="AE201" s="66"/>
      <c r="AF201" s="94">
        <v>0</v>
      </c>
      <c r="AG201" s="66"/>
      <c r="AH201" s="68">
        <f t="shared" ref="AH201:AH261" si="9">SUM(E201:AF201)</f>
        <v>25735797</v>
      </c>
      <c r="AI201" s="68"/>
      <c r="AJ201" s="68">
        <v>0</v>
      </c>
      <c r="AK201" s="68"/>
      <c r="AL201" s="94">
        <v>2999168</v>
      </c>
      <c r="AM201" s="94"/>
      <c r="AN201" s="94">
        <v>8986495</v>
      </c>
      <c r="AO201" s="94"/>
      <c r="AP201" s="94">
        <v>91784</v>
      </c>
      <c r="AQ201" s="94"/>
      <c r="AR201" s="94">
        <f>+'GVFund Rev'!U201+'GVFund Rev'!W201-'GVFund Exp'!AH201-'GVFund Exp'!AL201+AJ201+AN201+AP201-'GV Fund BS'!S201</f>
        <v>0</v>
      </c>
      <c r="AS201" s="68"/>
    </row>
    <row r="202" spans="1:45" s="46" customFormat="1" ht="12.75" customHeight="1" x14ac:dyDescent="0.2">
      <c r="A202" s="64" t="s">
        <v>227</v>
      </c>
      <c r="C202" s="64" t="s">
        <v>17</v>
      </c>
      <c r="E202" s="45">
        <v>1146632</v>
      </c>
      <c r="F202" s="48"/>
      <c r="G202" s="45">
        <v>2997005</v>
      </c>
      <c r="H202" s="48"/>
      <c r="I202" s="45">
        <v>104623</v>
      </c>
      <c r="J202" s="48"/>
      <c r="K202" s="45">
        <v>31644</v>
      </c>
      <c r="L202" s="48"/>
      <c r="M202" s="45">
        <v>641923</v>
      </c>
      <c r="N202" s="48"/>
      <c r="O202" s="45">
        <v>109551</v>
      </c>
      <c r="P202" s="48"/>
      <c r="Q202" s="45">
        <v>683570</v>
      </c>
      <c r="R202" s="48"/>
      <c r="S202" s="45">
        <v>119550</v>
      </c>
      <c r="T202" s="48"/>
      <c r="U202" s="45">
        <v>0</v>
      </c>
      <c r="V202" s="48"/>
      <c r="W202" s="48"/>
      <c r="X202" s="35"/>
      <c r="Y202" s="44"/>
      <c r="Z202" s="35"/>
      <c r="AA202" s="35"/>
      <c r="AB202" s="45">
        <f>653027+115000+18061+27447</f>
        <v>813535</v>
      </c>
      <c r="AC202" s="65"/>
      <c r="AD202" s="45">
        <v>206725</v>
      </c>
      <c r="AE202" s="65"/>
      <c r="AF202" s="45">
        <v>0</v>
      </c>
      <c r="AG202" s="65"/>
      <c r="AH202" s="48">
        <f t="shared" si="9"/>
        <v>6854758</v>
      </c>
      <c r="AI202" s="48"/>
      <c r="AJ202" s="48">
        <v>0</v>
      </c>
      <c r="AK202" s="48"/>
      <c r="AL202" s="45">
        <v>167237</v>
      </c>
      <c r="AM202" s="45"/>
      <c r="AN202" s="45">
        <v>2086569</v>
      </c>
      <c r="AO202" s="45"/>
      <c r="AP202" s="45">
        <v>0</v>
      </c>
      <c r="AQ202" s="45"/>
      <c r="AR202" s="45">
        <f>+'GVFund Rev'!U202+'GVFund Rev'!W202-'GVFund Exp'!AH202-'GVFund Exp'!AL202+AJ202+AN202+AP202-'GV Fund BS'!S202</f>
        <v>0</v>
      </c>
      <c r="AS202" s="68"/>
    </row>
    <row r="203" spans="1:45" s="46" customFormat="1" ht="12.75" customHeight="1" x14ac:dyDescent="0.2">
      <c r="A203" s="35" t="s">
        <v>228</v>
      </c>
      <c r="B203" s="44"/>
      <c r="C203" s="35" t="s">
        <v>153</v>
      </c>
      <c r="D203" s="44"/>
      <c r="E203" s="45">
        <v>1071652</v>
      </c>
      <c r="F203" s="48"/>
      <c r="G203" s="45">
        <v>3121971</v>
      </c>
      <c r="H203" s="48"/>
      <c r="I203" s="45">
        <v>1548370</v>
      </c>
      <c r="J203" s="48"/>
      <c r="K203" s="45">
        <v>259241</v>
      </c>
      <c r="L203" s="48"/>
      <c r="M203" s="45">
        <v>463037</v>
      </c>
      <c r="N203" s="48"/>
      <c r="O203" s="45">
        <v>71173</v>
      </c>
      <c r="P203" s="48"/>
      <c r="Q203" s="45">
        <v>36336</v>
      </c>
      <c r="R203" s="48"/>
      <c r="S203" s="45">
        <v>1070156</v>
      </c>
      <c r="T203" s="48"/>
      <c r="U203" s="45">
        <v>0</v>
      </c>
      <c r="V203" s="48"/>
      <c r="W203" s="48"/>
      <c r="X203" s="35"/>
      <c r="Y203" s="44"/>
      <c r="Z203" s="35"/>
      <c r="AA203" s="35"/>
      <c r="AB203" s="45">
        <v>192183</v>
      </c>
      <c r="AC203" s="65"/>
      <c r="AD203" s="45">
        <v>25807</v>
      </c>
      <c r="AE203" s="65"/>
      <c r="AF203" s="45">
        <v>224448</v>
      </c>
      <c r="AG203" s="65"/>
      <c r="AH203" s="48">
        <f t="shared" si="9"/>
        <v>8084374</v>
      </c>
      <c r="AI203" s="48"/>
      <c r="AJ203" s="48">
        <v>0</v>
      </c>
      <c r="AK203" s="48"/>
      <c r="AL203" s="45">
        <v>253250</v>
      </c>
      <c r="AM203" s="45"/>
      <c r="AN203" s="45">
        <v>4439198</v>
      </c>
      <c r="AO203" s="45"/>
      <c r="AP203" s="45">
        <v>5541</v>
      </c>
      <c r="AQ203" s="45"/>
      <c r="AR203" s="45">
        <f>+'GVFund Rev'!U203+'GVFund Rev'!W203-'GVFund Exp'!AH203-'GVFund Exp'!AL203+AJ203+AN203+AP203-'GV Fund BS'!S203</f>
        <v>0</v>
      </c>
      <c r="AS203" s="68"/>
    </row>
    <row r="204" spans="1:45" s="44" customFormat="1" ht="12.75" customHeight="1" x14ac:dyDescent="0.2">
      <c r="A204" s="35" t="s">
        <v>229</v>
      </c>
      <c r="C204" s="35" t="s">
        <v>228</v>
      </c>
      <c r="E204" s="45">
        <f>760230+1544293</f>
        <v>2304523</v>
      </c>
      <c r="F204" s="48"/>
      <c r="G204" s="45">
        <f>5600738+4435691</f>
        <v>10036429</v>
      </c>
      <c r="H204" s="48"/>
      <c r="I204" s="45">
        <f>253872+798625</f>
        <v>1052497</v>
      </c>
      <c r="J204" s="48"/>
      <c r="K204" s="45">
        <v>161354</v>
      </c>
      <c r="L204" s="48"/>
      <c r="M204" s="45">
        <f>1364+1404900</f>
        <v>1406264</v>
      </c>
      <c r="N204" s="48"/>
      <c r="O204" s="45">
        <v>1172055</v>
      </c>
      <c r="P204" s="48"/>
      <c r="Q204" s="45">
        <v>0</v>
      </c>
      <c r="R204" s="48"/>
      <c r="S204" s="45">
        <v>5656047</v>
      </c>
      <c r="T204" s="48"/>
      <c r="U204" s="45">
        <v>0</v>
      </c>
      <c r="V204" s="48"/>
      <c r="W204" s="48"/>
      <c r="X204" s="35"/>
      <c r="Z204" s="35"/>
      <c r="AA204" s="35"/>
      <c r="AB204" s="45">
        <v>838714</v>
      </c>
      <c r="AC204" s="65"/>
      <c r="AD204" s="45">
        <v>323888</v>
      </c>
      <c r="AE204" s="65"/>
      <c r="AF204" s="45">
        <v>0</v>
      </c>
      <c r="AG204" s="65"/>
      <c r="AH204" s="48">
        <f t="shared" si="9"/>
        <v>22951771</v>
      </c>
      <c r="AI204" s="48"/>
      <c r="AJ204" s="48">
        <v>0</v>
      </c>
      <c r="AK204" s="48"/>
      <c r="AL204" s="45">
        <f>1263463+361500</f>
        <v>1624963</v>
      </c>
      <c r="AM204" s="45"/>
      <c r="AN204" s="45">
        <v>8980601</v>
      </c>
      <c r="AO204" s="45"/>
      <c r="AP204" s="45">
        <v>0</v>
      </c>
      <c r="AQ204" s="45"/>
      <c r="AR204" s="45">
        <f>+'GVFund Rev'!U204+'GVFund Rev'!W204-'GVFund Exp'!AH204-'GVFund Exp'!AL204+AJ204+AN204+AP204-'GV Fund BS'!S204</f>
        <v>0</v>
      </c>
      <c r="AS204" s="48"/>
    </row>
    <row r="205" spans="1:45" s="121" customFormat="1" ht="12.75" hidden="1" customHeight="1" x14ac:dyDescent="0.2">
      <c r="A205" s="126" t="s">
        <v>230</v>
      </c>
      <c r="C205" s="126" t="s">
        <v>45</v>
      </c>
      <c r="E205" s="127"/>
      <c r="F205" s="130"/>
      <c r="G205" s="127"/>
      <c r="H205" s="130"/>
      <c r="I205" s="127"/>
      <c r="J205" s="130"/>
      <c r="K205" s="127"/>
      <c r="L205" s="130"/>
      <c r="M205" s="127"/>
      <c r="N205" s="130"/>
      <c r="O205" s="127"/>
      <c r="P205" s="130"/>
      <c r="Q205" s="127"/>
      <c r="R205" s="130"/>
      <c r="S205" s="127"/>
      <c r="T205" s="130"/>
      <c r="U205" s="127"/>
      <c r="V205" s="130"/>
      <c r="W205" s="130"/>
      <c r="X205" s="126"/>
      <c r="Z205" s="126"/>
      <c r="AA205" s="126"/>
      <c r="AB205" s="127"/>
      <c r="AC205" s="125"/>
      <c r="AD205" s="127"/>
      <c r="AE205" s="125"/>
      <c r="AF205" s="127"/>
      <c r="AG205" s="125"/>
      <c r="AH205" s="130">
        <f t="shared" si="9"/>
        <v>0</v>
      </c>
      <c r="AI205" s="130"/>
      <c r="AJ205" s="130">
        <v>0</v>
      </c>
      <c r="AK205" s="130"/>
      <c r="AL205" s="127"/>
      <c r="AM205" s="127"/>
      <c r="AN205" s="127"/>
      <c r="AO205" s="127"/>
      <c r="AP205" s="127"/>
      <c r="AQ205" s="127"/>
      <c r="AR205" s="127">
        <f>+'GVFund Rev'!U205+'GVFund Rev'!W205-'GVFund Exp'!AH205-'GVFund Exp'!AL205+AJ205+AN205+AP205-'GV Fund BS'!S205</f>
        <v>0</v>
      </c>
      <c r="AS205" s="121" t="s">
        <v>509</v>
      </c>
    </row>
    <row r="206" spans="1:45" s="44" customFormat="1" ht="12.75" customHeight="1" x14ac:dyDescent="0.2">
      <c r="A206" s="35" t="s">
        <v>231</v>
      </c>
      <c r="C206" s="35" t="s">
        <v>27</v>
      </c>
      <c r="E206" s="45">
        <v>4966488</v>
      </c>
      <c r="F206" s="48"/>
      <c r="G206" s="45">
        <f>8077151+7444523+257217</f>
        <v>15778891</v>
      </c>
      <c r="H206" s="48"/>
      <c r="I206" s="45">
        <v>2838647</v>
      </c>
      <c r="J206" s="48"/>
      <c r="K206" s="45">
        <v>85571</v>
      </c>
      <c r="L206" s="48"/>
      <c r="M206" s="45">
        <v>6181872</v>
      </c>
      <c r="N206" s="48"/>
      <c r="O206" s="45">
        <v>6023319</v>
      </c>
      <c r="P206" s="48"/>
      <c r="Q206" s="45">
        <v>1894005</v>
      </c>
      <c r="R206" s="48"/>
      <c r="S206" s="45">
        <v>10388586</v>
      </c>
      <c r="T206" s="48"/>
      <c r="U206" s="45">
        <v>0</v>
      </c>
      <c r="V206" s="48"/>
      <c r="W206" s="48"/>
      <c r="X206" s="35"/>
      <c r="Z206" s="35"/>
      <c r="AA206" s="35"/>
      <c r="AB206" s="45">
        <v>2070153</v>
      </c>
      <c r="AC206" s="65"/>
      <c r="AD206" s="45">
        <v>546106</v>
      </c>
      <c r="AE206" s="65"/>
      <c r="AF206" s="45">
        <v>0</v>
      </c>
      <c r="AG206" s="65"/>
      <c r="AH206" s="48">
        <f t="shared" si="9"/>
        <v>50773638</v>
      </c>
      <c r="AI206" s="48"/>
      <c r="AJ206" s="48">
        <v>0</v>
      </c>
      <c r="AK206" s="48"/>
      <c r="AL206" s="45">
        <v>4063840</v>
      </c>
      <c r="AM206" s="45"/>
      <c r="AN206" s="45">
        <v>31267716</v>
      </c>
      <c r="AO206" s="45"/>
      <c r="AP206" s="45">
        <v>0</v>
      </c>
      <c r="AQ206" s="45"/>
      <c r="AR206" s="45">
        <f>+'GVFund Rev'!U206+'GVFund Rev'!W206-'GVFund Exp'!AH206-'GVFund Exp'!AL206+AJ206+AN206+AP206-'GV Fund BS'!S206</f>
        <v>0</v>
      </c>
      <c r="AS206" s="48"/>
    </row>
    <row r="207" spans="1:45" s="44" customFormat="1" ht="12.75" customHeight="1" x14ac:dyDescent="0.2">
      <c r="A207" s="64" t="s">
        <v>232</v>
      </c>
      <c r="B207" s="46"/>
      <c r="C207" s="64" t="s">
        <v>27</v>
      </c>
      <c r="D207" s="46"/>
      <c r="E207" s="45">
        <f>2350923+566728</f>
        <v>2917651</v>
      </c>
      <c r="F207" s="48"/>
      <c r="G207" s="45">
        <f>5219329+3874490</f>
        <v>9093819</v>
      </c>
      <c r="H207" s="48"/>
      <c r="I207" s="45">
        <v>241334</v>
      </c>
      <c r="J207" s="48"/>
      <c r="K207" s="45">
        <v>125129</v>
      </c>
      <c r="L207" s="48"/>
      <c r="M207" s="45">
        <v>1779430</v>
      </c>
      <c r="N207" s="48"/>
      <c r="O207" s="45">
        <v>269728</v>
      </c>
      <c r="P207" s="48"/>
      <c r="Q207" s="45">
        <f>642827+2948728+244910</f>
        <v>3836465</v>
      </c>
      <c r="R207" s="48"/>
      <c r="S207" s="45">
        <v>7402479</v>
      </c>
      <c r="T207" s="48"/>
      <c r="U207" s="45">
        <v>0</v>
      </c>
      <c r="V207" s="48"/>
      <c r="W207" s="48"/>
      <c r="X207" s="35"/>
      <c r="Z207" s="35"/>
      <c r="AA207" s="35"/>
      <c r="AB207" s="45">
        <v>933446</v>
      </c>
      <c r="AC207" s="65"/>
      <c r="AD207" s="45">
        <v>431511</v>
      </c>
      <c r="AE207" s="65"/>
      <c r="AF207" s="45">
        <f>543592+131641+11843873</f>
        <v>12519106</v>
      </c>
      <c r="AG207" s="65"/>
      <c r="AH207" s="48">
        <f t="shared" si="9"/>
        <v>39550098</v>
      </c>
      <c r="AI207" s="48"/>
      <c r="AJ207" s="48">
        <v>0</v>
      </c>
      <c r="AK207" s="48"/>
      <c r="AL207" s="45">
        <v>233666</v>
      </c>
      <c r="AM207" s="45"/>
      <c r="AN207" s="45">
        <v>8287203</v>
      </c>
      <c r="AO207" s="45"/>
      <c r="AP207" s="45">
        <v>0</v>
      </c>
      <c r="AQ207" s="45"/>
      <c r="AR207" s="45">
        <f>+'GVFund Rev'!U207+'GVFund Rev'!W207-'GVFund Exp'!AH207-'GVFund Exp'!AL207+AJ207+AN207+AP207-'GV Fund BS'!S207</f>
        <v>0</v>
      </c>
      <c r="AS207" s="48"/>
    </row>
    <row r="208" spans="1:45" s="44" customFormat="1" ht="12.75" customHeight="1" x14ac:dyDescent="0.2">
      <c r="A208" s="35" t="s">
        <v>233</v>
      </c>
      <c r="C208" s="35" t="s">
        <v>111</v>
      </c>
      <c r="E208" s="45">
        <v>4896316</v>
      </c>
      <c r="F208" s="48"/>
      <c r="G208" s="45">
        <v>2887534</v>
      </c>
      <c r="H208" s="48"/>
      <c r="I208" s="45">
        <v>531565</v>
      </c>
      <c r="J208" s="48"/>
      <c r="K208" s="45">
        <v>14697</v>
      </c>
      <c r="L208" s="48"/>
      <c r="M208" s="45">
        <v>828992</v>
      </c>
      <c r="N208" s="48"/>
      <c r="O208" s="45">
        <v>500822</v>
      </c>
      <c r="P208" s="48"/>
      <c r="Q208" s="45">
        <v>0</v>
      </c>
      <c r="R208" s="48"/>
      <c r="S208" s="45">
        <v>2499123</v>
      </c>
      <c r="T208" s="48"/>
      <c r="U208" s="45">
        <v>0</v>
      </c>
      <c r="V208" s="48"/>
      <c r="W208" s="48"/>
      <c r="X208" s="35"/>
      <c r="Z208" s="35"/>
      <c r="AA208" s="35"/>
      <c r="AB208" s="45">
        <v>1115000</v>
      </c>
      <c r="AC208" s="65"/>
      <c r="AD208" s="45">
        <v>680895</v>
      </c>
      <c r="AE208" s="65"/>
      <c r="AF208" s="45">
        <v>0</v>
      </c>
      <c r="AG208" s="65"/>
      <c r="AH208" s="48">
        <f t="shared" si="9"/>
        <v>13954944</v>
      </c>
      <c r="AI208" s="48"/>
      <c r="AJ208" s="48">
        <v>0</v>
      </c>
      <c r="AK208" s="48"/>
      <c r="AL208" s="45">
        <f>59560+6621966</f>
        <v>6681526</v>
      </c>
      <c r="AM208" s="45"/>
      <c r="AN208" s="45">
        <v>14893717</v>
      </c>
      <c r="AO208" s="45"/>
      <c r="AP208" s="45">
        <v>-1234</v>
      </c>
      <c r="AQ208" s="45"/>
      <c r="AR208" s="45">
        <f>+'GVFund Rev'!U208+'GVFund Rev'!W208-'GVFund Exp'!AH208-'GVFund Exp'!AL208+AJ208+AN208+AP208-'GV Fund BS'!S208</f>
        <v>0</v>
      </c>
      <c r="AS208" s="48"/>
    </row>
    <row r="209" spans="1:45" s="44" customFormat="1" ht="12.75" customHeight="1" x14ac:dyDescent="0.2">
      <c r="A209" s="35" t="s">
        <v>234</v>
      </c>
      <c r="C209" s="35" t="s">
        <v>45</v>
      </c>
      <c r="E209" s="45">
        <v>3715866</v>
      </c>
      <c r="F209" s="48"/>
      <c r="G209" s="45">
        <v>7978954</v>
      </c>
      <c r="H209" s="48"/>
      <c r="I209" s="45">
        <v>495347</v>
      </c>
      <c r="J209" s="48"/>
      <c r="K209" s="45">
        <v>325481</v>
      </c>
      <c r="L209" s="48"/>
      <c r="M209" s="45">
        <v>1231140</v>
      </c>
      <c r="N209" s="48"/>
      <c r="O209" s="45">
        <v>1372776</v>
      </c>
      <c r="P209" s="48"/>
      <c r="Q209" s="45">
        <v>0</v>
      </c>
      <c r="R209" s="48"/>
      <c r="S209" s="45">
        <v>436755</v>
      </c>
      <c r="T209" s="48"/>
      <c r="U209" s="45">
        <v>0</v>
      </c>
      <c r="V209" s="48"/>
      <c r="W209" s="48"/>
      <c r="X209" s="35"/>
      <c r="Z209" s="35"/>
      <c r="AA209" s="35"/>
      <c r="AB209" s="45">
        <v>476499</v>
      </c>
      <c r="AC209" s="65"/>
      <c r="AD209" s="45">
        <v>272903</v>
      </c>
      <c r="AE209" s="65"/>
      <c r="AF209" s="45">
        <v>0</v>
      </c>
      <c r="AG209" s="65"/>
      <c r="AH209" s="48">
        <f t="shared" si="9"/>
        <v>16305721</v>
      </c>
      <c r="AI209" s="48"/>
      <c r="AJ209" s="48">
        <v>0</v>
      </c>
      <c r="AK209" s="48"/>
      <c r="AL209" s="45">
        <v>763800</v>
      </c>
      <c r="AM209" s="45"/>
      <c r="AN209" s="45">
        <v>6633020</v>
      </c>
      <c r="AO209" s="45"/>
      <c r="AP209" s="45">
        <v>0</v>
      </c>
      <c r="AQ209" s="45"/>
      <c r="AR209" s="45">
        <f>+'GVFund Rev'!U209+'GVFund Rev'!W209-'GVFund Exp'!AH209-'GVFund Exp'!AL209+AJ209+AN209+AP209-'GV Fund BS'!S209</f>
        <v>0</v>
      </c>
      <c r="AS209" s="48"/>
    </row>
    <row r="210" spans="1:45" s="44" customFormat="1" ht="12.75" customHeight="1" x14ac:dyDescent="0.2">
      <c r="A210" s="35" t="s">
        <v>235</v>
      </c>
      <c r="C210" s="35" t="s">
        <v>183</v>
      </c>
      <c r="E210" s="45">
        <v>9975188</v>
      </c>
      <c r="F210" s="48"/>
      <c r="G210" s="45">
        <v>28598104</v>
      </c>
      <c r="H210" s="48"/>
      <c r="I210" s="45">
        <v>5799440</v>
      </c>
      <c r="J210" s="48"/>
      <c r="K210" s="45">
        <v>148872</v>
      </c>
      <c r="L210" s="48"/>
      <c r="M210" s="45">
        <v>4138984</v>
      </c>
      <c r="N210" s="48"/>
      <c r="O210" s="45">
        <v>2159298</v>
      </c>
      <c r="P210" s="48"/>
      <c r="Q210" s="45">
        <v>217499</v>
      </c>
      <c r="R210" s="48"/>
      <c r="S210" s="45">
        <v>22696059</v>
      </c>
      <c r="T210" s="48"/>
      <c r="U210" s="45">
        <v>0</v>
      </c>
      <c r="V210" s="48"/>
      <c r="W210" s="48"/>
      <c r="X210" s="35"/>
      <c r="Z210" s="35"/>
      <c r="AA210" s="35"/>
      <c r="AB210" s="45">
        <v>2395569</v>
      </c>
      <c r="AC210" s="65"/>
      <c r="AD210" s="45">
        <v>437151</v>
      </c>
      <c r="AE210" s="65"/>
      <c r="AF210" s="45">
        <v>0</v>
      </c>
      <c r="AG210" s="65"/>
      <c r="AH210" s="48">
        <f t="shared" si="9"/>
        <v>76566164</v>
      </c>
      <c r="AI210" s="48"/>
      <c r="AJ210" s="48">
        <v>0</v>
      </c>
      <c r="AK210" s="48"/>
      <c r="AL210" s="45">
        <v>4600120</v>
      </c>
      <c r="AM210" s="45"/>
      <c r="AN210" s="45">
        <v>35420044</v>
      </c>
      <c r="AO210" s="45"/>
      <c r="AP210" s="45">
        <v>0</v>
      </c>
      <c r="AQ210" s="45"/>
      <c r="AR210" s="45">
        <f>+'GVFund Rev'!U210+'GVFund Rev'!W210-'GVFund Exp'!AH210-'GVFund Exp'!AL210+AJ210+AN210+AP210-'GV Fund BS'!S210</f>
        <v>0</v>
      </c>
      <c r="AS210" s="48"/>
    </row>
    <row r="211" spans="1:45" s="44" customFormat="1" ht="12.75" customHeight="1" x14ac:dyDescent="0.2">
      <c r="A211" s="35" t="s">
        <v>236</v>
      </c>
      <c r="C211" s="35" t="s">
        <v>45</v>
      </c>
      <c r="E211" s="45">
        <v>4542158</v>
      </c>
      <c r="F211" s="48"/>
      <c r="G211" s="45">
        <v>5466715</v>
      </c>
      <c r="H211" s="48"/>
      <c r="I211" s="45">
        <v>232428</v>
      </c>
      <c r="J211" s="48"/>
      <c r="K211" s="45">
        <v>85658</v>
      </c>
      <c r="L211" s="48"/>
      <c r="M211" s="45">
        <v>490586</v>
      </c>
      <c r="N211" s="48"/>
      <c r="O211" s="45">
        <v>324015</v>
      </c>
      <c r="P211" s="48"/>
      <c r="Q211" s="45">
        <v>1692542</v>
      </c>
      <c r="R211" s="48"/>
      <c r="S211" s="45">
        <v>6080040</v>
      </c>
      <c r="T211" s="48"/>
      <c r="U211" s="45">
        <v>0</v>
      </c>
      <c r="V211" s="48"/>
      <c r="W211" s="48"/>
      <c r="X211" s="35"/>
      <c r="Z211" s="35"/>
      <c r="AA211" s="35"/>
      <c r="AB211" s="45">
        <v>137233</v>
      </c>
      <c r="AC211" s="65"/>
      <c r="AD211" s="45">
        <v>86604</v>
      </c>
      <c r="AE211" s="65"/>
      <c r="AF211" s="45">
        <v>0</v>
      </c>
      <c r="AG211" s="65"/>
      <c r="AH211" s="48">
        <f t="shared" si="9"/>
        <v>19137979</v>
      </c>
      <c r="AI211" s="48"/>
      <c r="AJ211" s="48">
        <v>0</v>
      </c>
      <c r="AK211" s="48"/>
      <c r="AL211" s="45">
        <v>2696376</v>
      </c>
      <c r="AM211" s="45"/>
      <c r="AN211" s="45">
        <v>7251319</v>
      </c>
      <c r="AO211" s="45"/>
      <c r="AP211" s="45">
        <v>2736</v>
      </c>
      <c r="AQ211" s="45"/>
      <c r="AR211" s="45">
        <f>+'GVFund Rev'!U211+'GVFund Rev'!W211-'GVFund Exp'!AH211-'GVFund Exp'!AL211+AJ211+AN211+AP211-'GV Fund BS'!S211</f>
        <v>0</v>
      </c>
      <c r="AS211" s="48"/>
    </row>
    <row r="212" spans="1:45" s="44" customFormat="1" ht="12.75" customHeight="1" x14ac:dyDescent="0.2">
      <c r="A212" s="35" t="s">
        <v>237</v>
      </c>
      <c r="C212" s="35" t="s">
        <v>33</v>
      </c>
      <c r="E212" s="45">
        <v>288467</v>
      </c>
      <c r="F212" s="48"/>
      <c r="G212" s="45">
        <v>972553</v>
      </c>
      <c r="H212" s="48"/>
      <c r="I212" s="45">
        <v>250665</v>
      </c>
      <c r="J212" s="48"/>
      <c r="K212" s="45">
        <v>32215</v>
      </c>
      <c r="L212" s="48"/>
      <c r="M212" s="45">
        <v>370912</v>
      </c>
      <c r="N212" s="48"/>
      <c r="O212" s="45">
        <v>299386</v>
      </c>
      <c r="P212" s="48"/>
      <c r="Q212" s="45">
        <v>0</v>
      </c>
      <c r="R212" s="48"/>
      <c r="S212" s="45">
        <v>580966</v>
      </c>
      <c r="T212" s="48"/>
      <c r="U212" s="45">
        <v>0</v>
      </c>
      <c r="V212" s="48"/>
      <c r="W212" s="48"/>
      <c r="X212" s="35"/>
      <c r="Z212" s="35"/>
      <c r="AA212" s="35"/>
      <c r="AB212" s="45">
        <v>125937</v>
      </c>
      <c r="AC212" s="65"/>
      <c r="AD212" s="45">
        <v>45108</v>
      </c>
      <c r="AE212" s="65"/>
      <c r="AF212" s="45">
        <v>0</v>
      </c>
      <c r="AG212" s="65"/>
      <c r="AH212" s="48">
        <f t="shared" si="9"/>
        <v>2966209</v>
      </c>
      <c r="AI212" s="48"/>
      <c r="AJ212" s="48">
        <v>0</v>
      </c>
      <c r="AK212" s="48"/>
      <c r="AL212" s="45">
        <v>844420</v>
      </c>
      <c r="AM212" s="45"/>
      <c r="AN212" s="45">
        <v>945333</v>
      </c>
      <c r="AO212" s="45"/>
      <c r="AP212" s="45">
        <v>0</v>
      </c>
      <c r="AQ212" s="45"/>
      <c r="AR212" s="45">
        <f>+'GVFund Rev'!U212+'GVFund Rev'!W212-'GVFund Exp'!AH212-'GVFund Exp'!AL212+AJ212+AN212+AP212-'GV Fund BS'!S212</f>
        <v>0</v>
      </c>
      <c r="AS212" s="48"/>
    </row>
    <row r="213" spans="1:45" s="44" customFormat="1" ht="12.75" customHeight="1" x14ac:dyDescent="0.2">
      <c r="A213" s="35" t="s">
        <v>238</v>
      </c>
      <c r="C213" s="35" t="s">
        <v>239</v>
      </c>
      <c r="E213" s="45">
        <v>856820</v>
      </c>
      <c r="F213" s="48"/>
      <c r="G213" s="45">
        <v>2948349</v>
      </c>
      <c r="H213" s="48"/>
      <c r="I213" s="45">
        <v>80291</v>
      </c>
      <c r="J213" s="48"/>
      <c r="K213" s="45">
        <v>58270</v>
      </c>
      <c r="L213" s="48"/>
      <c r="M213" s="45">
        <v>826801</v>
      </c>
      <c r="N213" s="48"/>
      <c r="O213" s="45">
        <v>265084</v>
      </c>
      <c r="P213" s="48"/>
      <c r="Q213" s="45">
        <v>0</v>
      </c>
      <c r="R213" s="48"/>
      <c r="S213" s="45">
        <v>1606400</v>
      </c>
      <c r="T213" s="48"/>
      <c r="U213" s="45">
        <v>0</v>
      </c>
      <c r="V213" s="48"/>
      <c r="W213" s="48"/>
      <c r="X213" s="35"/>
      <c r="Z213" s="35"/>
      <c r="AA213" s="35"/>
      <c r="AB213" s="45">
        <v>100000</v>
      </c>
      <c r="AC213" s="65"/>
      <c r="AD213" s="45">
        <v>14364</v>
      </c>
      <c r="AE213" s="65"/>
      <c r="AF213" s="45">
        <v>0</v>
      </c>
      <c r="AG213" s="65"/>
      <c r="AH213" s="48">
        <f t="shared" si="9"/>
        <v>6756379</v>
      </c>
      <c r="AI213" s="48"/>
      <c r="AJ213" s="48">
        <v>0</v>
      </c>
      <c r="AK213" s="48"/>
      <c r="AL213" s="45">
        <v>1114524</v>
      </c>
      <c r="AM213" s="45"/>
      <c r="AN213" s="45">
        <v>13317711</v>
      </c>
      <c r="AO213" s="45"/>
      <c r="AP213" s="45">
        <v>-7630</v>
      </c>
      <c r="AQ213" s="45"/>
      <c r="AR213" s="45">
        <f>+'GVFund Rev'!U213+'GVFund Rev'!W213-'GVFund Exp'!AH213-'GVFund Exp'!AL213+AJ213+AN213+AP213-'GV Fund BS'!S213</f>
        <v>0</v>
      </c>
      <c r="AS213" s="48"/>
    </row>
    <row r="214" spans="1:45" s="44" customFormat="1" ht="12.75" customHeight="1" x14ac:dyDescent="0.2">
      <c r="A214" s="35" t="s">
        <v>486</v>
      </c>
      <c r="C214" s="35" t="s">
        <v>249</v>
      </c>
      <c r="E214" s="45">
        <v>2754883</v>
      </c>
      <c r="F214" s="48"/>
      <c r="G214" s="45">
        <v>7408184</v>
      </c>
      <c r="H214" s="48"/>
      <c r="I214" s="45">
        <v>1137272</v>
      </c>
      <c r="J214" s="48"/>
      <c r="K214" s="45">
        <v>649477</v>
      </c>
      <c r="L214" s="48"/>
      <c r="M214" s="45">
        <v>5129288</v>
      </c>
      <c r="N214" s="48"/>
      <c r="O214" s="45">
        <v>685042</v>
      </c>
      <c r="P214" s="48"/>
      <c r="Q214" s="45">
        <v>0</v>
      </c>
      <c r="R214" s="48"/>
      <c r="S214" s="45">
        <v>5586811</v>
      </c>
      <c r="T214" s="48"/>
      <c r="U214" s="45">
        <v>0</v>
      </c>
      <c r="V214" s="48"/>
      <c r="W214" s="48"/>
      <c r="X214" s="35"/>
      <c r="Z214" s="35"/>
      <c r="AA214" s="35"/>
      <c r="AB214" s="45">
        <v>231646</v>
      </c>
      <c r="AC214" s="65"/>
      <c r="AD214" s="45">
        <v>267063</v>
      </c>
      <c r="AE214" s="65"/>
      <c r="AF214" s="45">
        <v>0</v>
      </c>
      <c r="AG214" s="65"/>
      <c r="AH214" s="48">
        <f t="shared" si="9"/>
        <v>23849666</v>
      </c>
      <c r="AI214" s="48"/>
      <c r="AJ214" s="48">
        <v>0</v>
      </c>
      <c r="AK214" s="48"/>
      <c r="AL214" s="45">
        <v>0</v>
      </c>
      <c r="AM214" s="45"/>
      <c r="AN214" s="45">
        <v>3335078</v>
      </c>
      <c r="AO214" s="45"/>
      <c r="AP214" s="45">
        <v>0</v>
      </c>
      <c r="AQ214" s="45"/>
      <c r="AR214" s="45">
        <f>+'GVFund Rev'!U214+'GVFund Rev'!W214-'GVFund Exp'!AH214-'GVFund Exp'!AL214+AJ214+AN214+AP214-'GV Fund BS'!S214</f>
        <v>0</v>
      </c>
      <c r="AS214" s="48"/>
    </row>
    <row r="215" spans="1:45" s="44" customFormat="1" ht="12.75" customHeight="1" x14ac:dyDescent="0.2">
      <c r="A215" s="35" t="s">
        <v>240</v>
      </c>
      <c r="C215" s="35" t="s">
        <v>13</v>
      </c>
      <c r="E215" s="45">
        <v>8016135</v>
      </c>
      <c r="F215" s="48"/>
      <c r="G215" s="45">
        <v>12993041</v>
      </c>
      <c r="H215" s="48"/>
      <c r="I215" s="45">
        <v>1055196</v>
      </c>
      <c r="J215" s="48"/>
      <c r="K215" s="45">
        <v>473722</v>
      </c>
      <c r="L215" s="48"/>
      <c r="M215" s="45">
        <v>2736071</v>
      </c>
      <c r="N215" s="48"/>
      <c r="O215" s="45">
        <v>1551330</v>
      </c>
      <c r="P215" s="48"/>
      <c r="Q215" s="45">
        <v>0</v>
      </c>
      <c r="R215" s="48"/>
      <c r="S215" s="45">
        <v>3300320</v>
      </c>
      <c r="T215" s="48"/>
      <c r="U215" s="45">
        <v>0</v>
      </c>
      <c r="V215" s="48"/>
      <c r="W215" s="48"/>
      <c r="X215" s="35"/>
      <c r="Z215" s="35"/>
      <c r="AA215" s="35"/>
      <c r="AB215" s="45">
        <v>894177</v>
      </c>
      <c r="AC215" s="65"/>
      <c r="AD215" s="45">
        <v>879409</v>
      </c>
      <c r="AE215" s="65"/>
      <c r="AF215" s="45">
        <v>0</v>
      </c>
      <c r="AG215" s="65"/>
      <c r="AH215" s="48">
        <f t="shared" si="9"/>
        <v>31899401</v>
      </c>
      <c r="AI215" s="48"/>
      <c r="AJ215" s="48">
        <v>0</v>
      </c>
      <c r="AK215" s="48"/>
      <c r="AL215" s="45">
        <f>7125000+1948887</f>
        <v>9073887</v>
      </c>
      <c r="AM215" s="45"/>
      <c r="AN215" s="45">
        <v>11126429</v>
      </c>
      <c r="AO215" s="45"/>
      <c r="AP215" s="45">
        <v>0</v>
      </c>
      <c r="AQ215" s="45"/>
      <c r="AR215" s="45">
        <f>+'GVFund Rev'!U215+'GVFund Rev'!W215-'GVFund Exp'!AH215-'GVFund Exp'!AL215+AJ215+AN215+AP215-'GV Fund BS'!S215</f>
        <v>0</v>
      </c>
      <c r="AS215" s="48"/>
    </row>
    <row r="216" spans="1:45" s="44" customFormat="1" ht="12.75" customHeight="1" x14ac:dyDescent="0.2">
      <c r="A216" s="35" t="s">
        <v>241</v>
      </c>
      <c r="C216" s="35" t="s">
        <v>22</v>
      </c>
      <c r="E216" s="45">
        <v>7530033</v>
      </c>
      <c r="F216" s="48"/>
      <c r="G216" s="45">
        <v>5851790</v>
      </c>
      <c r="H216" s="48"/>
      <c r="I216" s="45">
        <f>741205+300</f>
        <v>741505</v>
      </c>
      <c r="J216" s="48"/>
      <c r="K216" s="45">
        <v>44184</v>
      </c>
      <c r="L216" s="48"/>
      <c r="M216" s="45">
        <v>710066</v>
      </c>
      <c r="N216" s="48"/>
      <c r="O216" s="45">
        <v>546874</v>
      </c>
      <c r="P216" s="48"/>
      <c r="Q216" s="45">
        <v>824768</v>
      </c>
      <c r="R216" s="48"/>
      <c r="S216" s="45">
        <v>1585908</v>
      </c>
      <c r="T216" s="48"/>
      <c r="U216" s="45">
        <v>0</v>
      </c>
      <c r="V216" s="48"/>
      <c r="W216" s="48"/>
      <c r="X216" s="35"/>
      <c r="Z216" s="35"/>
      <c r="AA216" s="35"/>
      <c r="AB216" s="45">
        <v>774674</v>
      </c>
      <c r="AC216" s="65"/>
      <c r="AD216" s="45">
        <v>148430</v>
      </c>
      <c r="AE216" s="65"/>
      <c r="AF216" s="45">
        <v>0</v>
      </c>
      <c r="AG216" s="65"/>
      <c r="AH216" s="48">
        <f t="shared" si="9"/>
        <v>18758232</v>
      </c>
      <c r="AI216" s="48"/>
      <c r="AJ216" s="48">
        <v>0</v>
      </c>
      <c r="AK216" s="48"/>
      <c r="AL216" s="45">
        <v>97679</v>
      </c>
      <c r="AM216" s="45"/>
      <c r="AN216" s="45">
        <v>5962725</v>
      </c>
      <c r="AO216" s="45"/>
      <c r="AP216" s="45">
        <v>0</v>
      </c>
      <c r="AQ216" s="45"/>
      <c r="AR216" s="45">
        <f>+'GVFund Rev'!U216+'GVFund Rev'!W216-'GVFund Exp'!AH216-'GVFund Exp'!AL216+AJ216+AN216+AP216-'GV Fund BS'!S216</f>
        <v>0</v>
      </c>
      <c r="AS216" s="48"/>
    </row>
    <row r="217" spans="1:45" s="44" customFormat="1" ht="12.75" customHeight="1" x14ac:dyDescent="0.2">
      <c r="A217" s="35" t="s">
        <v>242</v>
      </c>
      <c r="C217" s="35" t="s">
        <v>27</v>
      </c>
      <c r="E217" s="45">
        <v>4684119</v>
      </c>
      <c r="F217" s="48"/>
      <c r="G217" s="45">
        <v>20322032</v>
      </c>
      <c r="H217" s="48"/>
      <c r="I217" s="45">
        <v>1716758</v>
      </c>
      <c r="J217" s="48"/>
      <c r="K217" s="45">
        <v>606142</v>
      </c>
      <c r="L217" s="48"/>
      <c r="M217" s="45">
        <v>13710377</v>
      </c>
      <c r="N217" s="48"/>
      <c r="O217" s="45">
        <v>5412647</v>
      </c>
      <c r="P217" s="48"/>
      <c r="Q217" s="45">
        <v>2076197</v>
      </c>
      <c r="R217" s="48"/>
      <c r="S217" s="45">
        <v>8128639</v>
      </c>
      <c r="T217" s="48"/>
      <c r="U217" s="45">
        <v>0</v>
      </c>
      <c r="V217" s="48"/>
      <c r="W217" s="48"/>
      <c r="X217" s="35"/>
      <c r="Z217" s="35"/>
      <c r="AA217" s="35"/>
      <c r="AB217" s="45">
        <v>2315000</v>
      </c>
      <c r="AC217" s="65"/>
      <c r="AD217" s="45">
        <v>2336917</v>
      </c>
      <c r="AE217" s="65"/>
      <c r="AF217" s="45">
        <f>241499+1499540</f>
        <v>1741039</v>
      </c>
      <c r="AG217" s="65"/>
      <c r="AH217" s="48">
        <f t="shared" si="9"/>
        <v>63049867</v>
      </c>
      <c r="AI217" s="48"/>
      <c r="AJ217" s="48">
        <v>0</v>
      </c>
      <c r="AK217" s="48"/>
      <c r="AL217" s="45">
        <f>13875000+15045506</f>
        <v>28920506</v>
      </c>
      <c r="AM217" s="45"/>
      <c r="AN217" s="45">
        <v>26283328</v>
      </c>
      <c r="AO217" s="45"/>
      <c r="AP217" s="45">
        <v>0</v>
      </c>
      <c r="AQ217" s="45"/>
      <c r="AR217" s="45">
        <f>+'GVFund Rev'!U217+'GVFund Rev'!W217-'GVFund Exp'!AH217-'GVFund Exp'!AL217+AJ217+AN217+AP217-'GV Fund BS'!S217</f>
        <v>0</v>
      </c>
      <c r="AS217" s="48"/>
    </row>
    <row r="218" spans="1:45" s="44" customFormat="1" ht="12.75" customHeight="1" x14ac:dyDescent="0.2">
      <c r="A218" s="35" t="s">
        <v>243</v>
      </c>
      <c r="C218" s="35" t="s">
        <v>163</v>
      </c>
      <c r="E218" s="45">
        <v>4603842</v>
      </c>
      <c r="F218" s="48"/>
      <c r="G218" s="45">
        <v>5555681</v>
      </c>
      <c r="H218" s="48"/>
      <c r="I218" s="45">
        <v>669167</v>
      </c>
      <c r="J218" s="48"/>
      <c r="K218" s="45">
        <v>122852</v>
      </c>
      <c r="L218" s="48"/>
      <c r="M218" s="45">
        <v>1930944</v>
      </c>
      <c r="N218" s="48"/>
      <c r="O218" s="45">
        <v>924426</v>
      </c>
      <c r="P218" s="48"/>
      <c r="Q218" s="45">
        <v>955594</v>
      </c>
      <c r="R218" s="48"/>
      <c r="S218" s="45">
        <v>4387672</v>
      </c>
      <c r="T218" s="48"/>
      <c r="U218" s="45">
        <v>0</v>
      </c>
      <c r="V218" s="48"/>
      <c r="W218" s="48"/>
      <c r="X218" s="35"/>
      <c r="Z218" s="35"/>
      <c r="AA218" s="35"/>
      <c r="AB218" s="45">
        <v>7591841</v>
      </c>
      <c r="AC218" s="65"/>
      <c r="AD218" s="45">
        <v>719848</v>
      </c>
      <c r="AE218" s="65"/>
      <c r="AF218" s="45">
        <v>0</v>
      </c>
      <c r="AG218" s="65"/>
      <c r="AH218" s="48">
        <f t="shared" si="9"/>
        <v>27461867</v>
      </c>
      <c r="AI218" s="48"/>
      <c r="AJ218" s="48">
        <v>0</v>
      </c>
      <c r="AK218" s="48"/>
      <c r="AL218" s="45">
        <f>9426775+1100294</f>
        <v>10527069</v>
      </c>
      <c r="AM218" s="45"/>
      <c r="AN218" s="45">
        <v>21580707</v>
      </c>
      <c r="AO218" s="45"/>
      <c r="AP218" s="45">
        <v>159815</v>
      </c>
      <c r="AQ218" s="45"/>
      <c r="AR218" s="45">
        <f>+'GVFund Rev'!U218+'GVFund Rev'!W218-'GVFund Exp'!AH218-'GVFund Exp'!AL218+AJ218+AN218+AP218-'GV Fund BS'!S218</f>
        <v>0</v>
      </c>
      <c r="AS218" s="48"/>
    </row>
    <row r="219" spans="1:45" s="44" customFormat="1" ht="12.75" customHeight="1" x14ac:dyDescent="0.2">
      <c r="A219" s="35" t="s">
        <v>244</v>
      </c>
      <c r="C219" s="35" t="s">
        <v>13</v>
      </c>
      <c r="E219" s="45">
        <v>3051404</v>
      </c>
      <c r="F219" s="48"/>
      <c r="G219" s="45">
        <f>3675245+38378+2474408</f>
        <v>6188031</v>
      </c>
      <c r="H219" s="48"/>
      <c r="I219" s="45">
        <v>277805</v>
      </c>
      <c r="J219" s="48"/>
      <c r="K219" s="45">
        <v>64500</v>
      </c>
      <c r="L219" s="48"/>
      <c r="M219" s="45">
        <v>1480892</v>
      </c>
      <c r="N219" s="48"/>
      <c r="O219" s="45">
        <v>1691805</v>
      </c>
      <c r="P219" s="48"/>
      <c r="Q219" s="45">
        <v>0</v>
      </c>
      <c r="R219" s="48"/>
      <c r="S219" s="45">
        <v>1639318</v>
      </c>
      <c r="T219" s="48"/>
      <c r="U219" s="45">
        <v>0</v>
      </c>
      <c r="V219" s="48"/>
      <c r="W219" s="48"/>
      <c r="X219" s="35"/>
      <c r="Z219" s="35"/>
      <c r="AA219" s="35"/>
      <c r="AB219" s="45">
        <v>781055</v>
      </c>
      <c r="AC219" s="65"/>
      <c r="AD219" s="45">
        <v>470975</v>
      </c>
      <c r="AE219" s="65"/>
      <c r="AF219" s="45">
        <v>0</v>
      </c>
      <c r="AG219" s="65"/>
      <c r="AH219" s="48">
        <f t="shared" si="9"/>
        <v>15645785</v>
      </c>
      <c r="AI219" s="48"/>
      <c r="AJ219" s="48">
        <v>0</v>
      </c>
      <c r="AK219" s="48"/>
      <c r="AL219" s="45">
        <v>3196000</v>
      </c>
      <c r="AM219" s="45"/>
      <c r="AN219" s="45">
        <v>6025805</v>
      </c>
      <c r="AO219" s="45"/>
      <c r="AP219" s="45">
        <v>0</v>
      </c>
      <c r="AQ219" s="45"/>
      <c r="AR219" s="45">
        <f>+'GVFund Rev'!U219+'GVFund Rev'!W219-'GVFund Exp'!AH219-'GVFund Exp'!AL219+AJ219+AN219+AP219-'GV Fund BS'!S220</f>
        <v>0</v>
      </c>
      <c r="AS219" s="48"/>
    </row>
    <row r="220" spans="1:45" s="44" customFormat="1" ht="12.75" customHeight="1" x14ac:dyDescent="0.2">
      <c r="A220" s="35" t="s">
        <v>245</v>
      </c>
      <c r="C220" s="35" t="s">
        <v>110</v>
      </c>
      <c r="E220" s="45">
        <v>2512510</v>
      </c>
      <c r="F220" s="48"/>
      <c r="G220" s="45">
        <v>6885622</v>
      </c>
      <c r="H220" s="48"/>
      <c r="I220" s="45">
        <f>539586+1975+33251</f>
        <v>574812</v>
      </c>
      <c r="J220" s="48"/>
      <c r="K220" s="45">
        <v>0</v>
      </c>
      <c r="L220" s="48"/>
      <c r="M220" s="45">
        <v>995622</v>
      </c>
      <c r="N220" s="48"/>
      <c r="O220" s="45">
        <v>416132</v>
      </c>
      <c r="P220" s="48"/>
      <c r="Q220" s="45">
        <v>0</v>
      </c>
      <c r="R220" s="48"/>
      <c r="S220" s="45">
        <v>521324</v>
      </c>
      <c r="T220" s="48"/>
      <c r="U220" s="45">
        <v>0</v>
      </c>
      <c r="V220" s="48"/>
      <c r="W220" s="48"/>
      <c r="X220" s="35"/>
      <c r="Z220" s="35"/>
      <c r="AA220" s="35"/>
      <c r="AB220" s="45">
        <v>172324</v>
      </c>
      <c r="AC220" s="65"/>
      <c r="AD220" s="45">
        <v>117415</v>
      </c>
      <c r="AE220" s="65"/>
      <c r="AF220" s="45">
        <v>0</v>
      </c>
      <c r="AG220" s="65"/>
      <c r="AH220" s="48">
        <f t="shared" si="9"/>
        <v>12195761</v>
      </c>
      <c r="AI220" s="48"/>
      <c r="AJ220" s="48">
        <v>0</v>
      </c>
      <c r="AK220" s="48"/>
      <c r="AL220" s="45">
        <v>1280474</v>
      </c>
      <c r="AM220" s="45"/>
      <c r="AN220" s="45">
        <v>3778545</v>
      </c>
      <c r="AO220" s="45"/>
      <c r="AP220" s="45">
        <v>-21670</v>
      </c>
      <c r="AQ220" s="45"/>
      <c r="AR220" s="45">
        <f>+'GVFund Rev'!U220+'GVFund Rev'!W220-'GVFund Exp'!AH220-'GVFund Exp'!AL220+AJ220+AN220+AP220-'GV Fund BS'!S221</f>
        <v>0</v>
      </c>
      <c r="AS220" s="48"/>
    </row>
    <row r="221" spans="1:45" s="44" customFormat="1" ht="12.75" customHeight="1" x14ac:dyDescent="0.2">
      <c r="A221" s="35" t="s">
        <v>246</v>
      </c>
      <c r="C221" s="35" t="s">
        <v>209</v>
      </c>
      <c r="E221" s="45">
        <v>1568282</v>
      </c>
      <c r="F221" s="48"/>
      <c r="G221" s="45">
        <v>3175914</v>
      </c>
      <c r="H221" s="48"/>
      <c r="I221" s="45">
        <v>260105</v>
      </c>
      <c r="J221" s="48"/>
      <c r="K221" s="45">
        <v>0</v>
      </c>
      <c r="L221" s="48"/>
      <c r="M221" s="45">
        <v>531100</v>
      </c>
      <c r="N221" s="48"/>
      <c r="O221" s="45">
        <v>778807</v>
      </c>
      <c r="P221" s="48"/>
      <c r="Q221" s="45">
        <v>208818</v>
      </c>
      <c r="R221" s="48"/>
      <c r="S221" s="45">
        <v>1346198</v>
      </c>
      <c r="T221" s="48"/>
      <c r="U221" s="45">
        <v>0</v>
      </c>
      <c r="V221" s="48"/>
      <c r="W221" s="48"/>
      <c r="X221" s="35"/>
      <c r="Z221" s="35"/>
      <c r="AA221" s="35"/>
      <c r="AB221" s="45">
        <v>930000</v>
      </c>
      <c r="AC221" s="65"/>
      <c r="AD221" s="45">
        <v>162268</v>
      </c>
      <c r="AE221" s="65"/>
      <c r="AF221" s="45">
        <v>0</v>
      </c>
      <c r="AG221" s="65"/>
      <c r="AH221" s="48">
        <f t="shared" si="9"/>
        <v>8961492</v>
      </c>
      <c r="AI221" s="48"/>
      <c r="AJ221" s="48">
        <v>0</v>
      </c>
      <c r="AK221" s="48"/>
      <c r="AL221" s="45">
        <v>1072573</v>
      </c>
      <c r="AM221" s="45"/>
      <c r="AN221" s="45">
        <v>4405724</v>
      </c>
      <c r="AO221" s="45"/>
      <c r="AP221" s="45">
        <v>20174</v>
      </c>
      <c r="AQ221" s="45"/>
      <c r="AR221" s="45">
        <f>+'GVFund Rev'!U221+'GVFund Rev'!W221-'GVFund Exp'!AH221-'GVFund Exp'!AL221+AJ221+AN221+AP221-'GV Fund BS'!S222</f>
        <v>0</v>
      </c>
      <c r="AS221" s="48"/>
    </row>
    <row r="222" spans="1:45" s="121" customFormat="1" ht="12.75" hidden="1" customHeight="1" x14ac:dyDescent="0.2">
      <c r="A222" s="126" t="s">
        <v>247</v>
      </c>
      <c r="C222" s="126" t="s">
        <v>163</v>
      </c>
      <c r="E222" s="127">
        <v>15923000</v>
      </c>
      <c r="F222" s="130"/>
      <c r="G222" s="127">
        <v>171920000</v>
      </c>
      <c r="H222" s="130"/>
      <c r="I222" s="127">
        <v>25808000</v>
      </c>
      <c r="J222" s="130"/>
      <c r="K222" s="127">
        <v>17344000</v>
      </c>
      <c r="L222" s="130"/>
      <c r="M222" s="127">
        <v>36599000</v>
      </c>
      <c r="N222" s="130"/>
      <c r="O222" s="127">
        <v>2791000</v>
      </c>
      <c r="P222" s="130"/>
      <c r="Q222" s="127">
        <v>7000</v>
      </c>
      <c r="R222" s="130"/>
      <c r="S222" s="127">
        <v>20738000</v>
      </c>
      <c r="T222" s="130"/>
      <c r="U222" s="127">
        <v>0</v>
      </c>
      <c r="V222" s="130"/>
      <c r="W222" s="130"/>
      <c r="X222" s="126"/>
      <c r="Z222" s="126"/>
      <c r="AA222" s="126"/>
      <c r="AB222" s="127">
        <v>17686000</v>
      </c>
      <c r="AC222" s="125"/>
      <c r="AD222" s="127">
        <v>12983000</v>
      </c>
      <c r="AE222" s="125"/>
      <c r="AF222" s="127">
        <v>0</v>
      </c>
      <c r="AG222" s="125"/>
      <c r="AH222" s="130">
        <f t="shared" si="9"/>
        <v>321799000</v>
      </c>
      <c r="AI222" s="130"/>
      <c r="AJ222" s="130">
        <v>0</v>
      </c>
      <c r="AK222" s="130"/>
      <c r="AL222" s="127">
        <v>67304000</v>
      </c>
      <c r="AM222" s="127"/>
      <c r="AN222" s="127">
        <v>-10074000</v>
      </c>
      <c r="AO222" s="127"/>
      <c r="AP222" s="127">
        <v>-518000</v>
      </c>
      <c r="AQ222" s="127"/>
      <c r="AR222" s="127">
        <f>+'GVFund Rev'!U222+'GVFund Rev'!W222-'GVFund Exp'!AH222-'GVFund Exp'!AL222+AJ222+AN222+AP222-'GV Fund BS'!S223</f>
        <v>0</v>
      </c>
      <c r="AS222" s="122" t="s">
        <v>513</v>
      </c>
    </row>
    <row r="223" spans="1:45" s="44" customFormat="1" ht="12.75" customHeight="1" x14ac:dyDescent="0.2">
      <c r="A223" s="35" t="s">
        <v>248</v>
      </c>
      <c r="C223" s="35" t="s">
        <v>249</v>
      </c>
      <c r="E223" s="45">
        <v>520857</v>
      </c>
      <c r="F223" s="48"/>
      <c r="G223" s="45">
        <v>1708970</v>
      </c>
      <c r="H223" s="48"/>
      <c r="I223" s="45">
        <v>357500</v>
      </c>
      <c r="J223" s="48"/>
      <c r="K223" s="45">
        <v>17910</v>
      </c>
      <c r="L223" s="48"/>
      <c r="M223" s="45">
        <v>357622</v>
      </c>
      <c r="N223" s="48"/>
      <c r="O223" s="45">
        <v>154123</v>
      </c>
      <c r="P223" s="48"/>
      <c r="Q223" s="45">
        <v>0</v>
      </c>
      <c r="R223" s="48"/>
      <c r="S223" s="45">
        <v>252483</v>
      </c>
      <c r="T223" s="48"/>
      <c r="U223" s="45">
        <v>0</v>
      </c>
      <c r="V223" s="48"/>
      <c r="W223" s="48"/>
      <c r="X223" s="35"/>
      <c r="Z223" s="35"/>
      <c r="AA223" s="35"/>
      <c r="AB223" s="45">
        <v>95772</v>
      </c>
      <c r="AC223" s="65"/>
      <c r="AD223" s="45">
        <v>11950</v>
      </c>
      <c r="AE223" s="65"/>
      <c r="AF223" s="45">
        <v>0</v>
      </c>
      <c r="AG223" s="65"/>
      <c r="AH223" s="48">
        <f t="shared" si="9"/>
        <v>3477187</v>
      </c>
      <c r="AI223" s="48"/>
      <c r="AJ223" s="48">
        <v>0</v>
      </c>
      <c r="AK223" s="48"/>
      <c r="AL223" s="45">
        <v>544750</v>
      </c>
      <c r="AM223" s="45"/>
      <c r="AN223" s="45">
        <v>1266394</v>
      </c>
      <c r="AO223" s="45"/>
      <c r="AP223" s="45">
        <v>0</v>
      </c>
      <c r="AQ223" s="45"/>
      <c r="AR223" s="45">
        <f>+'GVFund Rev'!U224+'GVFund Rev'!W224-'GVFund Exp'!AH223-'GVFund Exp'!AL223+AJ223+AN223+AP223-'GV Fund BS'!S224</f>
        <v>0</v>
      </c>
      <c r="AS223" s="48"/>
    </row>
    <row r="224" spans="1:45" s="46" customFormat="1" ht="12.75" customHeight="1" x14ac:dyDescent="0.2">
      <c r="A224" s="35" t="s">
        <v>250</v>
      </c>
      <c r="B224" s="44"/>
      <c r="C224" s="35" t="s">
        <v>103</v>
      </c>
      <c r="D224" s="44"/>
      <c r="E224" s="45">
        <v>368128</v>
      </c>
      <c r="F224" s="48"/>
      <c r="G224" s="45">
        <v>2483486</v>
      </c>
      <c r="H224" s="48"/>
      <c r="I224" s="45">
        <v>149217</v>
      </c>
      <c r="J224" s="48"/>
      <c r="K224" s="45">
        <v>53448</v>
      </c>
      <c r="L224" s="48"/>
      <c r="M224" s="45">
        <v>369565</v>
      </c>
      <c r="N224" s="48"/>
      <c r="O224" s="45">
        <v>69779</v>
      </c>
      <c r="P224" s="48"/>
      <c r="Q224" s="45">
        <v>47386</v>
      </c>
      <c r="R224" s="48"/>
      <c r="S224" s="45">
        <v>209069</v>
      </c>
      <c r="T224" s="48"/>
      <c r="U224" s="45">
        <v>0</v>
      </c>
      <c r="V224" s="48"/>
      <c r="W224" s="48"/>
      <c r="X224" s="35"/>
      <c r="Y224" s="44"/>
      <c r="Z224" s="35"/>
      <c r="AA224" s="35"/>
      <c r="AB224" s="45">
        <v>86627</v>
      </c>
      <c r="AC224" s="65"/>
      <c r="AD224" s="45">
        <v>16459</v>
      </c>
      <c r="AE224" s="65"/>
      <c r="AF224" s="45">
        <v>0</v>
      </c>
      <c r="AG224" s="65"/>
      <c r="AH224" s="48">
        <f t="shared" si="9"/>
        <v>3853164</v>
      </c>
      <c r="AI224" s="48"/>
      <c r="AJ224" s="48">
        <v>0</v>
      </c>
      <c r="AK224" s="48"/>
      <c r="AL224" s="45">
        <v>472705</v>
      </c>
      <c r="AM224" s="45"/>
      <c r="AN224" s="45">
        <v>2783707</v>
      </c>
      <c r="AO224" s="45"/>
      <c r="AP224" s="45">
        <v>0</v>
      </c>
      <c r="AQ224" s="45"/>
      <c r="AR224" s="45">
        <f>+'GVFund Rev'!U225+'GVFund Rev'!W225-'GVFund Exp'!AH224-'GVFund Exp'!AL224+AJ224+AN224+AP224-'GV Fund BS'!S225</f>
        <v>0</v>
      </c>
      <c r="AS224" s="48"/>
    </row>
    <row r="225" spans="1:46" s="44" customFormat="1" ht="12.75" customHeight="1" x14ac:dyDescent="0.2">
      <c r="A225" s="35" t="s">
        <v>251</v>
      </c>
      <c r="C225" s="35" t="s">
        <v>66</v>
      </c>
      <c r="E225" s="45">
        <v>2939192</v>
      </c>
      <c r="F225" s="48"/>
      <c r="G225" s="45">
        <v>8156930</v>
      </c>
      <c r="H225" s="48"/>
      <c r="I225" s="45">
        <v>1027674</v>
      </c>
      <c r="J225" s="48"/>
      <c r="K225" s="45">
        <v>0</v>
      </c>
      <c r="L225" s="48"/>
      <c r="M225" s="45">
        <v>1797058</v>
      </c>
      <c r="N225" s="48"/>
      <c r="O225" s="45">
        <v>340410</v>
      </c>
      <c r="P225" s="48"/>
      <c r="Q225" s="45">
        <v>0</v>
      </c>
      <c r="R225" s="48"/>
      <c r="S225" s="45">
        <v>1341925</v>
      </c>
      <c r="T225" s="48"/>
      <c r="U225" s="45">
        <v>0</v>
      </c>
      <c r="V225" s="48"/>
      <c r="W225" s="48"/>
      <c r="X225" s="35"/>
      <c r="Z225" s="35"/>
      <c r="AA225" s="35"/>
      <c r="AB225" s="45">
        <v>843569</v>
      </c>
      <c r="AC225" s="65"/>
      <c r="AD225" s="45">
        <v>697263</v>
      </c>
      <c r="AE225" s="65"/>
      <c r="AF225" s="45">
        <v>0</v>
      </c>
      <c r="AG225" s="65"/>
      <c r="AH225" s="48">
        <f t="shared" si="9"/>
        <v>17144021</v>
      </c>
      <c r="AI225" s="48"/>
      <c r="AJ225" s="48">
        <v>0</v>
      </c>
      <c r="AK225" s="48"/>
      <c r="AL225" s="45">
        <v>235910</v>
      </c>
      <c r="AM225" s="45"/>
      <c r="AN225" s="45">
        <v>1768399</v>
      </c>
      <c r="AO225" s="45"/>
      <c r="AP225" s="45">
        <v>0</v>
      </c>
      <c r="AQ225" s="45"/>
      <c r="AR225" s="45">
        <f>+'GVFund Rev'!U226+'GVFund Rev'!W226-'GVFund Exp'!AH225-'GVFund Exp'!AL225+AJ225+AN225+AP225-'GV Fund BS'!S226</f>
        <v>0</v>
      </c>
      <c r="AS225" s="48"/>
    </row>
    <row r="226" spans="1:46" s="44" customFormat="1" ht="12.75" customHeight="1" x14ac:dyDescent="0.2">
      <c r="A226" s="35" t="s">
        <v>252</v>
      </c>
      <c r="C226" s="35" t="s">
        <v>209</v>
      </c>
      <c r="E226" s="45">
        <v>4394047</v>
      </c>
      <c r="F226" s="48"/>
      <c r="G226" s="45">
        <v>9553157</v>
      </c>
      <c r="H226" s="48"/>
      <c r="I226" s="45">
        <v>943809</v>
      </c>
      <c r="J226" s="48"/>
      <c r="K226" s="45">
        <v>361014</v>
      </c>
      <c r="L226" s="48"/>
      <c r="M226" s="45">
        <v>2893547</v>
      </c>
      <c r="N226" s="48"/>
      <c r="O226" s="45">
        <v>1682768</v>
      </c>
      <c r="P226" s="48"/>
      <c r="Q226" s="45">
        <v>1062114</v>
      </c>
      <c r="R226" s="48"/>
      <c r="S226" s="45">
        <v>1662805</v>
      </c>
      <c r="T226" s="48"/>
      <c r="U226" s="45">
        <v>0</v>
      </c>
      <c r="V226" s="48"/>
      <c r="W226" s="48"/>
      <c r="X226" s="35"/>
      <c r="Z226" s="35"/>
      <c r="AA226" s="35"/>
      <c r="AB226" s="45">
        <v>495000</v>
      </c>
      <c r="AC226" s="65"/>
      <c r="AD226" s="45">
        <v>459813</v>
      </c>
      <c r="AE226" s="65"/>
      <c r="AF226" s="45">
        <v>38355</v>
      </c>
      <c r="AG226" s="65"/>
      <c r="AH226" s="48">
        <f t="shared" si="9"/>
        <v>23546429</v>
      </c>
      <c r="AI226" s="48"/>
      <c r="AJ226" s="48">
        <v>0</v>
      </c>
      <c r="AK226" s="48"/>
      <c r="AL226" s="45">
        <f>1955639+20050+3623270</f>
        <v>5598959</v>
      </c>
      <c r="AM226" s="45"/>
      <c r="AN226" s="45">
        <v>54230380</v>
      </c>
      <c r="AO226" s="45"/>
      <c r="AP226" s="45">
        <v>0</v>
      </c>
      <c r="AQ226" s="45"/>
      <c r="AR226" s="45">
        <f>+'GVFund Rev'!U227+'GVFund Rev'!W227-'GVFund Exp'!AH226-'GVFund Exp'!AL226+AJ226+AN226+AP226-'GV Fund BS'!S227</f>
        <v>0</v>
      </c>
      <c r="AS226" s="48"/>
    </row>
    <row r="227" spans="1:46" s="44" customFormat="1" ht="12.75" customHeight="1" x14ac:dyDescent="0.2">
      <c r="A227" s="35" t="s">
        <v>253</v>
      </c>
      <c r="C227" s="35" t="s">
        <v>13</v>
      </c>
      <c r="E227" s="45">
        <v>4795606</v>
      </c>
      <c r="F227" s="48"/>
      <c r="G227" s="45">
        <v>6862438</v>
      </c>
      <c r="H227" s="48"/>
      <c r="I227" s="45">
        <v>1236221</v>
      </c>
      <c r="J227" s="48"/>
      <c r="K227" s="45">
        <v>0</v>
      </c>
      <c r="L227" s="48"/>
      <c r="M227" s="45">
        <v>5150130</v>
      </c>
      <c r="N227" s="48"/>
      <c r="O227" s="45">
        <v>2018923</v>
      </c>
      <c r="P227" s="48"/>
      <c r="Q227" s="45">
        <v>121068</v>
      </c>
      <c r="R227" s="48"/>
      <c r="S227" s="45">
        <v>874448</v>
      </c>
      <c r="T227" s="48"/>
      <c r="U227" s="45">
        <v>0</v>
      </c>
      <c r="V227" s="48"/>
      <c r="W227" s="48"/>
      <c r="X227" s="35"/>
      <c r="Z227" s="35"/>
      <c r="AA227" s="35"/>
      <c r="AB227" s="45">
        <v>2123241</v>
      </c>
      <c r="AC227" s="65"/>
      <c r="AD227" s="45">
        <v>795033</v>
      </c>
      <c r="AE227" s="65"/>
      <c r="AF227" s="45">
        <v>6325</v>
      </c>
      <c r="AG227" s="65"/>
      <c r="AH227" s="48">
        <f t="shared" si="9"/>
        <v>23983433</v>
      </c>
      <c r="AI227" s="48"/>
      <c r="AJ227" s="48">
        <v>0</v>
      </c>
      <c r="AK227" s="48"/>
      <c r="AL227" s="45">
        <f>3455405+8351547</f>
        <v>11806952</v>
      </c>
      <c r="AM227" s="45"/>
      <c r="AN227" s="45">
        <v>22227873</v>
      </c>
      <c r="AO227" s="45"/>
      <c r="AP227" s="45">
        <v>0</v>
      </c>
      <c r="AQ227" s="45"/>
      <c r="AR227" s="45">
        <f>+'GVFund Rev'!U228+'GVFund Rev'!W228-'GVFund Exp'!AH227-'GVFund Exp'!AL227+AJ227+AN227+AP227-'GV Fund BS'!S228</f>
        <v>0</v>
      </c>
      <c r="AS227" s="48"/>
    </row>
    <row r="228" spans="1:46" s="46" customFormat="1" ht="12.75" customHeight="1" x14ac:dyDescent="0.2">
      <c r="A228" s="35" t="s">
        <v>254</v>
      </c>
      <c r="B228" s="44"/>
      <c r="C228" s="35" t="s">
        <v>89</v>
      </c>
      <c r="D228" s="44"/>
      <c r="E228" s="45">
        <v>558602</v>
      </c>
      <c r="F228" s="48"/>
      <c r="G228" s="45">
        <v>1391205</v>
      </c>
      <c r="H228" s="48"/>
      <c r="I228" s="45">
        <v>15016</v>
      </c>
      <c r="J228" s="48"/>
      <c r="K228" s="45">
        <v>126570</v>
      </c>
      <c r="L228" s="48"/>
      <c r="M228" s="45">
        <v>459971</v>
      </c>
      <c r="N228" s="48"/>
      <c r="O228" s="45">
        <v>58530</v>
      </c>
      <c r="P228" s="48"/>
      <c r="Q228" s="45">
        <v>0</v>
      </c>
      <c r="R228" s="48"/>
      <c r="S228" s="45">
        <v>258970</v>
      </c>
      <c r="T228" s="48"/>
      <c r="U228" s="45">
        <v>0</v>
      </c>
      <c r="V228" s="48"/>
      <c r="W228" s="48"/>
      <c r="X228" s="35"/>
      <c r="Y228" s="44"/>
      <c r="Z228" s="35"/>
      <c r="AA228" s="35"/>
      <c r="AB228" s="45">
        <v>265106</v>
      </c>
      <c r="AC228" s="65"/>
      <c r="AD228" s="45">
        <v>70997</v>
      </c>
      <c r="AE228" s="65"/>
      <c r="AF228" s="45">
        <v>0</v>
      </c>
      <c r="AG228" s="65"/>
      <c r="AH228" s="48">
        <f t="shared" si="9"/>
        <v>3204967</v>
      </c>
      <c r="AI228" s="48"/>
      <c r="AJ228" s="48">
        <v>0</v>
      </c>
      <c r="AK228" s="48"/>
      <c r="AL228" s="45">
        <v>287849</v>
      </c>
      <c r="AM228" s="45"/>
      <c r="AN228" s="45">
        <v>1317385</v>
      </c>
      <c r="AO228" s="45"/>
      <c r="AP228" s="45">
        <v>0</v>
      </c>
      <c r="AQ228" s="45"/>
      <c r="AR228" s="45">
        <f>+'GVFund Rev'!U229+'GVFund Rev'!W229-'GVFund Exp'!AH228-'GVFund Exp'!AL228+AJ228+AN228+AP228-'GV Fund BS'!S229</f>
        <v>0</v>
      </c>
      <c r="AS228" s="48"/>
    </row>
    <row r="229" spans="1:46" s="44" customFormat="1" ht="12.75" customHeight="1" x14ac:dyDescent="0.2">
      <c r="A229" s="35" t="s">
        <v>159</v>
      </c>
      <c r="C229" s="35" t="s">
        <v>66</v>
      </c>
      <c r="E229" s="45">
        <v>717731</v>
      </c>
      <c r="F229" s="48"/>
      <c r="G229" s="45">
        <v>1604638</v>
      </c>
      <c r="H229" s="48"/>
      <c r="I229" s="45">
        <v>495725</v>
      </c>
      <c r="J229" s="48"/>
      <c r="K229" s="45">
        <v>13595</v>
      </c>
      <c r="L229" s="48"/>
      <c r="M229" s="45">
        <v>488387</v>
      </c>
      <c r="N229" s="48"/>
      <c r="O229" s="45">
        <v>86694</v>
      </c>
      <c r="P229" s="48"/>
      <c r="Q229" s="45">
        <v>0</v>
      </c>
      <c r="R229" s="48"/>
      <c r="S229" s="45">
        <v>808023</v>
      </c>
      <c r="T229" s="48"/>
      <c r="U229" s="45">
        <v>0</v>
      </c>
      <c r="V229" s="48"/>
      <c r="W229" s="48"/>
      <c r="X229" s="35"/>
      <c r="Z229" s="35"/>
      <c r="AA229" s="35"/>
      <c r="AB229" s="45">
        <v>195558</v>
      </c>
      <c r="AC229" s="65"/>
      <c r="AD229" s="45">
        <v>72354</v>
      </c>
      <c r="AE229" s="65"/>
      <c r="AF229" s="45">
        <v>0</v>
      </c>
      <c r="AG229" s="65"/>
      <c r="AH229" s="48">
        <f t="shared" si="9"/>
        <v>4482705</v>
      </c>
      <c r="AI229" s="48"/>
      <c r="AJ229" s="48">
        <v>0</v>
      </c>
      <c r="AK229" s="48"/>
      <c r="AL229" s="45">
        <v>135759</v>
      </c>
      <c r="AM229" s="45"/>
      <c r="AN229" s="45">
        <v>1459008</v>
      </c>
      <c r="AO229" s="45"/>
      <c r="AP229" s="45">
        <v>0</v>
      </c>
      <c r="AQ229" s="45"/>
      <c r="AR229" s="45">
        <f>+'GVFund Rev'!U230+'GVFund Rev'!W230-'GVFund Exp'!AH229-'GVFund Exp'!AL229+AJ229+AN229+AP229-'GV Fund BS'!S230</f>
        <v>0</v>
      </c>
      <c r="AS229" s="48"/>
    </row>
    <row r="230" spans="1:46" s="44" customFormat="1" ht="12.75" customHeight="1" x14ac:dyDescent="0.2">
      <c r="A230" s="35" t="s">
        <v>255</v>
      </c>
      <c r="C230" s="35" t="s">
        <v>27</v>
      </c>
      <c r="E230" s="45">
        <v>1538564</v>
      </c>
      <c r="F230" s="48"/>
      <c r="G230" s="45">
        <v>7805717</v>
      </c>
      <c r="H230" s="48"/>
      <c r="I230" s="45">
        <v>3902807</v>
      </c>
      <c r="J230" s="48"/>
      <c r="K230" s="45">
        <v>52410</v>
      </c>
      <c r="L230" s="48"/>
      <c r="M230" s="45">
        <v>1023249</v>
      </c>
      <c r="N230" s="48"/>
      <c r="O230" s="45">
        <v>316300</v>
      </c>
      <c r="P230" s="48"/>
      <c r="Q230" s="45">
        <v>3106228</v>
      </c>
      <c r="R230" s="48"/>
      <c r="S230" s="45">
        <v>464922</v>
      </c>
      <c r="T230" s="48"/>
      <c r="U230" s="45">
        <v>0</v>
      </c>
      <c r="V230" s="48"/>
      <c r="W230" s="48"/>
      <c r="X230" s="35"/>
      <c r="Z230" s="35"/>
      <c r="AA230" s="35"/>
      <c r="AB230" s="45">
        <v>3173356</v>
      </c>
      <c r="AC230" s="65"/>
      <c r="AD230" s="45">
        <v>98953</v>
      </c>
      <c r="AE230" s="65"/>
      <c r="AF230" s="45">
        <v>0</v>
      </c>
      <c r="AG230" s="65"/>
      <c r="AH230" s="48">
        <f t="shared" si="9"/>
        <v>21482506</v>
      </c>
      <c r="AI230" s="48"/>
      <c r="AJ230" s="48">
        <v>0</v>
      </c>
      <c r="AK230" s="48"/>
      <c r="AL230" s="45">
        <v>3911254</v>
      </c>
      <c r="AM230" s="45"/>
      <c r="AN230" s="45">
        <v>3604703</v>
      </c>
      <c r="AO230" s="45"/>
      <c r="AP230" s="45">
        <v>0</v>
      </c>
      <c r="AQ230" s="45"/>
      <c r="AR230" s="45">
        <f>+'GVFund Rev'!U231+'GVFund Rev'!W231-'GVFund Exp'!AH230-'GVFund Exp'!AL230+AJ230+AN230+AP230-'GV Fund BS'!S231</f>
        <v>0</v>
      </c>
      <c r="AS230" s="158"/>
      <c r="AT230" s="158"/>
    </row>
    <row r="231" spans="1:46" s="44" customFormat="1" ht="12.75" customHeight="1" x14ac:dyDescent="0.2">
      <c r="A231" s="35" t="s">
        <v>256</v>
      </c>
      <c r="C231" s="35" t="s">
        <v>43</v>
      </c>
      <c r="E231" s="45">
        <v>7556768</v>
      </c>
      <c r="F231" s="48"/>
      <c r="G231" s="45">
        <v>15783657</v>
      </c>
      <c r="H231" s="48"/>
      <c r="I231" s="45">
        <v>956177</v>
      </c>
      <c r="J231" s="48"/>
      <c r="K231" s="45">
        <v>0</v>
      </c>
      <c r="L231" s="48"/>
      <c r="M231" s="45">
        <v>0</v>
      </c>
      <c r="N231" s="48"/>
      <c r="O231" s="45">
        <v>3017111</v>
      </c>
      <c r="P231" s="48"/>
      <c r="Q231" s="45">
        <v>2913048</v>
      </c>
      <c r="R231" s="48"/>
      <c r="S231" s="45">
        <v>16094858</v>
      </c>
      <c r="T231" s="48"/>
      <c r="U231" s="45">
        <v>0</v>
      </c>
      <c r="V231" s="48"/>
      <c r="W231" s="48"/>
      <c r="X231" s="35"/>
      <c r="Z231" s="35"/>
      <c r="AA231" s="35"/>
      <c r="AB231" s="45">
        <v>2480000</v>
      </c>
      <c r="AC231" s="65"/>
      <c r="AD231" s="45">
        <v>1743346</v>
      </c>
      <c r="AE231" s="65"/>
      <c r="AF231" s="45">
        <v>131450</v>
      </c>
      <c r="AG231" s="65"/>
      <c r="AH231" s="48">
        <f t="shared" si="9"/>
        <v>50676415</v>
      </c>
      <c r="AI231" s="48"/>
      <c r="AJ231" s="48">
        <v>0</v>
      </c>
      <c r="AK231" s="48"/>
      <c r="AL231" s="45">
        <f>5035633+6151391</f>
        <v>11187024</v>
      </c>
      <c r="AM231" s="45"/>
      <c r="AN231" s="45">
        <v>53315408</v>
      </c>
      <c r="AO231" s="45"/>
      <c r="AP231" s="45">
        <v>0</v>
      </c>
      <c r="AQ231" s="45"/>
      <c r="AR231" s="45">
        <f>+'GVFund Rev'!U232+'GVFund Rev'!W232-'GVFund Exp'!AH231-'GVFund Exp'!AL231+AJ231+AN231+AP231-'GV Fund BS'!S232</f>
        <v>0</v>
      </c>
      <c r="AS231" s="48"/>
    </row>
    <row r="232" spans="1:46" s="44" customFormat="1" ht="12.75" customHeight="1" x14ac:dyDescent="0.2">
      <c r="A232" s="35" t="s">
        <v>257</v>
      </c>
      <c r="C232" s="35" t="s">
        <v>258</v>
      </c>
      <c r="E232" s="45">
        <f>766656+783013</f>
        <v>1549669</v>
      </c>
      <c r="F232" s="48"/>
      <c r="G232" s="45">
        <v>1966783</v>
      </c>
      <c r="H232" s="48"/>
      <c r="I232" s="45">
        <v>61651</v>
      </c>
      <c r="J232" s="48"/>
      <c r="K232" s="45">
        <v>37437</v>
      </c>
      <c r="L232" s="48"/>
      <c r="M232" s="45">
        <v>528918</v>
      </c>
      <c r="N232" s="48"/>
      <c r="O232" s="45">
        <v>395529</v>
      </c>
      <c r="P232" s="48"/>
      <c r="Q232" s="45">
        <v>213716</v>
      </c>
      <c r="R232" s="48"/>
      <c r="S232" s="45">
        <v>329661</v>
      </c>
      <c r="T232" s="48"/>
      <c r="U232" s="45">
        <v>0</v>
      </c>
      <c r="V232" s="48"/>
      <c r="W232" s="48"/>
      <c r="X232" s="35"/>
      <c r="Z232" s="35"/>
      <c r="AA232" s="35"/>
      <c r="AB232" s="45">
        <v>520224</v>
      </c>
      <c r="AC232" s="65"/>
      <c r="AD232" s="45">
        <v>241216</v>
      </c>
      <c r="AE232" s="65"/>
      <c r="AF232" s="45">
        <v>0</v>
      </c>
      <c r="AG232" s="65"/>
      <c r="AH232" s="48">
        <f t="shared" si="9"/>
        <v>5844804</v>
      </c>
      <c r="AI232" s="48"/>
      <c r="AJ232" s="48">
        <v>0</v>
      </c>
      <c r="AK232" s="48"/>
      <c r="AL232" s="45">
        <v>231930</v>
      </c>
      <c r="AM232" s="45"/>
      <c r="AN232" s="45">
        <v>1458180</v>
      </c>
      <c r="AO232" s="45"/>
      <c r="AP232" s="45">
        <v>16092</v>
      </c>
      <c r="AQ232" s="45"/>
      <c r="AR232" s="45">
        <f>+'GVFund Rev'!U233+'GVFund Rev'!W233-'GVFund Exp'!AH232-'GVFund Exp'!AL232+AJ232+AN232+AP232-'GV Fund BS'!S233</f>
        <v>0</v>
      </c>
      <c r="AS232" s="48"/>
    </row>
    <row r="233" spans="1:46" s="44" customFormat="1" ht="12.75" customHeight="1" x14ac:dyDescent="0.2">
      <c r="A233" s="35" t="s">
        <v>259</v>
      </c>
      <c r="C233" s="35" t="s">
        <v>346</v>
      </c>
      <c r="E233" s="45">
        <v>1862344</v>
      </c>
      <c r="F233" s="48"/>
      <c r="G233" s="45">
        <v>4873257</v>
      </c>
      <c r="H233" s="48"/>
      <c r="I233" s="45">
        <v>809239</v>
      </c>
      <c r="J233" s="48"/>
      <c r="K233" s="45">
        <v>237672</v>
      </c>
      <c r="L233" s="48"/>
      <c r="M233" s="45">
        <v>1153352</v>
      </c>
      <c r="N233" s="48"/>
      <c r="O233" s="45">
        <v>267898</v>
      </c>
      <c r="P233" s="48"/>
      <c r="Q233" s="45">
        <v>0</v>
      </c>
      <c r="R233" s="48"/>
      <c r="S233" s="45">
        <v>2919873</v>
      </c>
      <c r="T233" s="48"/>
      <c r="U233" s="45">
        <v>0</v>
      </c>
      <c r="V233" s="48"/>
      <c r="W233" s="48"/>
      <c r="X233" s="35"/>
      <c r="Z233" s="35"/>
      <c r="AA233" s="35"/>
      <c r="AB233" s="45">
        <v>396297</v>
      </c>
      <c r="AC233" s="65"/>
      <c r="AD233" s="45">
        <v>139415</v>
      </c>
      <c r="AE233" s="65"/>
      <c r="AF233" s="45">
        <v>0</v>
      </c>
      <c r="AG233" s="65"/>
      <c r="AH233" s="48">
        <f t="shared" si="9"/>
        <v>12659347</v>
      </c>
      <c r="AI233" s="48"/>
      <c r="AJ233" s="48">
        <v>0</v>
      </c>
      <c r="AK233" s="48"/>
      <c r="AL233" s="45">
        <v>278500</v>
      </c>
      <c r="AM233" s="45"/>
      <c r="AN233" s="45">
        <v>4686039</v>
      </c>
      <c r="AO233" s="45"/>
      <c r="AP233" s="45">
        <v>0</v>
      </c>
      <c r="AQ233" s="45"/>
      <c r="AR233" s="45">
        <f>+'GVFund Rev'!U234+'GVFund Rev'!W234-'GVFund Exp'!AH233-'GVFund Exp'!AL233+AJ233+AN233+AP233-'GV Fund BS'!S234</f>
        <v>0</v>
      </c>
      <c r="AS233" s="48"/>
    </row>
    <row r="234" spans="1:46" s="44" customFormat="1" ht="12.75" customHeight="1" x14ac:dyDescent="0.2">
      <c r="A234" s="35" t="s">
        <v>261</v>
      </c>
      <c r="C234" s="35" t="s">
        <v>66</v>
      </c>
      <c r="E234" s="45">
        <f>3552392+1858203</f>
        <v>5410595</v>
      </c>
      <c r="F234" s="48"/>
      <c r="G234" s="45">
        <f>4554416+1754450</f>
        <v>6308866</v>
      </c>
      <c r="H234" s="48"/>
      <c r="I234" s="45">
        <v>0</v>
      </c>
      <c r="J234" s="48"/>
      <c r="K234" s="45">
        <v>0</v>
      </c>
      <c r="L234" s="48"/>
      <c r="M234" s="45">
        <f>1135550+1718751</f>
        <v>2854301</v>
      </c>
      <c r="N234" s="48"/>
      <c r="O234" s="45">
        <v>3500732</v>
      </c>
      <c r="P234" s="48"/>
      <c r="Q234" s="45">
        <v>863750</v>
      </c>
      <c r="R234" s="48"/>
      <c r="S234" s="45">
        <v>3042512</v>
      </c>
      <c r="T234" s="48"/>
      <c r="U234" s="45">
        <v>27280</v>
      </c>
      <c r="V234" s="48"/>
      <c r="W234" s="48"/>
      <c r="X234" s="35"/>
      <c r="Z234" s="35"/>
      <c r="AA234" s="35"/>
      <c r="AB234" s="45">
        <v>963819</v>
      </c>
      <c r="AC234" s="65"/>
      <c r="AD234" s="45">
        <v>615444</v>
      </c>
      <c r="AE234" s="65"/>
      <c r="AF234" s="45">
        <v>0</v>
      </c>
      <c r="AG234" s="65"/>
      <c r="AH234" s="48">
        <f t="shared" si="9"/>
        <v>23587299</v>
      </c>
      <c r="AI234" s="48"/>
      <c r="AJ234" s="48">
        <v>0</v>
      </c>
      <c r="AK234" s="48"/>
      <c r="AL234" s="45">
        <v>2561151</v>
      </c>
      <c r="AM234" s="45"/>
      <c r="AN234" s="45">
        <v>17917889</v>
      </c>
      <c r="AO234" s="45"/>
      <c r="AP234" s="45">
        <v>0</v>
      </c>
      <c r="AQ234" s="45"/>
      <c r="AR234" s="45">
        <f>+'GVFund Rev'!U235+'GVFund Rev'!W235-'GVFund Exp'!AH234-'GVFund Exp'!AL234+AJ234+AN234+AP234-'GV Fund BS'!S235</f>
        <v>0</v>
      </c>
      <c r="AS234" s="48"/>
    </row>
    <row r="235" spans="1:46" s="44" customFormat="1" ht="12.75" customHeight="1" x14ac:dyDescent="0.2">
      <c r="A235" s="35" t="s">
        <v>262</v>
      </c>
      <c r="C235" s="35" t="s">
        <v>132</v>
      </c>
      <c r="E235" s="45">
        <v>2221156</v>
      </c>
      <c r="F235" s="48"/>
      <c r="G235" s="45">
        <f>2505704+237833</f>
        <v>2743537</v>
      </c>
      <c r="H235" s="48"/>
      <c r="I235" s="45">
        <v>351108</v>
      </c>
      <c r="J235" s="48"/>
      <c r="K235" s="45">
        <v>91601</v>
      </c>
      <c r="L235" s="48"/>
      <c r="M235" s="45">
        <v>1240991</v>
      </c>
      <c r="N235" s="48"/>
      <c r="O235" s="45">
        <v>255051</v>
      </c>
      <c r="P235" s="48"/>
      <c r="Q235" s="45">
        <v>1075663</v>
      </c>
      <c r="R235" s="48"/>
      <c r="S235" s="45">
        <v>134805</v>
      </c>
      <c r="T235" s="48"/>
      <c r="U235" s="45">
        <v>0</v>
      </c>
      <c r="V235" s="48"/>
      <c r="W235" s="48"/>
      <c r="X235" s="35"/>
      <c r="Z235" s="35"/>
      <c r="AA235" s="35"/>
      <c r="AB235" s="45">
        <v>3001074</v>
      </c>
      <c r="AC235" s="65"/>
      <c r="AD235" s="45">
        <v>181313</v>
      </c>
      <c r="AE235" s="65"/>
      <c r="AF235" s="45">
        <v>0</v>
      </c>
      <c r="AG235" s="65"/>
      <c r="AH235" s="48">
        <f t="shared" si="9"/>
        <v>11296299</v>
      </c>
      <c r="AI235" s="48"/>
      <c r="AJ235" s="48">
        <v>0</v>
      </c>
      <c r="AK235" s="48"/>
      <c r="AL235" s="45">
        <v>748154</v>
      </c>
      <c r="AM235" s="45"/>
      <c r="AN235" s="45">
        <v>4529639</v>
      </c>
      <c r="AO235" s="45"/>
      <c r="AP235" s="45">
        <v>0</v>
      </c>
      <c r="AQ235" s="45"/>
      <c r="AR235" s="45">
        <f>+'GVFund Rev'!U236+'GVFund Rev'!W236-'GVFund Exp'!AH235-'GVFund Exp'!AL235+AJ235+AN235+AP235-'GV Fund BS'!S236</f>
        <v>0</v>
      </c>
      <c r="AS235" s="48"/>
    </row>
    <row r="236" spans="1:46" s="44" customFormat="1" ht="12.75" customHeight="1" x14ac:dyDescent="0.2">
      <c r="A236" s="44" t="s">
        <v>512</v>
      </c>
      <c r="B236" s="47"/>
      <c r="C236" s="44" t="s">
        <v>45</v>
      </c>
      <c r="E236" s="45">
        <v>1664214</v>
      </c>
      <c r="F236" s="48"/>
      <c r="G236" s="45">
        <v>4401254</v>
      </c>
      <c r="H236" s="48"/>
      <c r="I236" s="45">
        <v>1535431</v>
      </c>
      <c r="J236" s="48"/>
      <c r="K236" s="45">
        <v>115858</v>
      </c>
      <c r="L236" s="48"/>
      <c r="M236" s="45">
        <v>1410408</v>
      </c>
      <c r="N236" s="48"/>
      <c r="O236" s="45">
        <v>1012532</v>
      </c>
      <c r="P236" s="48"/>
      <c r="Q236" s="45">
        <v>0</v>
      </c>
      <c r="R236" s="48"/>
      <c r="S236" s="45">
        <v>607946</v>
      </c>
      <c r="T236" s="48"/>
      <c r="U236" s="45">
        <v>0</v>
      </c>
      <c r="V236" s="48"/>
      <c r="W236" s="48"/>
      <c r="X236" s="35"/>
      <c r="Z236" s="35"/>
      <c r="AA236" s="35"/>
      <c r="AB236" s="45">
        <v>0</v>
      </c>
      <c r="AC236" s="65"/>
      <c r="AD236" s="45">
        <v>616025</v>
      </c>
      <c r="AE236" s="65"/>
      <c r="AF236" s="45">
        <v>99463</v>
      </c>
      <c r="AG236" s="65"/>
      <c r="AH236" s="48">
        <f t="shared" si="9"/>
        <v>11463131</v>
      </c>
      <c r="AI236" s="48"/>
      <c r="AJ236" s="48"/>
      <c r="AK236" s="48"/>
      <c r="AL236" s="45">
        <v>1531978</v>
      </c>
      <c r="AM236" s="45"/>
      <c r="AN236" s="45">
        <v>13957799</v>
      </c>
      <c r="AO236" s="45"/>
      <c r="AP236" s="45">
        <v>173257</v>
      </c>
      <c r="AQ236" s="45"/>
      <c r="AR236" s="45">
        <f>+'GVFund Rev'!U237+'GVFund Rev'!W237-'GVFund Exp'!AH236-'GVFund Exp'!AL236+AJ236+AN236+AP236-'GV Fund BS'!S237</f>
        <v>0</v>
      </c>
      <c r="AS236" s="48"/>
    </row>
    <row r="237" spans="1:46" s="44" customFormat="1" ht="12.75" customHeight="1" x14ac:dyDescent="0.2">
      <c r="A237" s="35" t="s">
        <v>263</v>
      </c>
      <c r="C237" s="35" t="s">
        <v>53</v>
      </c>
      <c r="E237" s="45">
        <v>3277952</v>
      </c>
      <c r="F237" s="48"/>
      <c r="G237" s="45">
        <v>5986941</v>
      </c>
      <c r="H237" s="48"/>
      <c r="I237" s="45">
        <v>655562</v>
      </c>
      <c r="J237" s="48"/>
      <c r="K237" s="45">
        <v>105402</v>
      </c>
      <c r="L237" s="48"/>
      <c r="M237" s="45">
        <v>2698700</v>
      </c>
      <c r="N237" s="48"/>
      <c r="O237" s="45">
        <v>1461356</v>
      </c>
      <c r="P237" s="48"/>
      <c r="Q237" s="45">
        <v>200224</v>
      </c>
      <c r="R237" s="48"/>
      <c r="S237" s="45">
        <v>925826</v>
      </c>
      <c r="T237" s="48"/>
      <c r="U237" s="45">
        <v>0</v>
      </c>
      <c r="V237" s="48"/>
      <c r="W237" s="48"/>
      <c r="X237" s="35"/>
      <c r="Z237" s="35"/>
      <c r="AA237" s="35"/>
      <c r="AB237" s="45">
        <v>197254</v>
      </c>
      <c r="AC237" s="65"/>
      <c r="AD237" s="45">
        <v>785044</v>
      </c>
      <c r="AE237" s="65"/>
      <c r="AF237" s="45">
        <v>0</v>
      </c>
      <c r="AG237" s="65"/>
      <c r="AH237" s="48">
        <f t="shared" si="9"/>
        <v>16294261</v>
      </c>
      <c r="AI237" s="48"/>
      <c r="AJ237" s="48">
        <v>0</v>
      </c>
      <c r="AK237" s="48"/>
      <c r="AL237" s="45">
        <v>6880048</v>
      </c>
      <c r="AM237" s="45"/>
      <c r="AN237" s="45">
        <v>20703167</v>
      </c>
      <c r="AO237" s="45"/>
      <c r="AP237" s="45">
        <v>0</v>
      </c>
      <c r="AQ237" s="45"/>
      <c r="AR237" s="45">
        <f>+'GVFund Rev'!U238+'GVFund Rev'!W238-'GVFund Exp'!AH237-'GVFund Exp'!AL237+AJ237+AN237+AP237-'GV Fund BS'!S238</f>
        <v>0</v>
      </c>
      <c r="AS237" s="48"/>
    </row>
    <row r="238" spans="1:46" s="44" customFormat="1" ht="12.75" customHeight="1" x14ac:dyDescent="0.2">
      <c r="A238" s="35" t="s">
        <v>264</v>
      </c>
      <c r="C238" s="35" t="s">
        <v>239</v>
      </c>
      <c r="E238" s="45">
        <v>489958</v>
      </c>
      <c r="F238" s="48"/>
      <c r="G238" s="45">
        <f>1569832+1283633+8166</f>
        <v>2861631</v>
      </c>
      <c r="H238" s="48"/>
      <c r="I238" s="45">
        <v>111158</v>
      </c>
      <c r="J238" s="48"/>
      <c r="K238" s="45">
        <v>147474</v>
      </c>
      <c r="L238" s="48"/>
      <c r="M238" s="45">
        <v>1635535</v>
      </c>
      <c r="N238" s="48"/>
      <c r="O238" s="45">
        <v>452069</v>
      </c>
      <c r="P238" s="48"/>
      <c r="Q238" s="45">
        <v>0</v>
      </c>
      <c r="R238" s="48"/>
      <c r="S238" s="45">
        <v>0</v>
      </c>
      <c r="T238" s="48"/>
      <c r="U238" s="45">
        <v>0</v>
      </c>
      <c r="V238" s="48"/>
      <c r="W238" s="48"/>
      <c r="X238" s="35"/>
      <c r="Z238" s="35"/>
      <c r="AA238" s="35"/>
      <c r="AB238" s="45">
        <v>376099</v>
      </c>
      <c r="AC238" s="65"/>
      <c r="AD238" s="45">
        <v>41045</v>
      </c>
      <c r="AE238" s="65"/>
      <c r="AF238" s="45">
        <v>0</v>
      </c>
      <c r="AG238" s="65"/>
      <c r="AH238" s="48">
        <f t="shared" si="9"/>
        <v>6114969</v>
      </c>
      <c r="AI238" s="48"/>
      <c r="AJ238" s="48">
        <v>0</v>
      </c>
      <c r="AK238" s="48"/>
      <c r="AL238" s="45">
        <v>1502000</v>
      </c>
      <c r="AM238" s="45"/>
      <c r="AN238" s="45">
        <v>6099835</v>
      </c>
      <c r="AO238" s="45"/>
      <c r="AP238" s="45">
        <v>0</v>
      </c>
      <c r="AQ238" s="45"/>
      <c r="AR238" s="45">
        <f>+'GVFund Rev'!U239+'GVFund Rev'!W239-'GVFund Exp'!AH238-'GVFund Exp'!AL238+AJ238+AN238+AP238-'GV Fund BS'!S239</f>
        <v>0</v>
      </c>
      <c r="AS238" s="48"/>
    </row>
    <row r="239" spans="1:46" s="44" customFormat="1" ht="12.75" customHeight="1" x14ac:dyDescent="0.2">
      <c r="A239" s="35" t="s">
        <v>111</v>
      </c>
      <c r="C239" s="44" t="s">
        <v>80</v>
      </c>
      <c r="E239" s="45">
        <v>7387486</v>
      </c>
      <c r="F239" s="48"/>
      <c r="G239" s="45">
        <v>16783776</v>
      </c>
      <c r="H239" s="48"/>
      <c r="I239" s="45">
        <f>1770245+3500283</f>
        <v>5270528</v>
      </c>
      <c r="J239" s="48"/>
      <c r="K239" s="45">
        <v>621583</v>
      </c>
      <c r="L239" s="48"/>
      <c r="M239" s="45">
        <v>1584939</v>
      </c>
      <c r="N239" s="48"/>
      <c r="O239" s="45">
        <v>456404</v>
      </c>
      <c r="P239" s="48"/>
      <c r="Q239" s="45">
        <v>0</v>
      </c>
      <c r="R239" s="48"/>
      <c r="S239" s="45">
        <v>2379047</v>
      </c>
      <c r="T239" s="48"/>
      <c r="U239" s="45">
        <v>0</v>
      </c>
      <c r="V239" s="48"/>
      <c r="W239" s="48"/>
      <c r="X239" s="35"/>
      <c r="Z239" s="35"/>
      <c r="AA239" s="35"/>
      <c r="AB239" s="45">
        <v>1342926</v>
      </c>
      <c r="AC239" s="65"/>
      <c r="AD239" s="45">
        <v>277837</v>
      </c>
      <c r="AE239" s="65"/>
      <c r="AF239" s="45">
        <v>0</v>
      </c>
      <c r="AG239" s="65"/>
      <c r="AH239" s="48">
        <f t="shared" si="9"/>
        <v>36104526</v>
      </c>
      <c r="AI239" s="48"/>
      <c r="AJ239" s="48">
        <v>0</v>
      </c>
      <c r="AK239" s="48"/>
      <c r="AL239" s="45">
        <v>684894</v>
      </c>
      <c r="AM239" s="45"/>
      <c r="AN239" s="45">
        <v>15454784</v>
      </c>
      <c r="AO239" s="45"/>
      <c r="AP239" s="45">
        <v>0</v>
      </c>
      <c r="AQ239" s="45"/>
      <c r="AR239" s="45">
        <f>+'GVFund Rev'!U240+'GVFund Rev'!W240-'GVFund Exp'!AH239-'GVFund Exp'!AL239+AJ239+AN239+AP239-'GV Fund BS'!S240</f>
        <v>0</v>
      </c>
      <c r="AS239" s="48"/>
    </row>
    <row r="240" spans="1:46" s="44" customFormat="1" ht="12.75" customHeight="1" x14ac:dyDescent="0.2">
      <c r="A240" s="35" t="s">
        <v>265</v>
      </c>
      <c r="C240" s="44" t="s">
        <v>27</v>
      </c>
      <c r="E240" s="45">
        <v>3264306</v>
      </c>
      <c r="F240" s="48"/>
      <c r="G240" s="45">
        <f>5445407+4063276</f>
        <v>9508683</v>
      </c>
      <c r="H240" s="48"/>
      <c r="I240" s="45">
        <v>882581</v>
      </c>
      <c r="J240" s="48"/>
      <c r="K240" s="45">
        <v>55903</v>
      </c>
      <c r="L240" s="48"/>
      <c r="M240" s="45">
        <v>1739710</v>
      </c>
      <c r="N240" s="48"/>
      <c r="O240" s="45">
        <v>227370</v>
      </c>
      <c r="P240" s="48"/>
      <c r="Q240" s="45">
        <v>995680</v>
      </c>
      <c r="R240" s="48"/>
      <c r="S240" s="45">
        <v>7233855</v>
      </c>
      <c r="T240" s="48"/>
      <c r="U240" s="45">
        <v>0</v>
      </c>
      <c r="V240" s="48"/>
      <c r="W240" s="48"/>
      <c r="X240" s="35"/>
      <c r="Z240" s="35"/>
      <c r="AA240" s="35"/>
      <c r="AB240" s="45">
        <v>4030000</v>
      </c>
      <c r="AC240" s="65"/>
      <c r="AD240" s="45">
        <f>491367+86600</f>
        <v>577967</v>
      </c>
      <c r="AE240" s="65"/>
      <c r="AF240" s="45">
        <v>0</v>
      </c>
      <c r="AG240" s="65"/>
      <c r="AH240" s="48">
        <f t="shared" si="9"/>
        <v>28516055</v>
      </c>
      <c r="AI240" s="48"/>
      <c r="AJ240" s="48">
        <v>0</v>
      </c>
      <c r="AK240" s="48"/>
      <c r="AL240" s="45">
        <f>8935060+1617682</f>
        <v>10552742</v>
      </c>
      <c r="AM240" s="45"/>
      <c r="AN240" s="45">
        <v>333486</v>
      </c>
      <c r="AO240" s="45"/>
      <c r="AP240" s="45">
        <v>0</v>
      </c>
      <c r="AQ240" s="45"/>
      <c r="AR240" s="45">
        <f>+'GVFund Rev'!U241+'GVFund Rev'!W241-'GVFund Exp'!AH240-'GVFund Exp'!AL240+AJ240+AN240+AP240-'GV Fund BS'!S241</f>
        <v>0</v>
      </c>
      <c r="AS240" s="48"/>
    </row>
    <row r="241" spans="1:45" s="44" customFormat="1" ht="12.75" customHeight="1" x14ac:dyDescent="0.2">
      <c r="A241" s="35" t="s">
        <v>514</v>
      </c>
      <c r="C241" s="47" t="s">
        <v>451</v>
      </c>
      <c r="E241" s="45">
        <v>2720155</v>
      </c>
      <c r="F241" s="48"/>
      <c r="G241" s="45">
        <v>3979201</v>
      </c>
      <c r="H241" s="48"/>
      <c r="I241" s="45">
        <v>1738530</v>
      </c>
      <c r="J241" s="48"/>
      <c r="K241" s="45">
        <v>331620</v>
      </c>
      <c r="L241" s="48"/>
      <c r="M241" s="45">
        <v>951836</v>
      </c>
      <c r="N241" s="48"/>
      <c r="O241" s="45">
        <v>67232</v>
      </c>
      <c r="P241" s="48"/>
      <c r="Q241" s="45">
        <v>0</v>
      </c>
      <c r="R241" s="48"/>
      <c r="S241" s="45">
        <v>680122</v>
      </c>
      <c r="T241" s="48"/>
      <c r="U241" s="45">
        <v>0</v>
      </c>
      <c r="V241" s="48"/>
      <c r="W241" s="48"/>
      <c r="X241" s="35"/>
      <c r="Z241" s="35"/>
      <c r="AA241" s="35"/>
      <c r="AB241" s="45">
        <v>2224718</v>
      </c>
      <c r="AC241" s="65"/>
      <c r="AD241" s="45">
        <f>69260+624856</f>
        <v>694116</v>
      </c>
      <c r="AE241" s="65"/>
      <c r="AF241" s="45">
        <v>0</v>
      </c>
      <c r="AG241" s="65"/>
      <c r="AH241" s="48">
        <f t="shared" si="9"/>
        <v>13387530</v>
      </c>
      <c r="AI241" s="48"/>
      <c r="AJ241" s="48">
        <v>0</v>
      </c>
      <c r="AK241" s="48"/>
      <c r="AL241" s="45">
        <f>455000+277361</f>
        <v>732361</v>
      </c>
      <c r="AM241" s="45"/>
      <c r="AN241" s="45">
        <v>3752720</v>
      </c>
      <c r="AO241" s="45"/>
      <c r="AP241" s="45">
        <v>0</v>
      </c>
      <c r="AQ241" s="45"/>
      <c r="AR241" s="45">
        <f>+'GVFund Rev'!U242+'GVFund Rev'!W242-'GVFund Exp'!AH241-'GVFund Exp'!AL241+AJ241+AN241+AP241-'GV Fund BS'!S242</f>
        <v>0</v>
      </c>
      <c r="AS241" s="48"/>
    </row>
    <row r="242" spans="1:45" s="44" customFormat="1" ht="12.75" customHeight="1" x14ac:dyDescent="0.2">
      <c r="A242" s="44" t="s">
        <v>515</v>
      </c>
      <c r="B242" s="47"/>
      <c r="C242" s="44" t="s">
        <v>163</v>
      </c>
      <c r="E242" s="45">
        <v>998444</v>
      </c>
      <c r="F242" s="48"/>
      <c r="G242" s="45">
        <f>1149511+364916+77819</f>
        <v>1592246</v>
      </c>
      <c r="H242" s="48"/>
      <c r="I242" s="45">
        <v>146211</v>
      </c>
      <c r="J242" s="48"/>
      <c r="K242" s="45">
        <v>0</v>
      </c>
      <c r="L242" s="48"/>
      <c r="M242" s="45">
        <v>1081230</v>
      </c>
      <c r="N242" s="48"/>
      <c r="O242" s="45">
        <v>81117</v>
      </c>
      <c r="P242" s="48"/>
      <c r="Q242" s="45">
        <v>265851</v>
      </c>
      <c r="R242" s="48"/>
      <c r="S242" s="45">
        <v>0</v>
      </c>
      <c r="T242" s="48"/>
      <c r="U242" s="45">
        <v>0</v>
      </c>
      <c r="V242" s="48"/>
      <c r="W242" s="48"/>
      <c r="X242" s="35"/>
      <c r="Z242" s="35"/>
      <c r="AA242" s="35"/>
      <c r="AB242" s="45">
        <f>145910+2596625</f>
        <v>2742535</v>
      </c>
      <c r="AC242" s="65"/>
      <c r="AD242" s="45">
        <v>158276</v>
      </c>
      <c r="AE242" s="65"/>
      <c r="AF242" s="45">
        <v>0</v>
      </c>
      <c r="AG242" s="65"/>
      <c r="AH242" s="48">
        <f t="shared" ref="AH242" si="10">SUM(E242:AF242)</f>
        <v>7065910</v>
      </c>
      <c r="AI242" s="48"/>
      <c r="AJ242" s="48">
        <v>0</v>
      </c>
      <c r="AK242" s="48"/>
      <c r="AL242" s="45">
        <v>200000</v>
      </c>
      <c r="AM242" s="45"/>
      <c r="AN242" s="45">
        <v>1532997</v>
      </c>
      <c r="AO242" s="45"/>
      <c r="AP242" s="45">
        <v>0</v>
      </c>
      <c r="AQ242" s="45"/>
      <c r="AR242" s="45">
        <f>+'GVFund Rev'!U243+'GVFund Rev'!W243-'GVFund Exp'!AH242-'GVFund Exp'!AL242+AJ242+AN242+AP242-'GV Fund BS'!S243</f>
        <v>0</v>
      </c>
      <c r="AS242" s="48"/>
    </row>
    <row r="243" spans="1:45" s="44" customFormat="1" ht="12.75" customHeight="1" x14ac:dyDescent="0.2">
      <c r="A243" s="64" t="s">
        <v>266</v>
      </c>
      <c r="B243" s="46"/>
      <c r="C243" s="64" t="s">
        <v>267</v>
      </c>
      <c r="D243" s="46"/>
      <c r="E243" s="45">
        <v>583271</v>
      </c>
      <c r="F243" s="48"/>
      <c r="G243" s="45">
        <v>2314703</v>
      </c>
      <c r="H243" s="48"/>
      <c r="I243" s="45">
        <v>267149</v>
      </c>
      <c r="J243" s="48"/>
      <c r="K243" s="45">
        <v>0</v>
      </c>
      <c r="L243" s="48"/>
      <c r="M243" s="45">
        <v>617136</v>
      </c>
      <c r="N243" s="48"/>
      <c r="O243" s="45">
        <v>412750</v>
      </c>
      <c r="P243" s="48"/>
      <c r="Q243" s="45">
        <v>23520</v>
      </c>
      <c r="R243" s="48"/>
      <c r="S243" s="45">
        <v>639369</v>
      </c>
      <c r="T243" s="48"/>
      <c r="U243" s="45">
        <v>0</v>
      </c>
      <c r="V243" s="48"/>
      <c r="W243" s="48"/>
      <c r="X243" s="35"/>
      <c r="Z243" s="35"/>
      <c r="AA243" s="35"/>
      <c r="AB243" s="45">
        <v>3155000</v>
      </c>
      <c r="AC243" s="65"/>
      <c r="AD243" s="45">
        <v>167817</v>
      </c>
      <c r="AE243" s="65"/>
      <c r="AF243" s="45">
        <v>0</v>
      </c>
      <c r="AG243" s="65"/>
      <c r="AH243" s="48">
        <f t="shared" si="9"/>
        <v>8180715</v>
      </c>
      <c r="AI243" s="48"/>
      <c r="AJ243" s="48">
        <v>0</v>
      </c>
      <c r="AK243" s="48"/>
      <c r="AL243" s="45">
        <f>51535+700000</f>
        <v>751535</v>
      </c>
      <c r="AM243" s="45"/>
      <c r="AN243" s="45">
        <v>4105452</v>
      </c>
      <c r="AO243" s="45"/>
      <c r="AP243" s="45">
        <v>-9347</v>
      </c>
      <c r="AQ243" s="45"/>
      <c r="AR243" s="45">
        <f>+'GVFund Rev'!U244+'GVFund Rev'!W244-'GVFund Exp'!AH243-'GVFund Exp'!AL243+AJ243+AN243+AP243-'GV Fund BS'!S244</f>
        <v>0</v>
      </c>
      <c r="AS243" s="48"/>
    </row>
    <row r="244" spans="1:45" s="46" customFormat="1" ht="12.75" customHeight="1" x14ac:dyDescent="0.2">
      <c r="A244" s="35" t="s">
        <v>268</v>
      </c>
      <c r="B244" s="44"/>
      <c r="C244" s="35" t="s">
        <v>269</v>
      </c>
      <c r="D244" s="44"/>
      <c r="E244" s="45">
        <v>843285</v>
      </c>
      <c r="F244" s="48"/>
      <c r="G244" s="45">
        <v>1376574</v>
      </c>
      <c r="H244" s="48"/>
      <c r="I244" s="45">
        <v>0</v>
      </c>
      <c r="J244" s="48"/>
      <c r="K244" s="45">
        <v>1470</v>
      </c>
      <c r="L244" s="48"/>
      <c r="M244" s="45">
        <v>543464</v>
      </c>
      <c r="N244" s="48"/>
      <c r="O244" s="45">
        <v>82919</v>
      </c>
      <c r="P244" s="48"/>
      <c r="Q244" s="45">
        <v>0</v>
      </c>
      <c r="R244" s="48"/>
      <c r="S244" s="45">
        <v>9191</v>
      </c>
      <c r="T244" s="48"/>
      <c r="U244" s="45">
        <v>0</v>
      </c>
      <c r="V244" s="48"/>
      <c r="W244" s="48"/>
      <c r="X244" s="35"/>
      <c r="Y244" s="44"/>
      <c r="Z244" s="35"/>
      <c r="AA244" s="35"/>
      <c r="AB244" s="45">
        <v>930702</v>
      </c>
      <c r="AC244" s="65"/>
      <c r="AD244" s="45">
        <v>32798</v>
      </c>
      <c r="AE244" s="65"/>
      <c r="AF244" s="45">
        <v>0</v>
      </c>
      <c r="AG244" s="65"/>
      <c r="AH244" s="48">
        <f t="shared" si="9"/>
        <v>3820403</v>
      </c>
      <c r="AI244" s="48"/>
      <c r="AJ244" s="48">
        <v>0</v>
      </c>
      <c r="AK244" s="48"/>
      <c r="AL244" s="45">
        <v>1079556</v>
      </c>
      <c r="AM244" s="45"/>
      <c r="AN244" s="45">
        <v>1487022</v>
      </c>
      <c r="AO244" s="45"/>
      <c r="AP244" s="45">
        <v>0</v>
      </c>
      <c r="AQ244" s="45"/>
      <c r="AR244" s="45">
        <f>+'GVFund Rev'!U245+'GVFund Rev'!W245-'GVFund Exp'!AH244-'GVFund Exp'!AL244+AJ244+AN244+AP244-'GV Fund BS'!S245</f>
        <v>0</v>
      </c>
      <c r="AS244" s="48"/>
    </row>
    <row r="245" spans="1:45" s="44" customFormat="1" ht="12.75" customHeight="1" x14ac:dyDescent="0.2">
      <c r="A245" s="35" t="s">
        <v>270</v>
      </c>
      <c r="C245" s="35" t="s">
        <v>136</v>
      </c>
      <c r="E245" s="45">
        <v>655152</v>
      </c>
      <c r="F245" s="48"/>
      <c r="G245" s="45">
        <v>1282224</v>
      </c>
      <c r="H245" s="48"/>
      <c r="I245" s="45">
        <v>326018</v>
      </c>
      <c r="J245" s="48"/>
      <c r="K245" s="45">
        <v>27342</v>
      </c>
      <c r="L245" s="48"/>
      <c r="M245" s="45">
        <v>288247</v>
      </c>
      <c r="N245" s="48"/>
      <c r="O245" s="45">
        <v>2248</v>
      </c>
      <c r="P245" s="48"/>
      <c r="Q245" s="45">
        <v>0</v>
      </c>
      <c r="R245" s="48"/>
      <c r="S245" s="45">
        <v>0</v>
      </c>
      <c r="T245" s="48"/>
      <c r="U245" s="45">
        <v>0</v>
      </c>
      <c r="V245" s="48"/>
      <c r="W245" s="48"/>
      <c r="X245" s="35"/>
      <c r="Z245" s="35"/>
      <c r="AA245" s="35"/>
      <c r="AB245" s="45">
        <v>77404</v>
      </c>
      <c r="AC245" s="65"/>
      <c r="AD245" s="45">
        <v>7791</v>
      </c>
      <c r="AE245" s="65"/>
      <c r="AF245" s="45">
        <v>0</v>
      </c>
      <c r="AG245" s="65"/>
      <c r="AH245" s="48">
        <f t="shared" si="9"/>
        <v>2666426</v>
      </c>
      <c r="AI245" s="48"/>
      <c r="AJ245" s="48">
        <v>0</v>
      </c>
      <c r="AK245" s="48"/>
      <c r="AL245" s="45">
        <v>76383</v>
      </c>
      <c r="AM245" s="45"/>
      <c r="AN245" s="45">
        <v>3679203</v>
      </c>
      <c r="AO245" s="45"/>
      <c r="AP245" s="45">
        <v>0</v>
      </c>
      <c r="AQ245" s="45"/>
      <c r="AR245" s="45">
        <f>+'GVFund Rev'!U246+'GVFund Rev'!W246-'GVFund Exp'!AH245-'GVFund Exp'!AL245+AJ245+AN245+AP245-'GV Fund BS'!S246</f>
        <v>0</v>
      </c>
      <c r="AS245" s="48"/>
    </row>
    <row r="246" spans="1:45" s="44" customFormat="1" ht="12.75" customHeight="1" x14ac:dyDescent="0.2">
      <c r="A246" s="64" t="s">
        <v>271</v>
      </c>
      <c r="B246" s="46"/>
      <c r="C246" s="64" t="s">
        <v>66</v>
      </c>
      <c r="D246" s="46"/>
      <c r="E246" s="45">
        <v>871530</v>
      </c>
      <c r="F246" s="48"/>
      <c r="G246" s="45">
        <v>5193435</v>
      </c>
      <c r="H246" s="48"/>
      <c r="I246" s="45">
        <v>2082011</v>
      </c>
      <c r="J246" s="48"/>
      <c r="K246" s="45">
        <v>0</v>
      </c>
      <c r="L246" s="48"/>
      <c r="M246" s="45">
        <v>1026392</v>
      </c>
      <c r="N246" s="48"/>
      <c r="O246" s="45">
        <v>778698</v>
      </c>
      <c r="P246" s="48"/>
      <c r="Q246" s="45">
        <v>0</v>
      </c>
      <c r="R246" s="48"/>
      <c r="S246" s="45">
        <v>0</v>
      </c>
      <c r="T246" s="48"/>
      <c r="U246" s="45">
        <v>0</v>
      </c>
      <c r="V246" s="48"/>
      <c r="W246" s="48"/>
      <c r="X246" s="35"/>
      <c r="Z246" s="35"/>
      <c r="AA246" s="35"/>
      <c r="AB246" s="45">
        <v>335000</v>
      </c>
      <c r="AC246" s="65"/>
      <c r="AD246" s="45">
        <v>189180</v>
      </c>
      <c r="AE246" s="65"/>
      <c r="AF246" s="45">
        <v>0</v>
      </c>
      <c r="AG246" s="65"/>
      <c r="AH246" s="48">
        <f t="shared" si="9"/>
        <v>10476246</v>
      </c>
      <c r="AI246" s="48"/>
      <c r="AJ246" s="48">
        <v>0</v>
      </c>
      <c r="AK246" s="48"/>
      <c r="AL246" s="45">
        <v>1997461</v>
      </c>
      <c r="AM246" s="45"/>
      <c r="AN246" s="45">
        <v>3150553</v>
      </c>
      <c r="AO246" s="45"/>
      <c r="AP246" s="45">
        <v>0</v>
      </c>
      <c r="AQ246" s="45"/>
      <c r="AR246" s="45">
        <f>+'GVFund Rev'!U247+'GVFund Rev'!W247-'GVFund Exp'!AH246-'GVFund Exp'!AL246+AJ246+AN246+AP246-'GV Fund BS'!S247</f>
        <v>0</v>
      </c>
      <c r="AS246" s="48"/>
    </row>
    <row r="247" spans="1:45" s="44" customFormat="1" ht="12.75" customHeight="1" x14ac:dyDescent="0.2">
      <c r="A247" s="35" t="s">
        <v>272</v>
      </c>
      <c r="C247" s="35" t="s">
        <v>43</v>
      </c>
      <c r="E247" s="45">
        <v>13938717</v>
      </c>
      <c r="F247" s="48"/>
      <c r="G247" s="45">
        <v>26969586</v>
      </c>
      <c r="H247" s="48"/>
      <c r="I247" s="45">
        <v>2685053</v>
      </c>
      <c r="J247" s="48"/>
      <c r="K247" s="45">
        <v>179322</v>
      </c>
      <c r="L247" s="48"/>
      <c r="M247" s="45">
        <v>2154857</v>
      </c>
      <c r="N247" s="48"/>
      <c r="O247" s="45">
        <v>8636282</v>
      </c>
      <c r="P247" s="48"/>
      <c r="Q247" s="45">
        <v>651873</v>
      </c>
      <c r="R247" s="48"/>
      <c r="S247" s="45">
        <v>17857481</v>
      </c>
      <c r="T247" s="48"/>
      <c r="U247" s="45">
        <v>0</v>
      </c>
      <c r="V247" s="48"/>
      <c r="W247" s="48"/>
      <c r="X247" s="35"/>
      <c r="Z247" s="35"/>
      <c r="AA247" s="35"/>
      <c r="AB247" s="45">
        <v>2605740</v>
      </c>
      <c r="AC247" s="65"/>
      <c r="AD247" s="45">
        <f>1126843+49305</f>
        <v>1176148</v>
      </c>
      <c r="AE247" s="65"/>
      <c r="AF247" s="45">
        <v>0</v>
      </c>
      <c r="AG247" s="65"/>
      <c r="AH247" s="48">
        <f t="shared" si="9"/>
        <v>76855059</v>
      </c>
      <c r="AI247" s="48"/>
      <c r="AJ247" s="48">
        <v>0</v>
      </c>
      <c r="AK247" s="48"/>
      <c r="AL247" s="45">
        <v>10207324</v>
      </c>
      <c r="AM247" s="45"/>
      <c r="AN247" s="45">
        <v>48644977</v>
      </c>
      <c r="AO247" s="45"/>
      <c r="AP247" s="45">
        <v>0</v>
      </c>
      <c r="AQ247" s="45"/>
      <c r="AR247" s="45">
        <f>+'GVFund Rev'!U248+'GVFund Rev'!W248-'GVFund Exp'!AH247-'GVFund Exp'!AL247+AJ247+AN247+AP247-'GV Fund BS'!S248</f>
        <v>0</v>
      </c>
      <c r="AS247" s="48"/>
    </row>
    <row r="248" spans="1:45" s="44" customFormat="1" ht="12.75" customHeight="1" x14ac:dyDescent="0.2">
      <c r="A248" s="35" t="s">
        <v>273</v>
      </c>
      <c r="C248" s="35" t="s">
        <v>27</v>
      </c>
      <c r="E248" s="45">
        <v>7438860</v>
      </c>
      <c r="F248" s="48"/>
      <c r="G248" s="45">
        <v>13899297</v>
      </c>
      <c r="H248" s="48"/>
      <c r="I248" s="45">
        <v>1700116</v>
      </c>
      <c r="J248" s="48"/>
      <c r="K248" s="45">
        <v>1017728</v>
      </c>
      <c r="L248" s="48"/>
      <c r="M248" s="45">
        <v>6607706</v>
      </c>
      <c r="N248" s="48"/>
      <c r="O248" s="45">
        <v>3016611</v>
      </c>
      <c r="P248" s="48"/>
      <c r="Q248" s="45">
        <v>704210</v>
      </c>
      <c r="R248" s="48"/>
      <c r="S248" s="45">
        <v>9016405</v>
      </c>
      <c r="T248" s="48"/>
      <c r="U248" s="45">
        <v>0</v>
      </c>
      <c r="V248" s="48"/>
      <c r="W248" s="48"/>
      <c r="X248" s="35"/>
      <c r="Z248" s="35"/>
      <c r="AA248" s="35"/>
      <c r="AB248" s="45">
        <v>9077169</v>
      </c>
      <c r="AC248" s="65"/>
      <c r="AD248" s="45">
        <f>812377+130110</f>
        <v>942487</v>
      </c>
      <c r="AE248" s="65"/>
      <c r="AF248" s="45">
        <v>0</v>
      </c>
      <c r="AG248" s="65"/>
      <c r="AH248" s="48">
        <f t="shared" si="9"/>
        <v>53420589</v>
      </c>
      <c r="AI248" s="48"/>
      <c r="AJ248" s="48">
        <v>0</v>
      </c>
      <c r="AK248" s="48"/>
      <c r="AL248" s="45">
        <v>1242799</v>
      </c>
      <c r="AM248" s="45"/>
      <c r="AN248" s="45">
        <v>61515359</v>
      </c>
      <c r="AO248" s="45"/>
      <c r="AP248" s="45">
        <v>0</v>
      </c>
      <c r="AQ248" s="45"/>
      <c r="AR248" s="45">
        <f>+'GVFund Rev'!U249+'GVFund Rev'!W249-'GVFund Exp'!AH248-'GVFund Exp'!AL248+AJ248+AN248+AP248-'GV Fund BS'!S249</f>
        <v>0</v>
      </c>
      <c r="AS248" s="48"/>
    </row>
    <row r="249" spans="1:45" s="44" customFormat="1" ht="12.75" customHeight="1" x14ac:dyDescent="0.2">
      <c r="A249" s="35" t="s">
        <v>274</v>
      </c>
      <c r="C249" s="35" t="s">
        <v>43</v>
      </c>
      <c r="E249" s="45">
        <v>6089038</v>
      </c>
      <c r="F249" s="48"/>
      <c r="G249" s="45">
        <v>11916106</v>
      </c>
      <c r="H249" s="48"/>
      <c r="I249" s="45">
        <v>19230</v>
      </c>
      <c r="J249" s="48"/>
      <c r="K249" s="45">
        <v>116854</v>
      </c>
      <c r="L249" s="48"/>
      <c r="M249" s="45">
        <v>1550021</v>
      </c>
      <c r="N249" s="48"/>
      <c r="O249" s="45">
        <v>670318</v>
      </c>
      <c r="P249" s="48"/>
      <c r="Q249" s="45">
        <v>1541342</v>
      </c>
      <c r="R249" s="48"/>
      <c r="S249" s="45">
        <v>3802375</v>
      </c>
      <c r="T249" s="48"/>
      <c r="U249" s="45">
        <v>0</v>
      </c>
      <c r="V249" s="48"/>
      <c r="W249" s="48"/>
      <c r="X249" s="35"/>
      <c r="Z249" s="35"/>
      <c r="AA249" s="35"/>
      <c r="AB249" s="45">
        <v>223553</v>
      </c>
      <c r="AC249" s="65"/>
      <c r="AD249" s="45">
        <v>64692</v>
      </c>
      <c r="AE249" s="65"/>
      <c r="AF249" s="45">
        <v>0</v>
      </c>
      <c r="AG249" s="65"/>
      <c r="AH249" s="48">
        <f t="shared" si="9"/>
        <v>25993529</v>
      </c>
      <c r="AI249" s="48"/>
      <c r="AJ249" s="48">
        <v>0</v>
      </c>
      <c r="AK249" s="48"/>
      <c r="AL249" s="45">
        <v>3153317</v>
      </c>
      <c r="AM249" s="45"/>
      <c r="AN249" s="45">
        <v>10138809</v>
      </c>
      <c r="AO249" s="45"/>
      <c r="AP249" s="45">
        <v>0</v>
      </c>
      <c r="AQ249" s="45"/>
      <c r="AR249" s="45">
        <f>+'GVFund Rev'!U250+'GVFund Rev'!W250-'GVFund Exp'!AH249-'GVFund Exp'!AL249+AJ249+AN249+AP249-'GV Fund BS'!S250</f>
        <v>0</v>
      </c>
      <c r="AS249" s="48"/>
    </row>
    <row r="250" spans="1:45" s="44" customFormat="1" ht="12.75" customHeight="1" x14ac:dyDescent="0.2">
      <c r="A250" s="35" t="s">
        <v>275</v>
      </c>
      <c r="C250" s="35" t="s">
        <v>92</v>
      </c>
      <c r="E250" s="45">
        <v>4359362</v>
      </c>
      <c r="F250" s="48"/>
      <c r="G250" s="45">
        <v>6258686</v>
      </c>
      <c r="H250" s="48"/>
      <c r="I250" s="45">
        <v>228750</v>
      </c>
      <c r="J250" s="48"/>
      <c r="K250" s="45">
        <v>45107</v>
      </c>
      <c r="L250" s="48"/>
      <c r="M250" s="45">
        <v>1867004</v>
      </c>
      <c r="N250" s="48"/>
      <c r="O250" s="45">
        <v>778060</v>
      </c>
      <c r="P250" s="48"/>
      <c r="Q250" s="45">
        <v>1293353</v>
      </c>
      <c r="R250" s="48"/>
      <c r="S250" s="45">
        <v>5641653</v>
      </c>
      <c r="T250" s="48"/>
      <c r="U250" s="45">
        <v>0</v>
      </c>
      <c r="V250" s="48"/>
      <c r="W250" s="48"/>
      <c r="X250" s="35"/>
      <c r="Z250" s="35"/>
      <c r="AA250" s="35"/>
      <c r="AB250" s="45">
        <v>108011</v>
      </c>
      <c r="AC250" s="65"/>
      <c r="AD250" s="45">
        <v>91860</v>
      </c>
      <c r="AE250" s="65"/>
      <c r="AF250" s="45">
        <v>0</v>
      </c>
      <c r="AG250" s="65"/>
      <c r="AH250" s="48">
        <f t="shared" si="9"/>
        <v>20671846</v>
      </c>
      <c r="AI250" s="48"/>
      <c r="AJ250" s="48">
        <v>0</v>
      </c>
      <c r="AK250" s="48"/>
      <c r="AL250" s="45">
        <v>221515</v>
      </c>
      <c r="AM250" s="45"/>
      <c r="AN250" s="45">
        <v>10413112</v>
      </c>
      <c r="AO250" s="45"/>
      <c r="AP250" s="45">
        <v>29316</v>
      </c>
      <c r="AQ250" s="45"/>
      <c r="AR250" s="45">
        <f>+'GVFund Rev'!U251+'GVFund Rev'!W251-'GVFund Exp'!AH250-'GVFund Exp'!AL250+AJ250+AN250+AP250-'GV Fund BS'!S251</f>
        <v>0</v>
      </c>
      <c r="AS250" s="48"/>
    </row>
    <row r="251" spans="1:45" s="44" customFormat="1" ht="12.75" customHeight="1" x14ac:dyDescent="0.2">
      <c r="A251" s="35" t="s">
        <v>276</v>
      </c>
      <c r="C251" s="35" t="s">
        <v>38</v>
      </c>
      <c r="E251" s="45">
        <v>717166</v>
      </c>
      <c r="F251" s="48"/>
      <c r="G251" s="45">
        <v>2526520</v>
      </c>
      <c r="H251" s="48"/>
      <c r="I251" s="45">
        <v>218398</v>
      </c>
      <c r="J251" s="48"/>
      <c r="K251" s="45">
        <v>41745</v>
      </c>
      <c r="L251" s="48"/>
      <c r="M251" s="45">
        <v>796338</v>
      </c>
      <c r="N251" s="48"/>
      <c r="O251" s="45">
        <v>274254</v>
      </c>
      <c r="P251" s="48"/>
      <c r="Q251" s="45">
        <v>0</v>
      </c>
      <c r="R251" s="48"/>
      <c r="S251" s="45">
        <v>829409</v>
      </c>
      <c r="T251" s="48"/>
      <c r="U251" s="45">
        <v>0</v>
      </c>
      <c r="V251" s="48"/>
      <c r="W251" s="48"/>
      <c r="X251" s="35"/>
      <c r="Z251" s="35"/>
      <c r="AA251" s="35"/>
      <c r="AB251" s="45">
        <v>203454</v>
      </c>
      <c r="AC251" s="65"/>
      <c r="AD251" s="45">
        <v>42797</v>
      </c>
      <c r="AE251" s="65"/>
      <c r="AF251" s="45">
        <v>0</v>
      </c>
      <c r="AG251" s="65"/>
      <c r="AH251" s="48">
        <f t="shared" si="9"/>
        <v>5650081</v>
      </c>
      <c r="AI251" s="48"/>
      <c r="AJ251" s="48">
        <v>0</v>
      </c>
      <c r="AK251" s="48"/>
      <c r="AL251" s="45">
        <v>320000</v>
      </c>
      <c r="AM251" s="45"/>
      <c r="AN251" s="45">
        <v>6357520</v>
      </c>
      <c r="AO251" s="45"/>
      <c r="AP251" s="45">
        <v>0</v>
      </c>
      <c r="AQ251" s="45"/>
      <c r="AR251" s="45">
        <f>+'GVFund Rev'!U252+'GVFund Rev'!W252-'GVFund Exp'!AH251-'GVFund Exp'!AL251+AJ251+AN251+AP251-'GV Fund BS'!S252</f>
        <v>0</v>
      </c>
      <c r="AS251" s="48"/>
    </row>
    <row r="252" spans="1:45" s="44" customFormat="1" ht="12.75" customHeight="1" x14ac:dyDescent="0.2">
      <c r="A252" s="35" t="s">
        <v>277</v>
      </c>
      <c r="C252" s="35" t="s">
        <v>92</v>
      </c>
      <c r="E252" s="45">
        <v>7088810</v>
      </c>
      <c r="F252" s="48"/>
      <c r="G252" s="45">
        <v>13810804</v>
      </c>
      <c r="H252" s="48"/>
      <c r="I252" s="45">
        <v>904169</v>
      </c>
      <c r="J252" s="48"/>
      <c r="K252" s="45">
        <v>478626</v>
      </c>
      <c r="L252" s="48"/>
      <c r="M252" s="45">
        <v>1478892</v>
      </c>
      <c r="N252" s="48"/>
      <c r="O252" s="45">
        <v>1766657</v>
      </c>
      <c r="P252" s="48"/>
      <c r="Q252" s="45">
        <v>1283005</v>
      </c>
      <c r="R252" s="48"/>
      <c r="S252" s="45">
        <v>1902397</v>
      </c>
      <c r="T252" s="48"/>
      <c r="U252" s="45">
        <v>0</v>
      </c>
      <c r="V252" s="48"/>
      <c r="W252" s="48"/>
      <c r="X252" s="35"/>
      <c r="Z252" s="35"/>
      <c r="AA252" s="35"/>
      <c r="AB252" s="45">
        <v>928404</v>
      </c>
      <c r="AC252" s="65"/>
      <c r="AD252" s="45">
        <v>494331</v>
      </c>
      <c r="AE252" s="65"/>
      <c r="AF252" s="45">
        <v>0</v>
      </c>
      <c r="AG252" s="65"/>
      <c r="AH252" s="48">
        <f t="shared" si="9"/>
        <v>30136095</v>
      </c>
      <c r="AI252" s="48"/>
      <c r="AJ252" s="48">
        <v>0</v>
      </c>
      <c r="AK252" s="48"/>
      <c r="AL252" s="45">
        <v>3600000</v>
      </c>
      <c r="AM252" s="45"/>
      <c r="AN252" s="45">
        <v>11943187</v>
      </c>
      <c r="AO252" s="45"/>
      <c r="AP252" s="45">
        <v>-1700</v>
      </c>
      <c r="AQ252" s="45"/>
      <c r="AR252" s="45">
        <f>+'GVFund Rev'!U253+'GVFund Rev'!W253-'GVFund Exp'!AH252-'GVFund Exp'!AL252+AJ252+AN252+AP252-'GV Fund BS'!S253</f>
        <v>0</v>
      </c>
      <c r="AS252" s="48"/>
    </row>
    <row r="253" spans="1:45" s="44" customFormat="1" ht="12.75" customHeight="1" x14ac:dyDescent="0.2">
      <c r="A253" s="64" t="s">
        <v>278</v>
      </c>
      <c r="B253" s="46"/>
      <c r="C253" s="64" t="s">
        <v>92</v>
      </c>
      <c r="D253" s="46"/>
      <c r="E253" s="45">
        <v>2859752</v>
      </c>
      <c r="F253" s="48"/>
      <c r="G253" s="45">
        <f>3391471+2025494</f>
        <v>5416965</v>
      </c>
      <c r="H253" s="48"/>
      <c r="I253" s="45">
        <v>145731</v>
      </c>
      <c r="J253" s="48"/>
      <c r="K253" s="45">
        <v>0</v>
      </c>
      <c r="L253" s="48"/>
      <c r="M253" s="45">
        <v>2028471</v>
      </c>
      <c r="N253" s="48"/>
      <c r="O253" s="45">
        <v>258205</v>
      </c>
      <c r="P253" s="48"/>
      <c r="Q253" s="45">
        <v>0</v>
      </c>
      <c r="R253" s="48"/>
      <c r="S253" s="45">
        <v>158772</v>
      </c>
      <c r="T253" s="48"/>
      <c r="U253" s="45">
        <v>0</v>
      </c>
      <c r="V253" s="48"/>
      <c r="W253" s="48"/>
      <c r="X253" s="35"/>
      <c r="Z253" s="35"/>
      <c r="AA253" s="35"/>
      <c r="AB253" s="45">
        <f>322479+250000</f>
        <v>572479</v>
      </c>
      <c r="AC253" s="65"/>
      <c r="AD253" s="45">
        <v>125283</v>
      </c>
      <c r="AE253" s="65"/>
      <c r="AF253" s="45">
        <v>0</v>
      </c>
      <c r="AG253" s="65"/>
      <c r="AH253" s="48">
        <f t="shared" si="9"/>
        <v>11565658</v>
      </c>
      <c r="AI253" s="48"/>
      <c r="AJ253" s="48">
        <v>0</v>
      </c>
      <c r="AK253" s="48"/>
      <c r="AL253" s="45">
        <f>1000000+4509845</f>
        <v>5509845</v>
      </c>
      <c r="AM253" s="45"/>
      <c r="AN253" s="45">
        <v>1935518</v>
      </c>
      <c r="AO253" s="45"/>
      <c r="AP253" s="45">
        <v>0</v>
      </c>
      <c r="AQ253" s="45"/>
      <c r="AR253" s="45">
        <f>+'GVFund Rev'!U254+'GVFund Rev'!W254-'GVFund Exp'!AH253-'GVFund Exp'!AL253+AJ253+AN253+AP253-'GV Fund BS'!S254</f>
        <v>0</v>
      </c>
      <c r="AS253" s="48"/>
    </row>
    <row r="254" spans="1:45" s="44" customFormat="1" ht="12.75" customHeight="1" x14ac:dyDescent="0.2">
      <c r="A254" s="35" t="s">
        <v>279</v>
      </c>
      <c r="C254" s="35" t="s">
        <v>92</v>
      </c>
      <c r="E254" s="45">
        <v>1789036</v>
      </c>
      <c r="F254" s="48"/>
      <c r="G254" s="45">
        <v>5033551</v>
      </c>
      <c r="H254" s="48"/>
      <c r="I254" s="45">
        <v>468103</v>
      </c>
      <c r="J254" s="48"/>
      <c r="K254" s="45">
        <v>105344</v>
      </c>
      <c r="L254" s="48"/>
      <c r="M254" s="45">
        <v>870167</v>
      </c>
      <c r="N254" s="48"/>
      <c r="O254" s="45">
        <v>840781</v>
      </c>
      <c r="P254" s="48"/>
      <c r="Q254" s="45">
        <v>1292188</v>
      </c>
      <c r="R254" s="48"/>
      <c r="S254" s="45">
        <v>2094169</v>
      </c>
      <c r="T254" s="48"/>
      <c r="U254" s="45">
        <v>0</v>
      </c>
      <c r="V254" s="48"/>
      <c r="W254" s="48"/>
      <c r="X254" s="35"/>
      <c r="Z254" s="35"/>
      <c r="AA254" s="35"/>
      <c r="AB254" s="45">
        <v>2309008</v>
      </c>
      <c r="AC254" s="65"/>
      <c r="AD254" s="45">
        <v>36783</v>
      </c>
      <c r="AE254" s="65"/>
      <c r="AF254" s="45">
        <v>0</v>
      </c>
      <c r="AG254" s="65"/>
      <c r="AH254" s="48">
        <f t="shared" si="9"/>
        <v>14839130</v>
      </c>
      <c r="AI254" s="48"/>
      <c r="AJ254" s="48">
        <v>0</v>
      </c>
      <c r="AK254" s="48"/>
      <c r="AL254" s="45">
        <v>340000</v>
      </c>
      <c r="AM254" s="45"/>
      <c r="AN254" s="45">
        <v>5585791</v>
      </c>
      <c r="AO254" s="45"/>
      <c r="AP254" s="45">
        <v>0</v>
      </c>
      <c r="AQ254" s="45"/>
      <c r="AR254" s="45">
        <f>+'GVFund Rev'!U255+'GVFund Rev'!W255-'GVFund Exp'!AH254-'GVFund Exp'!AL254+AJ254+AN254+AP254-'GV Fund BS'!S255</f>
        <v>0</v>
      </c>
      <c r="AS254" s="48"/>
    </row>
    <row r="255" spans="1:45" s="44" customFormat="1" ht="12.75" customHeight="1" x14ac:dyDescent="0.2">
      <c r="A255" s="35" t="s">
        <v>280</v>
      </c>
      <c r="C255" s="35" t="s">
        <v>281</v>
      </c>
      <c r="E255" s="45">
        <v>4562993</v>
      </c>
      <c r="F255" s="48"/>
      <c r="G255" s="45">
        <v>4714810</v>
      </c>
      <c r="H255" s="48"/>
      <c r="I255" s="45">
        <v>0</v>
      </c>
      <c r="J255" s="48"/>
      <c r="K255" s="45">
        <v>418814</v>
      </c>
      <c r="L255" s="48"/>
      <c r="M255" s="45">
        <v>2426466</v>
      </c>
      <c r="N255" s="48"/>
      <c r="O255" s="45">
        <v>491168</v>
      </c>
      <c r="P255" s="48"/>
      <c r="Q255" s="45">
        <v>186411</v>
      </c>
      <c r="R255" s="48"/>
      <c r="S255" s="45">
        <v>211762</v>
      </c>
      <c r="T255" s="48"/>
      <c r="U255" s="45">
        <v>0</v>
      </c>
      <c r="V255" s="48"/>
      <c r="W255" s="48"/>
      <c r="X255" s="35"/>
      <c r="Z255" s="35"/>
      <c r="AA255" s="35"/>
      <c r="AB255" s="45">
        <v>512545</v>
      </c>
      <c r="AC255" s="65"/>
      <c r="AD255" s="45">
        <v>335195</v>
      </c>
      <c r="AE255" s="65"/>
      <c r="AF255" s="45">
        <v>0</v>
      </c>
      <c r="AG255" s="65"/>
      <c r="AH255" s="48">
        <f t="shared" si="9"/>
        <v>13860164</v>
      </c>
      <c r="AI255" s="48"/>
      <c r="AJ255" s="48">
        <v>0</v>
      </c>
      <c r="AK255" s="48"/>
      <c r="AL255" s="45">
        <v>4318627</v>
      </c>
      <c r="AM255" s="45"/>
      <c r="AN255" s="45">
        <v>6436102</v>
      </c>
      <c r="AO255" s="45"/>
      <c r="AP255" s="45">
        <v>0</v>
      </c>
      <c r="AQ255" s="45"/>
      <c r="AR255" s="45">
        <f>+'GVFund Rev'!U256+'GVFund Rev'!W256-'GVFund Exp'!AH255-'GVFund Exp'!AL255+AJ255+AN255+AP255-'GV Fund BS'!S256</f>
        <v>0</v>
      </c>
      <c r="AS255" s="48"/>
    </row>
    <row r="256" spans="1:45" s="44" customFormat="1" ht="12.75" customHeight="1" x14ac:dyDescent="0.2">
      <c r="A256" s="35" t="s">
        <v>282</v>
      </c>
      <c r="C256" s="35" t="s">
        <v>199</v>
      </c>
      <c r="E256" s="45">
        <v>2889589</v>
      </c>
      <c r="F256" s="48"/>
      <c r="G256" s="45">
        <v>10320287</v>
      </c>
      <c r="H256" s="48"/>
      <c r="I256" s="45">
        <v>1149541</v>
      </c>
      <c r="J256" s="48"/>
      <c r="K256" s="45">
        <v>139670</v>
      </c>
      <c r="L256" s="48"/>
      <c r="M256" s="45">
        <v>1495422</v>
      </c>
      <c r="N256" s="48"/>
      <c r="O256" s="45">
        <v>1365853</v>
      </c>
      <c r="P256" s="48"/>
      <c r="Q256" s="45">
        <v>0</v>
      </c>
      <c r="R256" s="48"/>
      <c r="S256" s="45">
        <v>3260495</v>
      </c>
      <c r="T256" s="48"/>
      <c r="U256" s="45">
        <v>0</v>
      </c>
      <c r="V256" s="48"/>
      <c r="W256" s="48"/>
      <c r="X256" s="35"/>
      <c r="Z256" s="35"/>
      <c r="AA256" s="35"/>
      <c r="AB256" s="45">
        <v>366343</v>
      </c>
      <c r="AC256" s="65"/>
      <c r="AD256" s="45">
        <v>158938</v>
      </c>
      <c r="AE256" s="65"/>
      <c r="AF256" s="45">
        <v>0</v>
      </c>
      <c r="AG256" s="65"/>
      <c r="AH256" s="48">
        <f t="shared" si="9"/>
        <v>21146138</v>
      </c>
      <c r="AI256" s="48"/>
      <c r="AJ256" s="48">
        <v>0</v>
      </c>
      <c r="AK256" s="48"/>
      <c r="AL256" s="45">
        <v>73950</v>
      </c>
      <c r="AM256" s="45"/>
      <c r="AN256" s="45">
        <v>15575266</v>
      </c>
      <c r="AO256" s="45"/>
      <c r="AP256" s="45">
        <v>0</v>
      </c>
      <c r="AQ256" s="45"/>
      <c r="AR256" s="45">
        <f>+'GVFund Rev'!U257+'GVFund Rev'!W257-'GVFund Exp'!AH256-'GVFund Exp'!AL256+AJ256+AN256+AP256-'GV Fund BS'!S257</f>
        <v>0</v>
      </c>
      <c r="AS256" s="48"/>
    </row>
    <row r="257" spans="1:46" s="44" customFormat="1" ht="12.75" customHeight="1" x14ac:dyDescent="0.2">
      <c r="A257" s="35" t="s">
        <v>283</v>
      </c>
      <c r="C257" s="35" t="s">
        <v>43</v>
      </c>
      <c r="E257" s="45">
        <v>5583245</v>
      </c>
      <c r="F257" s="48"/>
      <c r="G257" s="45">
        <v>10173618</v>
      </c>
      <c r="H257" s="48"/>
      <c r="I257" s="45">
        <v>872301</v>
      </c>
      <c r="J257" s="48"/>
      <c r="K257" s="45">
        <v>61674</v>
      </c>
      <c r="L257" s="48"/>
      <c r="M257" s="45">
        <v>2323354</v>
      </c>
      <c r="N257" s="48"/>
      <c r="O257" s="45">
        <v>3969761</v>
      </c>
      <c r="P257" s="48"/>
      <c r="Q257" s="45">
        <v>1901230</v>
      </c>
      <c r="R257" s="48"/>
      <c r="S257" s="45">
        <v>4309381</v>
      </c>
      <c r="T257" s="48"/>
      <c r="U257" s="45">
        <v>0</v>
      </c>
      <c r="V257" s="48"/>
      <c r="W257" s="48"/>
      <c r="X257" s="35"/>
      <c r="Z257" s="35"/>
      <c r="AA257" s="35"/>
      <c r="AB257" s="45">
        <v>557810</v>
      </c>
      <c r="AC257" s="65"/>
      <c r="AD257" s="45">
        <v>315131</v>
      </c>
      <c r="AE257" s="65"/>
      <c r="AF257" s="45">
        <v>0</v>
      </c>
      <c r="AG257" s="65"/>
      <c r="AH257" s="48">
        <f t="shared" si="9"/>
        <v>30067505</v>
      </c>
      <c r="AI257" s="48"/>
      <c r="AJ257" s="48">
        <v>0</v>
      </c>
      <c r="AK257" s="48"/>
      <c r="AL257" s="45">
        <f>1703526+32255</f>
        <v>1735781</v>
      </c>
      <c r="AM257" s="45"/>
      <c r="AN257" s="45">
        <v>13911917</v>
      </c>
      <c r="AO257" s="45"/>
      <c r="AP257" s="45">
        <v>0</v>
      </c>
      <c r="AQ257" s="45"/>
      <c r="AR257" s="45">
        <f>+'GVFund Rev'!U258+'GVFund Rev'!W258-'GVFund Exp'!AH257-'GVFund Exp'!AL257+AJ257+AN257+AP257-'GV Fund BS'!S258</f>
        <v>0</v>
      </c>
      <c r="AS257" s="48"/>
    </row>
    <row r="258" spans="1:46" s="44" customFormat="1" ht="12.75" customHeight="1" x14ac:dyDescent="0.2">
      <c r="A258" s="35" t="s">
        <v>284</v>
      </c>
      <c r="C258" s="35" t="s">
        <v>45</v>
      </c>
      <c r="E258" s="45">
        <v>2545477</v>
      </c>
      <c r="F258" s="48"/>
      <c r="G258" s="45">
        <v>2853292</v>
      </c>
      <c r="H258" s="48"/>
      <c r="I258" s="45">
        <v>287043</v>
      </c>
      <c r="J258" s="48"/>
      <c r="K258" s="45">
        <v>67258</v>
      </c>
      <c r="L258" s="48"/>
      <c r="M258" s="45">
        <v>924291</v>
      </c>
      <c r="N258" s="48"/>
      <c r="O258" s="45">
        <v>1394919</v>
      </c>
      <c r="P258" s="48"/>
      <c r="Q258" s="45">
        <v>511108</v>
      </c>
      <c r="R258" s="48"/>
      <c r="S258" s="45">
        <v>2010693</v>
      </c>
      <c r="T258" s="48"/>
      <c r="U258" s="45">
        <v>0</v>
      </c>
      <c r="V258" s="48"/>
      <c r="W258" s="48"/>
      <c r="X258" s="35"/>
      <c r="Z258" s="35"/>
      <c r="AA258" s="35"/>
      <c r="AB258" s="45">
        <v>631501</v>
      </c>
      <c r="AC258" s="65"/>
      <c r="AD258" s="45">
        <v>507878</v>
      </c>
      <c r="AE258" s="65"/>
      <c r="AF258" s="45">
        <v>0</v>
      </c>
      <c r="AG258" s="65"/>
      <c r="AH258" s="48">
        <f t="shared" si="9"/>
        <v>11733460</v>
      </c>
      <c r="AI258" s="48"/>
      <c r="AJ258" s="48">
        <v>0</v>
      </c>
      <c r="AK258" s="48"/>
      <c r="AL258" s="45">
        <v>1167325</v>
      </c>
      <c r="AM258" s="45"/>
      <c r="AN258" s="45">
        <v>6867966</v>
      </c>
      <c r="AO258" s="45"/>
      <c r="AP258" s="45">
        <v>10298</v>
      </c>
      <c r="AQ258" s="45"/>
      <c r="AR258" s="45">
        <f>+'GVFund Rev'!U259+'GVFund Rev'!W259-'GVFund Exp'!AH258-'GVFund Exp'!AL258+AJ258+AN258+AP258-'GV Fund BS'!S259</f>
        <v>0</v>
      </c>
      <c r="AS258" s="48"/>
    </row>
    <row r="259" spans="1:46" s="44" customFormat="1" ht="12.75" customHeight="1" x14ac:dyDescent="0.2">
      <c r="A259" s="35" t="s">
        <v>285</v>
      </c>
      <c r="C259" s="35" t="s">
        <v>30</v>
      </c>
      <c r="E259" s="45">
        <v>3383703</v>
      </c>
      <c r="F259" s="48"/>
      <c r="G259" s="45">
        <v>11502926</v>
      </c>
      <c r="H259" s="48"/>
      <c r="I259" s="45">
        <f>130324+146663</f>
        <v>276987</v>
      </c>
      <c r="J259" s="48"/>
      <c r="K259" s="45">
        <v>0</v>
      </c>
      <c r="L259" s="48"/>
      <c r="M259" s="45">
        <v>1295688</v>
      </c>
      <c r="N259" s="48"/>
      <c r="O259" s="45">
        <v>158251</v>
      </c>
      <c r="P259" s="48"/>
      <c r="Q259" s="45">
        <v>0</v>
      </c>
      <c r="R259" s="48"/>
      <c r="S259" s="45">
        <v>3443902</v>
      </c>
      <c r="T259" s="48"/>
      <c r="U259" s="45">
        <v>0</v>
      </c>
      <c r="V259" s="48"/>
      <c r="W259" s="48"/>
      <c r="X259" s="35"/>
      <c r="Z259" s="35"/>
      <c r="AA259" s="35"/>
      <c r="AB259" s="45">
        <v>433131</v>
      </c>
      <c r="AC259" s="65"/>
      <c r="AD259" s="45">
        <v>70461</v>
      </c>
      <c r="AE259" s="65"/>
      <c r="AF259" s="45">
        <v>0</v>
      </c>
      <c r="AG259" s="65"/>
      <c r="AH259" s="48">
        <f t="shared" si="9"/>
        <v>20565049</v>
      </c>
      <c r="AI259" s="48"/>
      <c r="AJ259" s="48">
        <v>0</v>
      </c>
      <c r="AK259" s="48"/>
      <c r="AL259" s="45">
        <v>5391500</v>
      </c>
      <c r="AM259" s="45"/>
      <c r="AN259" s="45">
        <v>8802205</v>
      </c>
      <c r="AO259" s="45"/>
      <c r="AP259" s="45">
        <v>-19178</v>
      </c>
      <c r="AQ259" s="45"/>
      <c r="AR259" s="45">
        <f>+'GVFund Rev'!U260+'GVFund Rev'!W260-'GVFund Exp'!AH259-'GVFund Exp'!AL259+AJ259+AN259+AP259-'GV Fund BS'!S260</f>
        <v>0</v>
      </c>
      <c r="AS259" s="48"/>
    </row>
    <row r="260" spans="1:46" s="44" customFormat="1" ht="12.75" customHeight="1" x14ac:dyDescent="0.2">
      <c r="A260" s="35" t="s">
        <v>286</v>
      </c>
      <c r="C260" s="35" t="s">
        <v>61</v>
      </c>
      <c r="E260" s="45">
        <v>13653890</v>
      </c>
      <c r="F260" s="48"/>
      <c r="G260" s="45">
        <v>33763840</v>
      </c>
      <c r="H260" s="48"/>
      <c r="I260" s="45">
        <v>6165552</v>
      </c>
      <c r="J260" s="48"/>
      <c r="K260" s="45">
        <v>2423854</v>
      </c>
      <c r="L260" s="48"/>
      <c r="M260" s="45">
        <v>7067027</v>
      </c>
      <c r="N260" s="48"/>
      <c r="O260" s="45">
        <v>2749335</v>
      </c>
      <c r="P260" s="48"/>
      <c r="Q260" s="45">
        <v>2478809</v>
      </c>
      <c r="R260" s="48"/>
      <c r="S260" s="45">
        <v>9208566</v>
      </c>
      <c r="T260" s="48"/>
      <c r="U260" s="45">
        <v>0</v>
      </c>
      <c r="V260" s="48"/>
      <c r="W260" s="48"/>
      <c r="X260" s="35"/>
      <c r="Z260" s="35"/>
      <c r="AA260" s="35"/>
      <c r="AB260" s="45">
        <v>2063629</v>
      </c>
      <c r="AC260" s="65"/>
      <c r="AD260" s="45">
        <v>2019298</v>
      </c>
      <c r="AE260" s="65"/>
      <c r="AF260" s="45">
        <v>0</v>
      </c>
      <c r="AG260" s="65"/>
      <c r="AH260" s="48">
        <f t="shared" si="9"/>
        <v>81593800</v>
      </c>
      <c r="AI260" s="48"/>
      <c r="AJ260" s="48">
        <v>0</v>
      </c>
      <c r="AK260" s="48"/>
      <c r="AL260" s="45">
        <v>23070088</v>
      </c>
      <c r="AM260" s="45"/>
      <c r="AN260" s="45">
        <v>-3847711</v>
      </c>
      <c r="AO260" s="45"/>
      <c r="AP260" s="45">
        <v>0</v>
      </c>
      <c r="AQ260" s="45"/>
      <c r="AR260" s="45">
        <f>+'GVFund Rev'!U261+'GVFund Rev'!W261-'GVFund Exp'!AH260-'GVFund Exp'!AL260+AJ260+AN260+AP260-'GV Fund BS'!S261</f>
        <v>0</v>
      </c>
      <c r="AS260" s="48"/>
    </row>
    <row r="261" spans="1:46" s="44" customFormat="1" ht="12.75" customHeight="1" x14ac:dyDescent="0.2">
      <c r="A261" s="35" t="s">
        <v>287</v>
      </c>
      <c r="C261" s="35" t="s">
        <v>288</v>
      </c>
      <c r="E261" s="45">
        <f>4202331+486056</f>
        <v>4688387</v>
      </c>
      <c r="F261" s="48"/>
      <c r="G261" s="45">
        <f>7496412+4940716+325274</f>
        <v>12762402</v>
      </c>
      <c r="H261" s="48"/>
      <c r="I261" s="45">
        <v>1352889</v>
      </c>
      <c r="J261" s="48"/>
      <c r="K261" s="45">
        <v>420703</v>
      </c>
      <c r="L261" s="48"/>
      <c r="M261" s="45">
        <v>3734526</v>
      </c>
      <c r="N261" s="48"/>
      <c r="O261" s="45">
        <v>816916</v>
      </c>
      <c r="P261" s="48"/>
      <c r="Q261" s="45">
        <v>0</v>
      </c>
      <c r="R261" s="48"/>
      <c r="S261" s="45">
        <v>973318</v>
      </c>
      <c r="T261" s="48"/>
      <c r="U261" s="45">
        <v>0</v>
      </c>
      <c r="V261" s="48"/>
      <c r="W261" s="48"/>
      <c r="X261" s="35"/>
      <c r="Z261" s="35"/>
      <c r="AA261" s="35"/>
      <c r="AB261" s="45">
        <v>490307</v>
      </c>
      <c r="AC261" s="65"/>
      <c r="AD261" s="45">
        <v>226818</v>
      </c>
      <c r="AE261" s="65"/>
      <c r="AF261" s="45">
        <v>0</v>
      </c>
      <c r="AG261" s="65"/>
      <c r="AH261" s="48">
        <f t="shared" si="9"/>
        <v>25466266</v>
      </c>
      <c r="AI261" s="48"/>
      <c r="AJ261" s="48">
        <v>0</v>
      </c>
      <c r="AK261" s="48"/>
      <c r="AL261" s="45">
        <v>7910398</v>
      </c>
      <c r="AM261" s="45"/>
      <c r="AN261" s="45">
        <v>5571734</v>
      </c>
      <c r="AO261" s="45"/>
      <c r="AP261" s="45">
        <v>0</v>
      </c>
      <c r="AQ261" s="45"/>
      <c r="AR261" s="45">
        <f>+'GVFund Rev'!U262+'GVFund Rev'!W262-'GVFund Exp'!AH261-'GVFund Exp'!AL261+AJ261+AN261+AP261-'GV Fund BS'!S262</f>
        <v>0</v>
      </c>
      <c r="AS261" s="48"/>
    </row>
    <row r="262" spans="1:46" s="47" customFormat="1" ht="12.75" customHeight="1" x14ac:dyDescent="0.2">
      <c r="A262" s="49"/>
      <c r="C262" s="49"/>
      <c r="E262" s="49"/>
      <c r="F262" s="44"/>
      <c r="G262" s="49"/>
      <c r="H262" s="44"/>
      <c r="I262" s="49"/>
      <c r="J262" s="44"/>
      <c r="K262" s="49"/>
      <c r="L262" s="44"/>
      <c r="M262" s="49"/>
      <c r="N262" s="44"/>
      <c r="O262" s="49"/>
      <c r="P262" s="44"/>
      <c r="Q262" s="49"/>
      <c r="R262" s="44"/>
      <c r="S262" s="49"/>
      <c r="T262" s="44"/>
      <c r="U262" s="49"/>
      <c r="V262" s="44"/>
      <c r="W262" s="44"/>
      <c r="X262" s="44"/>
      <c r="Y262" s="44"/>
      <c r="Z262" s="44"/>
      <c r="AA262" s="44"/>
      <c r="AB262" s="49"/>
      <c r="AC262" s="65"/>
      <c r="AD262" s="49"/>
      <c r="AE262" s="65"/>
      <c r="AF262" s="49"/>
      <c r="AG262" s="65"/>
      <c r="AH262" s="44"/>
      <c r="AI262" s="44"/>
      <c r="AJ262" s="44"/>
      <c r="AK262" s="44"/>
      <c r="AL262" s="49"/>
      <c r="AM262" s="45"/>
      <c r="AN262" s="49"/>
      <c r="AO262" s="44"/>
      <c r="AP262" s="49"/>
      <c r="AQ262" s="44"/>
      <c r="AR262" s="45"/>
      <c r="AS262" s="44"/>
      <c r="AT262" s="51"/>
    </row>
    <row r="263" spans="1:46" s="47" customFormat="1" ht="12.75" customHeight="1" x14ac:dyDescent="0.2">
      <c r="A263" s="49"/>
      <c r="C263" s="49"/>
      <c r="E263" s="49"/>
      <c r="F263" s="44"/>
      <c r="G263" s="49"/>
      <c r="H263" s="44"/>
      <c r="I263" s="49"/>
      <c r="J263" s="44"/>
      <c r="K263" s="49"/>
      <c r="L263" s="44"/>
      <c r="M263" s="49"/>
      <c r="N263" s="44"/>
      <c r="O263" s="49"/>
      <c r="P263" s="44"/>
      <c r="Q263" s="49"/>
      <c r="R263" s="44"/>
      <c r="S263" s="49"/>
      <c r="T263" s="44"/>
      <c r="U263" s="49"/>
      <c r="V263" s="44"/>
      <c r="W263" s="44"/>
      <c r="X263" s="44"/>
      <c r="Y263" s="44"/>
      <c r="Z263" s="44"/>
      <c r="AA263" s="44"/>
      <c r="AB263" s="49"/>
      <c r="AC263" s="65"/>
      <c r="AD263" s="49"/>
      <c r="AE263" s="65"/>
      <c r="AF263" s="49"/>
      <c r="AG263" s="65"/>
      <c r="AH263" s="44"/>
      <c r="AI263" s="44"/>
      <c r="AJ263" s="44"/>
      <c r="AK263" s="44"/>
      <c r="AL263" s="49"/>
      <c r="AM263" s="49"/>
      <c r="AN263" s="49"/>
      <c r="AO263" s="49"/>
      <c r="AP263" s="49"/>
      <c r="AQ263" s="49"/>
      <c r="AR263" s="45"/>
      <c r="AS263" s="44"/>
      <c r="AT263" s="51"/>
    </row>
    <row r="264" spans="1:46" s="47" customFormat="1" ht="12.75" customHeight="1" x14ac:dyDescent="0.2">
      <c r="A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Z264" s="49"/>
      <c r="AA264" s="49"/>
      <c r="AB264" s="49"/>
      <c r="AC264" s="51"/>
      <c r="AD264" s="49"/>
      <c r="AE264" s="51"/>
      <c r="AF264" s="49"/>
      <c r="AG264" s="51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51"/>
    </row>
    <row r="265" spans="1:46" s="47" customFormat="1" ht="12.75" customHeight="1" x14ac:dyDescent="0.2">
      <c r="A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Z265" s="49"/>
      <c r="AA265" s="49"/>
      <c r="AB265" s="49"/>
      <c r="AC265" s="51"/>
      <c r="AD265" s="49"/>
      <c r="AE265" s="51"/>
      <c r="AF265" s="49"/>
      <c r="AG265" s="51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1"/>
    </row>
    <row r="266" spans="1:46" s="47" customFormat="1" ht="12.75" customHeight="1" x14ac:dyDescent="0.2">
      <c r="A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Z266" s="49"/>
      <c r="AA266" s="49"/>
      <c r="AB266" s="49"/>
      <c r="AC266" s="51"/>
      <c r="AD266" s="49"/>
      <c r="AE266" s="51"/>
      <c r="AF266" s="49"/>
      <c r="AG266" s="51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51"/>
    </row>
    <row r="267" spans="1:46" s="47" customFormat="1" ht="12.75" customHeight="1" x14ac:dyDescent="0.2">
      <c r="A267" s="49"/>
      <c r="C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Z267" s="49"/>
      <c r="AA267" s="49"/>
      <c r="AB267" s="49"/>
      <c r="AC267" s="51"/>
      <c r="AD267" s="49"/>
      <c r="AE267" s="51"/>
      <c r="AF267" s="49"/>
      <c r="AG267" s="51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51"/>
    </row>
    <row r="268" spans="1:46" s="47" customFormat="1" ht="12.75" customHeight="1" x14ac:dyDescent="0.2">
      <c r="A268" s="49"/>
      <c r="C268" s="49"/>
      <c r="E268" s="119"/>
      <c r="F268" s="49"/>
      <c r="G268" s="119"/>
      <c r="H268" s="49"/>
      <c r="I268" s="119"/>
      <c r="J268" s="49"/>
      <c r="K268" s="119"/>
      <c r="L268" s="49"/>
      <c r="M268" s="119"/>
      <c r="N268" s="49"/>
      <c r="O268" s="119"/>
      <c r="P268" s="49"/>
      <c r="Q268" s="119"/>
      <c r="R268" s="49"/>
      <c r="S268" s="119"/>
      <c r="T268" s="49"/>
      <c r="U268" s="119"/>
      <c r="V268" s="49"/>
      <c r="W268" s="49"/>
      <c r="X268" s="49"/>
      <c r="Z268" s="49"/>
      <c r="AA268" s="49"/>
      <c r="AB268" s="119"/>
      <c r="AC268" s="51"/>
      <c r="AD268" s="119"/>
      <c r="AE268" s="51"/>
      <c r="AF268" s="119"/>
      <c r="AG268" s="51"/>
      <c r="AH268" s="49"/>
      <c r="AI268" s="49"/>
      <c r="AJ268" s="49"/>
      <c r="AK268" s="49"/>
      <c r="AL268" s="119"/>
      <c r="AM268" s="49"/>
      <c r="AN268" s="119"/>
      <c r="AO268" s="49"/>
      <c r="AP268" s="119"/>
      <c r="AQ268" s="49"/>
      <c r="AR268" s="49"/>
      <c r="AS268" s="49"/>
      <c r="AT268" s="51"/>
    </row>
    <row r="269" spans="1:46" s="47" customFormat="1" ht="12.75" customHeight="1" x14ac:dyDescent="0.2">
      <c r="A269" s="49"/>
      <c r="B269" s="51"/>
      <c r="C269" s="49"/>
      <c r="E269" s="119"/>
      <c r="F269" s="49"/>
      <c r="G269" s="119"/>
      <c r="H269" s="49"/>
      <c r="I269" s="119"/>
      <c r="J269" s="49"/>
      <c r="K269" s="119"/>
      <c r="L269" s="49"/>
      <c r="M269" s="119"/>
      <c r="N269" s="49"/>
      <c r="O269" s="119"/>
      <c r="P269" s="49"/>
      <c r="Q269" s="119"/>
      <c r="R269" s="49"/>
      <c r="S269" s="119"/>
      <c r="T269" s="49"/>
      <c r="U269" s="119"/>
      <c r="V269" s="49"/>
      <c r="W269" s="49"/>
      <c r="X269" s="49"/>
      <c r="Z269" s="49"/>
      <c r="AA269" s="49"/>
      <c r="AB269" s="119"/>
      <c r="AC269" s="51"/>
      <c r="AD269" s="119"/>
      <c r="AE269" s="51"/>
      <c r="AF269" s="119"/>
      <c r="AG269" s="51"/>
      <c r="AH269" s="49"/>
      <c r="AI269" s="49"/>
      <c r="AJ269" s="49"/>
      <c r="AK269" s="49"/>
      <c r="AL269" s="119"/>
      <c r="AM269" s="49"/>
      <c r="AN269" s="119"/>
      <c r="AO269" s="49"/>
      <c r="AP269" s="119"/>
      <c r="AQ269" s="49"/>
      <c r="AR269" s="49"/>
      <c r="AS269" s="49"/>
      <c r="AT269" s="51"/>
    </row>
    <row r="270" spans="1:46" s="47" customFormat="1" ht="12.75" customHeight="1" x14ac:dyDescent="0.2">
      <c r="A270" s="49"/>
      <c r="B270" s="51"/>
      <c r="C270" s="49"/>
      <c r="E270" s="119"/>
      <c r="F270" s="49"/>
      <c r="G270" s="119"/>
      <c r="H270" s="49"/>
      <c r="I270" s="119"/>
      <c r="J270" s="49"/>
      <c r="K270" s="119"/>
      <c r="L270" s="49"/>
      <c r="M270" s="119"/>
      <c r="N270" s="49"/>
      <c r="O270" s="119"/>
      <c r="P270" s="49"/>
      <c r="Q270" s="119"/>
      <c r="R270" s="49"/>
      <c r="S270" s="119"/>
      <c r="T270" s="49"/>
      <c r="U270" s="119"/>
      <c r="V270" s="49"/>
      <c r="W270" s="49"/>
      <c r="X270" s="49"/>
      <c r="Z270" s="49"/>
      <c r="AA270" s="49"/>
      <c r="AB270" s="119"/>
      <c r="AC270" s="51"/>
      <c r="AD270" s="119"/>
      <c r="AE270" s="51"/>
      <c r="AF270" s="119"/>
      <c r="AG270" s="51"/>
      <c r="AH270" s="49"/>
      <c r="AI270" s="49"/>
      <c r="AJ270" s="49"/>
      <c r="AK270" s="49"/>
      <c r="AL270" s="119"/>
      <c r="AM270" s="49"/>
      <c r="AN270" s="119"/>
      <c r="AO270" s="49"/>
      <c r="AP270" s="119"/>
      <c r="AQ270" s="49"/>
      <c r="AR270" s="49"/>
      <c r="AS270" s="49"/>
      <c r="AT270" s="51"/>
    </row>
    <row r="271" spans="1:46" s="47" customFormat="1" ht="12.75" customHeight="1" x14ac:dyDescent="0.2">
      <c r="A271" s="49"/>
      <c r="B271" s="51"/>
      <c r="C271" s="49"/>
      <c r="E271" s="119"/>
      <c r="F271" s="49"/>
      <c r="G271" s="119"/>
      <c r="H271" s="49"/>
      <c r="I271" s="119"/>
      <c r="J271" s="49"/>
      <c r="K271" s="119"/>
      <c r="L271" s="49"/>
      <c r="M271" s="119"/>
      <c r="N271" s="49"/>
      <c r="O271" s="119"/>
      <c r="P271" s="49"/>
      <c r="Q271" s="119"/>
      <c r="R271" s="49"/>
      <c r="S271" s="119"/>
      <c r="T271" s="49"/>
      <c r="U271" s="119"/>
      <c r="V271" s="49"/>
      <c r="W271" s="49"/>
      <c r="X271" s="49"/>
      <c r="Z271" s="49"/>
      <c r="AA271" s="49"/>
      <c r="AB271" s="119"/>
      <c r="AC271" s="51"/>
      <c r="AD271" s="119"/>
      <c r="AE271" s="51"/>
      <c r="AF271" s="119"/>
      <c r="AG271" s="51"/>
      <c r="AH271" s="49"/>
      <c r="AI271" s="49"/>
      <c r="AJ271" s="49"/>
      <c r="AK271" s="49"/>
      <c r="AL271" s="119"/>
      <c r="AM271" s="49"/>
      <c r="AN271" s="119"/>
      <c r="AO271" s="49"/>
      <c r="AP271" s="119"/>
      <c r="AQ271" s="49"/>
      <c r="AR271" s="49"/>
      <c r="AS271" s="49"/>
      <c r="AT271" s="51"/>
    </row>
    <row r="272" spans="1:46" s="47" customFormat="1" ht="12.75" customHeight="1" x14ac:dyDescent="0.2">
      <c r="A272" s="49"/>
      <c r="B272" s="51"/>
      <c r="C272" s="49"/>
      <c r="E272" s="119"/>
      <c r="F272" s="49"/>
      <c r="G272" s="119"/>
      <c r="H272" s="49"/>
      <c r="I272" s="119"/>
      <c r="J272" s="49"/>
      <c r="K272" s="119"/>
      <c r="L272" s="49"/>
      <c r="M272" s="119"/>
      <c r="N272" s="49"/>
      <c r="O272" s="119"/>
      <c r="P272" s="49"/>
      <c r="Q272" s="119"/>
      <c r="R272" s="49"/>
      <c r="S272" s="119"/>
      <c r="T272" s="49"/>
      <c r="U272" s="119"/>
      <c r="V272" s="49"/>
      <c r="W272" s="49"/>
      <c r="X272" s="49"/>
      <c r="Z272" s="49"/>
      <c r="AA272" s="49"/>
      <c r="AB272" s="119"/>
      <c r="AC272" s="51"/>
      <c r="AD272" s="119"/>
      <c r="AE272" s="51"/>
      <c r="AF272" s="119"/>
      <c r="AG272" s="51"/>
      <c r="AH272" s="49"/>
      <c r="AI272" s="49"/>
      <c r="AJ272" s="49"/>
      <c r="AK272" s="49"/>
      <c r="AL272" s="119"/>
      <c r="AM272" s="49"/>
      <c r="AN272" s="119"/>
      <c r="AO272" s="49"/>
      <c r="AP272" s="119"/>
      <c r="AQ272" s="49"/>
      <c r="AR272" s="49"/>
      <c r="AS272" s="49"/>
      <c r="AT272" s="51"/>
    </row>
    <row r="273" spans="1:46" s="47" customFormat="1" ht="12.75" customHeight="1" x14ac:dyDescent="0.2">
      <c r="A273" s="49"/>
      <c r="B273" s="51"/>
      <c r="C273" s="49"/>
      <c r="E273" s="119"/>
      <c r="F273" s="49"/>
      <c r="G273" s="119"/>
      <c r="H273" s="49"/>
      <c r="I273" s="119"/>
      <c r="J273" s="49"/>
      <c r="K273" s="119"/>
      <c r="L273" s="49"/>
      <c r="M273" s="119"/>
      <c r="N273" s="49"/>
      <c r="O273" s="119"/>
      <c r="P273" s="49"/>
      <c r="Q273" s="119"/>
      <c r="R273" s="49"/>
      <c r="S273" s="119"/>
      <c r="T273" s="49"/>
      <c r="U273" s="119"/>
      <c r="V273" s="49"/>
      <c r="W273" s="49"/>
      <c r="X273" s="49"/>
      <c r="Z273" s="49"/>
      <c r="AA273" s="49"/>
      <c r="AB273" s="119"/>
      <c r="AC273" s="51"/>
      <c r="AD273" s="119"/>
      <c r="AE273" s="51"/>
      <c r="AF273" s="119"/>
      <c r="AG273" s="51"/>
      <c r="AH273" s="49"/>
      <c r="AI273" s="49"/>
      <c r="AJ273" s="49"/>
      <c r="AK273" s="49"/>
      <c r="AL273" s="119"/>
      <c r="AM273" s="49"/>
      <c r="AN273" s="119"/>
      <c r="AO273" s="49"/>
      <c r="AP273" s="119"/>
      <c r="AQ273" s="49"/>
      <c r="AR273" s="49"/>
      <c r="AS273" s="49"/>
      <c r="AT273" s="51"/>
    </row>
    <row r="274" spans="1:46" s="47" customFormat="1" ht="12.75" customHeight="1" x14ac:dyDescent="0.2">
      <c r="A274" s="49"/>
      <c r="B274" s="51"/>
      <c r="C274" s="49"/>
      <c r="E274" s="119"/>
      <c r="F274" s="49"/>
      <c r="G274" s="119"/>
      <c r="H274" s="49"/>
      <c r="I274" s="119"/>
      <c r="J274" s="49"/>
      <c r="K274" s="119"/>
      <c r="L274" s="49"/>
      <c r="M274" s="119"/>
      <c r="N274" s="49"/>
      <c r="O274" s="119"/>
      <c r="P274" s="49"/>
      <c r="Q274" s="119"/>
      <c r="R274" s="49"/>
      <c r="S274" s="119"/>
      <c r="T274" s="49"/>
      <c r="U274" s="119"/>
      <c r="V274" s="49"/>
      <c r="W274" s="49"/>
      <c r="X274" s="49"/>
      <c r="Z274" s="49"/>
      <c r="AA274" s="49"/>
      <c r="AB274" s="119"/>
      <c r="AC274" s="51"/>
      <c r="AD274" s="119"/>
      <c r="AE274" s="51"/>
      <c r="AF274" s="119"/>
      <c r="AG274" s="51"/>
      <c r="AH274" s="49"/>
      <c r="AI274" s="49"/>
      <c r="AJ274" s="49"/>
      <c r="AK274" s="49"/>
      <c r="AL274" s="119"/>
      <c r="AM274" s="49"/>
      <c r="AN274" s="119"/>
      <c r="AO274" s="49"/>
      <c r="AP274" s="119"/>
      <c r="AQ274" s="49"/>
      <c r="AR274" s="49"/>
      <c r="AS274" s="49"/>
      <c r="AT274" s="51"/>
    </row>
    <row r="275" spans="1:46" s="47" customFormat="1" ht="12.75" customHeight="1" x14ac:dyDescent="0.2">
      <c r="A275" s="49"/>
      <c r="B275" s="51"/>
      <c r="C275" s="49"/>
      <c r="E275" s="119"/>
      <c r="F275" s="49"/>
      <c r="G275" s="119"/>
      <c r="H275" s="49"/>
      <c r="I275" s="119"/>
      <c r="J275" s="49"/>
      <c r="K275" s="119"/>
      <c r="L275" s="49"/>
      <c r="M275" s="119"/>
      <c r="N275" s="49"/>
      <c r="O275" s="119"/>
      <c r="P275" s="49"/>
      <c r="Q275" s="119"/>
      <c r="R275" s="49"/>
      <c r="S275" s="119"/>
      <c r="T275" s="49"/>
      <c r="U275" s="119"/>
      <c r="V275" s="49"/>
      <c r="W275" s="49"/>
      <c r="X275" s="49"/>
      <c r="Z275" s="49"/>
      <c r="AA275" s="49"/>
      <c r="AB275" s="119"/>
      <c r="AC275" s="51"/>
      <c r="AD275" s="119"/>
      <c r="AE275" s="51"/>
      <c r="AF275" s="119"/>
      <c r="AG275" s="51"/>
      <c r="AH275" s="49"/>
      <c r="AI275" s="49"/>
      <c r="AJ275" s="49"/>
      <c r="AK275" s="49"/>
      <c r="AL275" s="119"/>
      <c r="AM275" s="49"/>
      <c r="AN275" s="119"/>
      <c r="AO275" s="49"/>
      <c r="AP275" s="119"/>
      <c r="AQ275" s="49"/>
      <c r="AR275" s="49"/>
      <c r="AS275" s="49"/>
      <c r="AT275" s="51"/>
    </row>
    <row r="276" spans="1:46" s="47" customFormat="1" ht="12.75" customHeight="1" x14ac:dyDescent="0.2">
      <c r="A276" s="49"/>
      <c r="B276" s="51"/>
      <c r="C276" s="49"/>
      <c r="E276" s="119"/>
      <c r="F276" s="49"/>
      <c r="G276" s="119"/>
      <c r="H276" s="49"/>
      <c r="I276" s="119"/>
      <c r="J276" s="49"/>
      <c r="K276" s="119"/>
      <c r="L276" s="49"/>
      <c r="M276" s="119"/>
      <c r="N276" s="49"/>
      <c r="O276" s="119"/>
      <c r="P276" s="49"/>
      <c r="Q276" s="119"/>
      <c r="R276" s="49"/>
      <c r="S276" s="119"/>
      <c r="T276" s="49"/>
      <c r="U276" s="119"/>
      <c r="V276" s="49"/>
      <c r="W276" s="49"/>
      <c r="X276" s="49"/>
      <c r="Z276" s="49"/>
      <c r="AA276" s="49"/>
      <c r="AB276" s="119"/>
      <c r="AC276" s="51"/>
      <c r="AD276" s="119"/>
      <c r="AE276" s="51"/>
      <c r="AF276" s="119"/>
      <c r="AG276" s="51"/>
      <c r="AH276" s="49"/>
      <c r="AI276" s="49"/>
      <c r="AJ276" s="49"/>
      <c r="AK276" s="49"/>
      <c r="AL276" s="119"/>
      <c r="AM276" s="49"/>
      <c r="AN276" s="119"/>
      <c r="AO276" s="49"/>
      <c r="AP276" s="119"/>
      <c r="AQ276" s="49"/>
      <c r="AR276" s="49"/>
      <c r="AS276" s="49"/>
      <c r="AT276" s="51"/>
    </row>
    <row r="277" spans="1:46" s="47" customFormat="1" ht="12.75" customHeight="1" x14ac:dyDescent="0.2">
      <c r="A277" s="49"/>
      <c r="B277" s="51"/>
      <c r="C277" s="49"/>
      <c r="E277" s="119"/>
      <c r="F277" s="49"/>
      <c r="G277" s="119"/>
      <c r="H277" s="49"/>
      <c r="I277" s="119"/>
      <c r="J277" s="49"/>
      <c r="K277" s="119"/>
      <c r="L277" s="49"/>
      <c r="M277" s="119"/>
      <c r="N277" s="49"/>
      <c r="O277" s="119"/>
      <c r="P277" s="49"/>
      <c r="Q277" s="119"/>
      <c r="R277" s="49"/>
      <c r="S277" s="119"/>
      <c r="T277" s="49"/>
      <c r="U277" s="119"/>
      <c r="V277" s="49"/>
      <c r="W277" s="49"/>
      <c r="X277" s="49"/>
      <c r="Z277" s="49"/>
      <c r="AA277" s="49"/>
      <c r="AB277" s="119"/>
      <c r="AC277" s="51"/>
      <c r="AD277" s="119"/>
      <c r="AE277" s="51"/>
      <c r="AF277" s="119"/>
      <c r="AG277" s="51"/>
      <c r="AH277" s="49"/>
      <c r="AI277" s="49"/>
      <c r="AJ277" s="49"/>
      <c r="AK277" s="49"/>
      <c r="AL277" s="119"/>
      <c r="AM277" s="49"/>
      <c r="AN277" s="119"/>
      <c r="AO277" s="49"/>
      <c r="AP277" s="119"/>
      <c r="AQ277" s="49"/>
      <c r="AR277" s="49"/>
      <c r="AS277" s="49"/>
      <c r="AT277" s="51"/>
    </row>
    <row r="278" spans="1:46" s="47" customFormat="1" ht="12.75" customHeight="1" x14ac:dyDescent="0.2">
      <c r="A278" s="49"/>
      <c r="B278" s="51"/>
      <c r="C278" s="49"/>
      <c r="E278" s="119"/>
      <c r="F278" s="49"/>
      <c r="G278" s="119"/>
      <c r="H278" s="49"/>
      <c r="I278" s="119"/>
      <c r="J278" s="49"/>
      <c r="K278" s="119"/>
      <c r="L278" s="49"/>
      <c r="M278" s="119"/>
      <c r="N278" s="49"/>
      <c r="O278" s="119"/>
      <c r="P278" s="49"/>
      <c r="Q278" s="119"/>
      <c r="R278" s="49"/>
      <c r="S278" s="119"/>
      <c r="T278" s="49"/>
      <c r="U278" s="119"/>
      <c r="V278" s="49"/>
      <c r="W278" s="49"/>
      <c r="X278" s="49"/>
      <c r="Z278" s="49"/>
      <c r="AA278" s="49"/>
      <c r="AB278" s="119"/>
      <c r="AC278" s="51"/>
      <c r="AD278" s="119"/>
      <c r="AE278" s="51"/>
      <c r="AF278" s="119"/>
      <c r="AG278" s="51"/>
      <c r="AH278" s="49"/>
      <c r="AI278" s="49"/>
      <c r="AJ278" s="49"/>
      <c r="AK278" s="49"/>
      <c r="AL278" s="119"/>
      <c r="AM278" s="49"/>
      <c r="AN278" s="119"/>
      <c r="AO278" s="49"/>
      <c r="AP278" s="119"/>
      <c r="AQ278" s="49"/>
      <c r="AR278" s="49"/>
      <c r="AS278" s="49"/>
      <c r="AT278" s="51"/>
    </row>
    <row r="279" spans="1:46" s="47" customFormat="1" ht="12.75" customHeight="1" x14ac:dyDescent="0.2">
      <c r="A279" s="49"/>
      <c r="B279" s="51"/>
      <c r="C279" s="49"/>
      <c r="E279" s="119"/>
      <c r="F279" s="49"/>
      <c r="G279" s="119"/>
      <c r="H279" s="49"/>
      <c r="I279" s="119"/>
      <c r="J279" s="49"/>
      <c r="K279" s="119"/>
      <c r="L279" s="49"/>
      <c r="M279" s="119"/>
      <c r="N279" s="49"/>
      <c r="O279" s="119"/>
      <c r="P279" s="49"/>
      <c r="Q279" s="119"/>
      <c r="R279" s="49"/>
      <c r="S279" s="119"/>
      <c r="T279" s="49"/>
      <c r="U279" s="119"/>
      <c r="V279" s="49"/>
      <c r="W279" s="49"/>
      <c r="X279" s="49"/>
      <c r="Z279" s="49"/>
      <c r="AA279" s="49"/>
      <c r="AB279" s="119"/>
      <c r="AC279" s="51"/>
      <c r="AD279" s="119"/>
      <c r="AE279" s="51"/>
      <c r="AF279" s="119"/>
      <c r="AG279" s="51"/>
      <c r="AH279" s="49"/>
      <c r="AI279" s="49"/>
      <c r="AJ279" s="49"/>
      <c r="AK279" s="49"/>
      <c r="AL279" s="119"/>
      <c r="AM279" s="49"/>
      <c r="AN279" s="119"/>
      <c r="AO279" s="49"/>
      <c r="AP279" s="119"/>
      <c r="AQ279" s="49"/>
      <c r="AR279" s="49"/>
      <c r="AS279" s="49"/>
      <c r="AT279" s="51"/>
    </row>
    <row r="280" spans="1:46" s="47" customFormat="1" ht="12.75" customHeight="1" x14ac:dyDescent="0.2">
      <c r="A280" s="49"/>
      <c r="B280" s="51"/>
      <c r="C280" s="49"/>
      <c r="E280" s="119"/>
      <c r="F280" s="49"/>
      <c r="G280" s="119"/>
      <c r="H280" s="49"/>
      <c r="I280" s="119"/>
      <c r="J280" s="49"/>
      <c r="K280" s="119"/>
      <c r="L280" s="49"/>
      <c r="M280" s="119"/>
      <c r="N280" s="49"/>
      <c r="O280" s="119"/>
      <c r="P280" s="49"/>
      <c r="Q280" s="119"/>
      <c r="R280" s="49"/>
      <c r="S280" s="119"/>
      <c r="T280" s="49"/>
      <c r="U280" s="119"/>
      <c r="V280" s="49"/>
      <c r="W280" s="49"/>
      <c r="X280" s="49"/>
      <c r="Z280" s="49"/>
      <c r="AA280" s="49"/>
      <c r="AB280" s="119"/>
      <c r="AC280" s="51"/>
      <c r="AD280" s="119"/>
      <c r="AE280" s="51"/>
      <c r="AF280" s="119"/>
      <c r="AG280" s="51"/>
      <c r="AH280" s="49"/>
      <c r="AI280" s="49"/>
      <c r="AJ280" s="49"/>
      <c r="AK280" s="49"/>
      <c r="AL280" s="119"/>
      <c r="AM280" s="49"/>
      <c r="AN280" s="119"/>
      <c r="AO280" s="49"/>
      <c r="AP280" s="119"/>
      <c r="AQ280" s="49"/>
      <c r="AR280" s="49"/>
      <c r="AS280" s="49"/>
      <c r="AT280" s="51"/>
    </row>
    <row r="281" spans="1:46" s="47" customFormat="1" ht="12.75" customHeight="1" x14ac:dyDescent="0.2">
      <c r="A281" s="49"/>
      <c r="B281" s="51"/>
      <c r="C281" s="49"/>
      <c r="E281" s="119"/>
      <c r="F281" s="49"/>
      <c r="G281" s="119"/>
      <c r="H281" s="49"/>
      <c r="I281" s="119"/>
      <c r="J281" s="49"/>
      <c r="K281" s="119"/>
      <c r="L281" s="49"/>
      <c r="M281" s="119"/>
      <c r="N281" s="49"/>
      <c r="O281" s="119"/>
      <c r="P281" s="49"/>
      <c r="Q281" s="119"/>
      <c r="R281" s="49"/>
      <c r="S281" s="119"/>
      <c r="T281" s="49"/>
      <c r="U281" s="119"/>
      <c r="V281" s="49"/>
      <c r="W281" s="49"/>
      <c r="X281" s="49"/>
      <c r="Z281" s="49"/>
      <c r="AA281" s="49"/>
      <c r="AB281" s="119"/>
      <c r="AC281" s="51"/>
      <c r="AD281" s="119"/>
      <c r="AE281" s="51"/>
      <c r="AF281" s="119"/>
      <c r="AG281" s="51"/>
      <c r="AH281" s="49"/>
      <c r="AI281" s="49"/>
      <c r="AJ281" s="49"/>
      <c r="AK281" s="49"/>
      <c r="AL281" s="119"/>
      <c r="AM281" s="49"/>
      <c r="AN281" s="119"/>
      <c r="AO281" s="49"/>
      <c r="AP281" s="119"/>
      <c r="AQ281" s="49"/>
      <c r="AR281" s="49"/>
      <c r="AS281" s="49"/>
      <c r="AT281" s="51"/>
    </row>
    <row r="282" spans="1:46" s="47" customFormat="1" ht="12.75" customHeight="1" x14ac:dyDescent="0.2">
      <c r="A282" s="49"/>
      <c r="B282" s="51"/>
      <c r="C282" s="49"/>
      <c r="E282" s="119"/>
      <c r="F282" s="49"/>
      <c r="G282" s="119"/>
      <c r="H282" s="49"/>
      <c r="I282" s="119"/>
      <c r="J282" s="49"/>
      <c r="K282" s="119"/>
      <c r="L282" s="49"/>
      <c r="M282" s="119"/>
      <c r="N282" s="49"/>
      <c r="O282" s="119"/>
      <c r="P282" s="49"/>
      <c r="Q282" s="119"/>
      <c r="R282" s="49"/>
      <c r="S282" s="119"/>
      <c r="T282" s="49"/>
      <c r="U282" s="119"/>
      <c r="V282" s="49"/>
      <c r="W282" s="49"/>
      <c r="X282" s="49"/>
      <c r="Z282" s="49"/>
      <c r="AA282" s="49"/>
      <c r="AB282" s="119"/>
      <c r="AC282" s="51"/>
      <c r="AD282" s="119"/>
      <c r="AE282" s="51"/>
      <c r="AF282" s="119"/>
      <c r="AG282" s="51"/>
      <c r="AH282" s="49"/>
      <c r="AI282" s="49"/>
      <c r="AJ282" s="49"/>
      <c r="AK282" s="49"/>
      <c r="AL282" s="119"/>
      <c r="AM282" s="49"/>
      <c r="AN282" s="119"/>
      <c r="AO282" s="49"/>
      <c r="AP282" s="119"/>
      <c r="AQ282" s="49"/>
      <c r="AR282" s="49"/>
      <c r="AS282" s="49"/>
      <c r="AT282" s="51"/>
    </row>
    <row r="283" spans="1:46" s="47" customFormat="1" ht="12.75" customHeight="1" x14ac:dyDescent="0.2">
      <c r="A283" s="49"/>
      <c r="B283" s="51"/>
      <c r="C283" s="49"/>
      <c r="E283" s="119"/>
      <c r="F283" s="49"/>
      <c r="G283" s="119"/>
      <c r="H283" s="49"/>
      <c r="I283" s="119"/>
      <c r="J283" s="49"/>
      <c r="K283" s="119"/>
      <c r="L283" s="49"/>
      <c r="M283" s="119"/>
      <c r="N283" s="49"/>
      <c r="O283" s="119"/>
      <c r="P283" s="49"/>
      <c r="Q283" s="119"/>
      <c r="R283" s="49"/>
      <c r="S283" s="119"/>
      <c r="T283" s="49"/>
      <c r="U283" s="119"/>
      <c r="V283" s="49"/>
      <c r="W283" s="49"/>
      <c r="X283" s="49"/>
      <c r="Z283" s="49"/>
      <c r="AA283" s="49"/>
      <c r="AB283" s="119"/>
      <c r="AC283" s="51"/>
      <c r="AD283" s="119"/>
      <c r="AE283" s="51"/>
      <c r="AF283" s="119"/>
      <c r="AG283" s="51"/>
      <c r="AH283" s="49"/>
      <c r="AI283" s="49"/>
      <c r="AJ283" s="49"/>
      <c r="AK283" s="49"/>
      <c r="AL283" s="119"/>
      <c r="AM283" s="49"/>
      <c r="AN283" s="119"/>
      <c r="AO283" s="49"/>
      <c r="AP283" s="119"/>
      <c r="AQ283" s="49"/>
      <c r="AR283" s="49"/>
      <c r="AS283" s="49"/>
      <c r="AT283" s="51"/>
    </row>
    <row r="284" spans="1:46" s="47" customFormat="1" ht="12.75" customHeight="1" x14ac:dyDescent="0.2">
      <c r="A284" s="49"/>
      <c r="B284" s="51"/>
      <c r="C284" s="49"/>
      <c r="E284" s="119"/>
      <c r="F284" s="49"/>
      <c r="G284" s="119"/>
      <c r="H284" s="49"/>
      <c r="I284" s="119"/>
      <c r="J284" s="49"/>
      <c r="K284" s="119"/>
      <c r="L284" s="49"/>
      <c r="M284" s="119"/>
      <c r="N284" s="49"/>
      <c r="O284" s="119"/>
      <c r="P284" s="49"/>
      <c r="Q284" s="119"/>
      <c r="R284" s="49"/>
      <c r="S284" s="119"/>
      <c r="T284" s="49"/>
      <c r="U284" s="119"/>
      <c r="V284" s="49"/>
      <c r="W284" s="49"/>
      <c r="X284" s="49"/>
      <c r="Z284" s="49"/>
      <c r="AA284" s="49"/>
      <c r="AB284" s="119"/>
      <c r="AC284" s="51"/>
      <c r="AD284" s="119"/>
      <c r="AE284" s="51"/>
      <c r="AF284" s="119"/>
      <c r="AG284" s="51"/>
      <c r="AH284" s="49"/>
      <c r="AI284" s="49"/>
      <c r="AJ284" s="49"/>
      <c r="AK284" s="49"/>
      <c r="AL284" s="119"/>
      <c r="AM284" s="49"/>
      <c r="AN284" s="119"/>
      <c r="AO284" s="49"/>
      <c r="AP284" s="119"/>
      <c r="AQ284" s="49"/>
      <c r="AR284" s="49"/>
      <c r="AS284" s="49"/>
      <c r="AT284" s="51"/>
    </row>
    <row r="285" spans="1:46" s="47" customFormat="1" ht="12.75" customHeight="1" x14ac:dyDescent="0.2">
      <c r="A285" s="49"/>
      <c r="B285" s="51"/>
      <c r="C285" s="49"/>
      <c r="E285" s="119"/>
      <c r="F285" s="49"/>
      <c r="G285" s="119"/>
      <c r="H285" s="49"/>
      <c r="I285" s="119"/>
      <c r="J285" s="49"/>
      <c r="K285" s="119"/>
      <c r="L285" s="49"/>
      <c r="M285" s="119"/>
      <c r="N285" s="49"/>
      <c r="O285" s="119"/>
      <c r="P285" s="49"/>
      <c r="Q285" s="119"/>
      <c r="R285" s="49"/>
      <c r="S285" s="119"/>
      <c r="T285" s="49"/>
      <c r="U285" s="119"/>
      <c r="V285" s="49"/>
      <c r="W285" s="49"/>
      <c r="X285" s="49"/>
      <c r="Z285" s="49"/>
      <c r="AA285" s="49"/>
      <c r="AB285" s="119"/>
      <c r="AC285" s="51"/>
      <c r="AD285" s="119"/>
      <c r="AE285" s="51"/>
      <c r="AF285" s="119"/>
      <c r="AG285" s="51"/>
      <c r="AH285" s="49"/>
      <c r="AI285" s="49"/>
      <c r="AJ285" s="49"/>
      <c r="AK285" s="49"/>
      <c r="AL285" s="119"/>
      <c r="AM285" s="49"/>
      <c r="AN285" s="119"/>
      <c r="AO285" s="49"/>
      <c r="AP285" s="119"/>
      <c r="AQ285" s="49"/>
      <c r="AR285" s="49"/>
      <c r="AS285" s="49"/>
      <c r="AT285" s="51"/>
    </row>
    <row r="286" spans="1:46" s="47" customFormat="1" ht="12.75" customHeight="1" x14ac:dyDescent="0.2">
      <c r="A286" s="49"/>
      <c r="B286" s="51"/>
      <c r="C286" s="49"/>
      <c r="E286" s="119"/>
      <c r="F286" s="49"/>
      <c r="G286" s="119"/>
      <c r="H286" s="49"/>
      <c r="I286" s="119"/>
      <c r="J286" s="49"/>
      <c r="K286" s="119"/>
      <c r="L286" s="49"/>
      <c r="M286" s="119"/>
      <c r="N286" s="49"/>
      <c r="O286" s="119"/>
      <c r="P286" s="49"/>
      <c r="Q286" s="119"/>
      <c r="R286" s="49"/>
      <c r="S286" s="119"/>
      <c r="T286" s="49"/>
      <c r="U286" s="119"/>
      <c r="V286" s="49"/>
      <c r="W286" s="49"/>
      <c r="X286" s="49"/>
      <c r="Z286" s="49"/>
      <c r="AA286" s="49"/>
      <c r="AB286" s="119"/>
      <c r="AC286" s="51"/>
      <c r="AD286" s="119"/>
      <c r="AE286" s="51"/>
      <c r="AF286" s="119"/>
      <c r="AG286" s="51"/>
      <c r="AH286" s="49"/>
      <c r="AI286" s="49"/>
      <c r="AJ286" s="49"/>
      <c r="AK286" s="49"/>
      <c r="AL286" s="119"/>
      <c r="AM286" s="49"/>
      <c r="AN286" s="119"/>
      <c r="AO286" s="49"/>
      <c r="AP286" s="119"/>
      <c r="AQ286" s="49"/>
      <c r="AR286" s="49"/>
      <c r="AS286" s="49"/>
      <c r="AT286" s="51"/>
    </row>
    <row r="287" spans="1:46" s="47" customFormat="1" ht="12.75" customHeight="1" x14ac:dyDescent="0.2">
      <c r="A287" s="49"/>
      <c r="B287" s="51"/>
      <c r="C287" s="49"/>
      <c r="E287" s="119"/>
      <c r="F287" s="49"/>
      <c r="G287" s="119"/>
      <c r="H287" s="49"/>
      <c r="I287" s="119"/>
      <c r="J287" s="49"/>
      <c r="K287" s="119"/>
      <c r="L287" s="49"/>
      <c r="M287" s="119"/>
      <c r="N287" s="49"/>
      <c r="O287" s="119"/>
      <c r="P287" s="49"/>
      <c r="Q287" s="119"/>
      <c r="R287" s="49"/>
      <c r="S287" s="119"/>
      <c r="T287" s="49"/>
      <c r="U287" s="119"/>
      <c r="V287" s="49"/>
      <c r="W287" s="49"/>
      <c r="X287" s="49"/>
      <c r="Z287" s="49"/>
      <c r="AA287" s="49"/>
      <c r="AB287" s="119"/>
      <c r="AC287" s="51"/>
      <c r="AD287" s="119"/>
      <c r="AE287" s="51"/>
      <c r="AF287" s="119"/>
      <c r="AG287" s="51"/>
      <c r="AH287" s="49"/>
      <c r="AI287" s="49"/>
      <c r="AJ287" s="49"/>
      <c r="AK287" s="49"/>
      <c r="AL287" s="119"/>
      <c r="AM287" s="49"/>
      <c r="AN287" s="119"/>
      <c r="AO287" s="49"/>
      <c r="AP287" s="119"/>
      <c r="AQ287" s="49"/>
      <c r="AR287" s="49"/>
      <c r="AS287" s="49"/>
      <c r="AT287" s="51"/>
    </row>
    <row r="288" spans="1:46" s="47" customFormat="1" ht="12.75" customHeight="1" x14ac:dyDescent="0.2">
      <c r="A288" s="49"/>
      <c r="B288" s="51"/>
      <c r="C288" s="49"/>
      <c r="E288" s="119"/>
      <c r="F288" s="49"/>
      <c r="G288" s="119"/>
      <c r="H288" s="49"/>
      <c r="I288" s="119"/>
      <c r="J288" s="49"/>
      <c r="K288" s="119"/>
      <c r="L288" s="49"/>
      <c r="M288" s="119"/>
      <c r="N288" s="49"/>
      <c r="O288" s="119"/>
      <c r="P288" s="49"/>
      <c r="Q288" s="119"/>
      <c r="R288" s="49"/>
      <c r="S288" s="119"/>
      <c r="T288" s="49"/>
      <c r="U288" s="119"/>
      <c r="V288" s="49"/>
      <c r="W288" s="49"/>
      <c r="X288" s="49"/>
      <c r="Z288" s="49"/>
      <c r="AA288" s="49"/>
      <c r="AB288" s="119"/>
      <c r="AC288" s="51"/>
      <c r="AD288" s="119"/>
      <c r="AE288" s="51"/>
      <c r="AF288" s="119"/>
      <c r="AG288" s="51"/>
      <c r="AH288" s="49"/>
      <c r="AI288" s="49"/>
      <c r="AJ288" s="49"/>
      <c r="AK288" s="49"/>
      <c r="AL288" s="119"/>
      <c r="AM288" s="49"/>
      <c r="AN288" s="119"/>
      <c r="AO288" s="49"/>
      <c r="AP288" s="119"/>
      <c r="AQ288" s="49"/>
      <c r="AR288" s="49"/>
      <c r="AS288" s="49"/>
      <c r="AT288" s="51"/>
    </row>
    <row r="289" spans="1:46" s="47" customFormat="1" ht="12.75" customHeight="1" x14ac:dyDescent="0.2">
      <c r="A289" s="49"/>
      <c r="B289" s="51"/>
      <c r="C289" s="49"/>
      <c r="E289" s="119"/>
      <c r="F289" s="49"/>
      <c r="G289" s="119"/>
      <c r="H289" s="49"/>
      <c r="I289" s="119"/>
      <c r="J289" s="49"/>
      <c r="K289" s="119"/>
      <c r="L289" s="49"/>
      <c r="M289" s="119"/>
      <c r="N289" s="49"/>
      <c r="O289" s="119"/>
      <c r="P289" s="49"/>
      <c r="Q289" s="119"/>
      <c r="R289" s="49"/>
      <c r="S289" s="119"/>
      <c r="T289" s="49"/>
      <c r="U289" s="119"/>
      <c r="V289" s="49"/>
      <c r="W289" s="49"/>
      <c r="X289" s="49"/>
      <c r="Z289" s="49"/>
      <c r="AA289" s="49"/>
      <c r="AB289" s="119"/>
      <c r="AC289" s="51"/>
      <c r="AD289" s="119"/>
      <c r="AE289" s="51"/>
      <c r="AF289" s="119"/>
      <c r="AG289" s="51"/>
      <c r="AH289" s="49"/>
      <c r="AI289" s="49"/>
      <c r="AJ289" s="49"/>
      <c r="AK289" s="49"/>
      <c r="AL289" s="119"/>
      <c r="AM289" s="49"/>
      <c r="AN289" s="119"/>
      <c r="AO289" s="49"/>
      <c r="AP289" s="119"/>
      <c r="AQ289" s="49"/>
      <c r="AR289" s="49"/>
      <c r="AS289" s="49"/>
      <c r="AT289" s="51"/>
    </row>
    <row r="290" spans="1:46" s="47" customFormat="1" ht="12.75" customHeight="1" x14ac:dyDescent="0.2">
      <c r="A290" s="49"/>
      <c r="B290" s="51"/>
      <c r="C290" s="49"/>
      <c r="E290" s="119"/>
      <c r="F290" s="49"/>
      <c r="G290" s="119"/>
      <c r="H290" s="49"/>
      <c r="I290" s="119"/>
      <c r="J290" s="49"/>
      <c r="K290" s="119"/>
      <c r="L290" s="49"/>
      <c r="M290" s="119"/>
      <c r="N290" s="49"/>
      <c r="O290" s="119"/>
      <c r="P290" s="49"/>
      <c r="Q290" s="119"/>
      <c r="R290" s="49"/>
      <c r="S290" s="119"/>
      <c r="T290" s="49"/>
      <c r="U290" s="119"/>
      <c r="V290" s="49"/>
      <c r="W290" s="49"/>
      <c r="X290" s="49"/>
      <c r="Z290" s="49"/>
      <c r="AA290" s="49"/>
      <c r="AB290" s="119"/>
      <c r="AC290" s="51"/>
      <c r="AD290" s="119"/>
      <c r="AE290" s="51"/>
      <c r="AF290" s="119"/>
      <c r="AG290" s="51"/>
      <c r="AH290" s="49"/>
      <c r="AI290" s="49"/>
      <c r="AJ290" s="49"/>
      <c r="AK290" s="49"/>
      <c r="AL290" s="119"/>
      <c r="AM290" s="49"/>
      <c r="AN290" s="119"/>
      <c r="AO290" s="49"/>
      <c r="AP290" s="119"/>
      <c r="AQ290" s="49"/>
      <c r="AR290" s="49"/>
      <c r="AS290" s="49"/>
      <c r="AT290" s="51"/>
    </row>
    <row r="291" spans="1:46" s="47" customFormat="1" ht="12.75" customHeight="1" x14ac:dyDescent="0.2">
      <c r="A291" s="49"/>
      <c r="B291" s="51"/>
      <c r="C291" s="49"/>
      <c r="E291" s="119"/>
      <c r="F291" s="49"/>
      <c r="G291" s="119"/>
      <c r="H291" s="49"/>
      <c r="I291" s="119"/>
      <c r="J291" s="49"/>
      <c r="K291" s="119"/>
      <c r="L291" s="49"/>
      <c r="M291" s="119"/>
      <c r="N291" s="49"/>
      <c r="O291" s="119"/>
      <c r="P291" s="49"/>
      <c r="Q291" s="119"/>
      <c r="R291" s="49"/>
      <c r="S291" s="119"/>
      <c r="T291" s="49"/>
      <c r="U291" s="119"/>
      <c r="V291" s="49"/>
      <c r="W291" s="49"/>
      <c r="X291" s="49"/>
      <c r="Z291" s="49"/>
      <c r="AA291" s="49"/>
      <c r="AB291" s="119"/>
      <c r="AC291" s="51"/>
      <c r="AD291" s="119"/>
      <c r="AE291" s="51"/>
      <c r="AF291" s="119"/>
      <c r="AG291" s="51"/>
      <c r="AH291" s="49"/>
      <c r="AI291" s="49"/>
      <c r="AJ291" s="49"/>
      <c r="AK291" s="49"/>
      <c r="AL291" s="119"/>
      <c r="AM291" s="49"/>
      <c r="AN291" s="119"/>
      <c r="AO291" s="49"/>
      <c r="AP291" s="119"/>
      <c r="AQ291" s="49"/>
      <c r="AR291" s="49"/>
      <c r="AS291" s="49"/>
      <c r="AT291" s="51"/>
    </row>
    <row r="292" spans="1:46" s="47" customFormat="1" ht="12.75" customHeight="1" x14ac:dyDescent="0.2">
      <c r="A292" s="49"/>
      <c r="B292" s="51"/>
      <c r="C292" s="49"/>
      <c r="E292" s="119"/>
      <c r="F292" s="49"/>
      <c r="G292" s="119"/>
      <c r="H292" s="49"/>
      <c r="I292" s="119"/>
      <c r="J292" s="49"/>
      <c r="K292" s="119"/>
      <c r="L292" s="49"/>
      <c r="M292" s="119"/>
      <c r="N292" s="49"/>
      <c r="O292" s="119"/>
      <c r="P292" s="49"/>
      <c r="Q292" s="119"/>
      <c r="R292" s="49"/>
      <c r="S292" s="119"/>
      <c r="T292" s="49"/>
      <c r="U292" s="119"/>
      <c r="V292" s="49"/>
      <c r="W292" s="49"/>
      <c r="X292" s="49"/>
      <c r="Z292" s="49"/>
      <c r="AA292" s="49"/>
      <c r="AB292" s="119"/>
      <c r="AC292" s="51"/>
      <c r="AD292" s="119"/>
      <c r="AE292" s="51"/>
      <c r="AF292" s="119"/>
      <c r="AG292" s="51"/>
      <c r="AH292" s="49"/>
      <c r="AI292" s="49"/>
      <c r="AJ292" s="49"/>
      <c r="AK292" s="49"/>
      <c r="AL292" s="119"/>
      <c r="AM292" s="49"/>
      <c r="AN292" s="119"/>
      <c r="AO292" s="49"/>
      <c r="AP292" s="119"/>
      <c r="AQ292" s="49"/>
      <c r="AR292" s="49"/>
      <c r="AS292" s="49"/>
      <c r="AT292" s="51"/>
    </row>
    <row r="293" spans="1:46" s="47" customFormat="1" ht="12.75" customHeight="1" x14ac:dyDescent="0.2">
      <c r="A293" s="49"/>
      <c r="B293" s="51"/>
      <c r="C293" s="49"/>
      <c r="E293" s="119"/>
      <c r="F293" s="49"/>
      <c r="G293" s="119"/>
      <c r="H293" s="49"/>
      <c r="I293" s="119"/>
      <c r="J293" s="49"/>
      <c r="K293" s="119"/>
      <c r="L293" s="49"/>
      <c r="M293" s="119"/>
      <c r="N293" s="49"/>
      <c r="O293" s="119"/>
      <c r="P293" s="49"/>
      <c r="Q293" s="119"/>
      <c r="R293" s="49"/>
      <c r="S293" s="119"/>
      <c r="T293" s="49"/>
      <c r="U293" s="119"/>
      <c r="V293" s="49"/>
      <c r="W293" s="49"/>
      <c r="X293" s="49"/>
      <c r="Z293" s="49"/>
      <c r="AA293" s="49"/>
      <c r="AB293" s="119"/>
      <c r="AC293" s="51"/>
      <c r="AD293" s="119"/>
      <c r="AE293" s="51"/>
      <c r="AF293" s="119"/>
      <c r="AG293" s="51"/>
      <c r="AH293" s="49"/>
      <c r="AI293" s="49"/>
      <c r="AJ293" s="49"/>
      <c r="AK293" s="49"/>
      <c r="AL293" s="119"/>
      <c r="AM293" s="49"/>
      <c r="AN293" s="119"/>
      <c r="AO293" s="49"/>
      <c r="AP293" s="119"/>
      <c r="AQ293" s="49"/>
      <c r="AR293" s="49"/>
      <c r="AS293" s="49"/>
      <c r="AT293" s="51"/>
    </row>
    <row r="294" spans="1:46" s="47" customFormat="1" ht="12.75" customHeight="1" x14ac:dyDescent="0.2">
      <c r="A294" s="49"/>
      <c r="B294" s="51"/>
      <c r="C294" s="49"/>
      <c r="E294" s="119"/>
      <c r="F294" s="49"/>
      <c r="G294" s="119"/>
      <c r="H294" s="49"/>
      <c r="I294" s="119"/>
      <c r="J294" s="49"/>
      <c r="K294" s="119"/>
      <c r="L294" s="49"/>
      <c r="M294" s="119"/>
      <c r="N294" s="49"/>
      <c r="O294" s="119"/>
      <c r="P294" s="49"/>
      <c r="Q294" s="119"/>
      <c r="R294" s="49"/>
      <c r="S294" s="119"/>
      <c r="T294" s="49"/>
      <c r="U294" s="119"/>
      <c r="V294" s="49"/>
      <c r="W294" s="49"/>
      <c r="X294" s="49"/>
      <c r="Z294" s="49"/>
      <c r="AA294" s="49"/>
      <c r="AB294" s="119"/>
      <c r="AC294" s="51"/>
      <c r="AD294" s="119"/>
      <c r="AE294" s="51"/>
      <c r="AF294" s="119"/>
      <c r="AG294" s="51"/>
      <c r="AH294" s="49"/>
      <c r="AI294" s="49"/>
      <c r="AJ294" s="49"/>
      <c r="AK294" s="49"/>
      <c r="AL294" s="119"/>
      <c r="AM294" s="49"/>
      <c r="AN294" s="119"/>
      <c r="AO294" s="49"/>
      <c r="AP294" s="119"/>
      <c r="AQ294" s="49"/>
      <c r="AR294" s="49"/>
      <c r="AS294" s="49"/>
      <c r="AT294" s="51"/>
    </row>
    <row r="295" spans="1:46" s="47" customFormat="1" ht="12.75" customHeight="1" x14ac:dyDescent="0.2">
      <c r="A295" s="49"/>
      <c r="B295" s="51"/>
      <c r="C295" s="49"/>
      <c r="E295" s="119"/>
      <c r="F295" s="49"/>
      <c r="G295" s="119"/>
      <c r="H295" s="49"/>
      <c r="I295" s="119"/>
      <c r="J295" s="49"/>
      <c r="K295" s="119"/>
      <c r="L295" s="49"/>
      <c r="M295" s="119"/>
      <c r="N295" s="49"/>
      <c r="O295" s="119"/>
      <c r="P295" s="49"/>
      <c r="Q295" s="119"/>
      <c r="R295" s="49"/>
      <c r="S295" s="119"/>
      <c r="T295" s="49"/>
      <c r="U295" s="119"/>
      <c r="V295" s="49"/>
      <c r="W295" s="49"/>
      <c r="X295" s="49"/>
      <c r="Z295" s="49"/>
      <c r="AA295" s="49"/>
      <c r="AB295" s="119"/>
      <c r="AC295" s="51"/>
      <c r="AD295" s="119"/>
      <c r="AE295" s="51"/>
      <c r="AF295" s="119"/>
      <c r="AG295" s="51"/>
      <c r="AH295" s="49"/>
      <c r="AI295" s="49"/>
      <c r="AJ295" s="49"/>
      <c r="AK295" s="49"/>
      <c r="AL295" s="119"/>
      <c r="AM295" s="49"/>
      <c r="AN295" s="119"/>
      <c r="AO295" s="49"/>
      <c r="AP295" s="119"/>
      <c r="AQ295" s="49"/>
      <c r="AR295" s="49"/>
      <c r="AS295" s="49"/>
      <c r="AT295" s="51"/>
    </row>
    <row r="296" spans="1:46" s="47" customFormat="1" ht="12.75" customHeight="1" x14ac:dyDescent="0.2">
      <c r="A296" s="49"/>
      <c r="B296" s="51"/>
      <c r="C296" s="49"/>
      <c r="E296" s="119"/>
      <c r="F296" s="49"/>
      <c r="G296" s="119"/>
      <c r="H296" s="49"/>
      <c r="I296" s="119"/>
      <c r="J296" s="49"/>
      <c r="K296" s="119"/>
      <c r="L296" s="49"/>
      <c r="M296" s="119"/>
      <c r="N296" s="49"/>
      <c r="O296" s="119"/>
      <c r="P296" s="49"/>
      <c r="Q296" s="119"/>
      <c r="R296" s="49"/>
      <c r="S296" s="119"/>
      <c r="T296" s="49"/>
      <c r="U296" s="119"/>
      <c r="V296" s="49"/>
      <c r="W296" s="49"/>
      <c r="X296" s="49"/>
      <c r="Z296" s="49"/>
      <c r="AA296" s="49"/>
      <c r="AB296" s="119"/>
      <c r="AC296" s="51"/>
      <c r="AD296" s="119"/>
      <c r="AE296" s="51"/>
      <c r="AF296" s="119"/>
      <c r="AG296" s="51"/>
      <c r="AH296" s="49"/>
      <c r="AI296" s="49"/>
      <c r="AJ296" s="49"/>
      <c r="AK296" s="49"/>
      <c r="AL296" s="119"/>
      <c r="AM296" s="49"/>
      <c r="AN296" s="119"/>
      <c r="AO296" s="49"/>
      <c r="AP296" s="119"/>
      <c r="AQ296" s="49"/>
      <c r="AR296" s="49"/>
      <c r="AS296" s="49"/>
      <c r="AT296" s="51"/>
    </row>
    <row r="297" spans="1:46" s="47" customFormat="1" ht="12.75" customHeight="1" x14ac:dyDescent="0.2">
      <c r="A297" s="49"/>
      <c r="B297" s="51"/>
      <c r="C297" s="49"/>
      <c r="E297" s="119"/>
      <c r="F297" s="49"/>
      <c r="G297" s="119"/>
      <c r="H297" s="49"/>
      <c r="I297" s="119"/>
      <c r="J297" s="49"/>
      <c r="K297" s="119"/>
      <c r="L297" s="49"/>
      <c r="M297" s="119"/>
      <c r="N297" s="49"/>
      <c r="O297" s="119"/>
      <c r="P297" s="49"/>
      <c r="Q297" s="119"/>
      <c r="R297" s="49"/>
      <c r="S297" s="119"/>
      <c r="T297" s="49"/>
      <c r="U297" s="119"/>
      <c r="V297" s="49"/>
      <c r="W297" s="49"/>
      <c r="X297" s="49"/>
      <c r="Z297" s="49"/>
      <c r="AA297" s="49"/>
      <c r="AB297" s="119"/>
      <c r="AC297" s="51"/>
      <c r="AD297" s="119"/>
      <c r="AE297" s="51"/>
      <c r="AF297" s="119"/>
      <c r="AG297" s="51"/>
      <c r="AH297" s="49"/>
      <c r="AI297" s="49"/>
      <c r="AJ297" s="49"/>
      <c r="AK297" s="49"/>
      <c r="AL297" s="119"/>
      <c r="AM297" s="49"/>
      <c r="AN297" s="119"/>
      <c r="AO297" s="49"/>
      <c r="AP297" s="119"/>
      <c r="AQ297" s="49"/>
      <c r="AR297" s="49"/>
      <c r="AS297" s="49"/>
      <c r="AT297" s="51"/>
    </row>
    <row r="298" spans="1:46" s="47" customFormat="1" ht="12.75" customHeight="1" x14ac:dyDescent="0.2">
      <c r="A298" s="49"/>
      <c r="B298" s="51"/>
      <c r="C298" s="49"/>
      <c r="E298" s="119"/>
      <c r="F298" s="49"/>
      <c r="G298" s="119"/>
      <c r="H298" s="49"/>
      <c r="I298" s="119"/>
      <c r="J298" s="49"/>
      <c r="K298" s="119"/>
      <c r="L298" s="49"/>
      <c r="M298" s="119"/>
      <c r="N298" s="49"/>
      <c r="O298" s="119"/>
      <c r="P298" s="49"/>
      <c r="Q298" s="119"/>
      <c r="R298" s="49"/>
      <c r="S298" s="119"/>
      <c r="T298" s="49"/>
      <c r="U298" s="119"/>
      <c r="V298" s="49"/>
      <c r="W298" s="49"/>
      <c r="X298" s="49"/>
      <c r="Z298" s="49"/>
      <c r="AA298" s="49"/>
      <c r="AB298" s="119"/>
      <c r="AC298" s="51"/>
      <c r="AD298" s="119"/>
      <c r="AE298" s="51"/>
      <c r="AF298" s="119"/>
      <c r="AG298" s="51"/>
      <c r="AH298" s="49"/>
      <c r="AI298" s="49"/>
      <c r="AJ298" s="49"/>
      <c r="AK298" s="49"/>
      <c r="AL298" s="119"/>
      <c r="AM298" s="49"/>
      <c r="AN298" s="119"/>
      <c r="AO298" s="49"/>
      <c r="AP298" s="119"/>
      <c r="AQ298" s="49"/>
      <c r="AR298" s="49"/>
      <c r="AS298" s="49"/>
      <c r="AT298" s="51"/>
    </row>
    <row r="299" spans="1:46" s="47" customFormat="1" ht="12.75" customHeight="1" x14ac:dyDescent="0.2">
      <c r="A299" s="49"/>
      <c r="B299" s="51"/>
      <c r="C299" s="49"/>
      <c r="E299" s="119"/>
      <c r="F299" s="49"/>
      <c r="G299" s="119"/>
      <c r="H299" s="49"/>
      <c r="I299" s="119"/>
      <c r="J299" s="49"/>
      <c r="K299" s="119"/>
      <c r="L299" s="49"/>
      <c r="M299" s="119"/>
      <c r="N299" s="49"/>
      <c r="O299" s="119"/>
      <c r="P299" s="49"/>
      <c r="Q299" s="119"/>
      <c r="R299" s="49"/>
      <c r="S299" s="119"/>
      <c r="T299" s="49"/>
      <c r="U299" s="119"/>
      <c r="V299" s="49"/>
      <c r="W299" s="49"/>
      <c r="X299" s="49"/>
      <c r="Z299" s="49"/>
      <c r="AA299" s="49"/>
      <c r="AB299" s="119"/>
      <c r="AC299" s="51"/>
      <c r="AD299" s="119"/>
      <c r="AE299" s="51"/>
      <c r="AF299" s="119"/>
      <c r="AG299" s="51"/>
      <c r="AH299" s="49"/>
      <c r="AI299" s="49"/>
      <c r="AJ299" s="49"/>
      <c r="AK299" s="49"/>
      <c r="AL299" s="119"/>
      <c r="AM299" s="49"/>
      <c r="AN299" s="119"/>
      <c r="AO299" s="49"/>
      <c r="AP299" s="119"/>
      <c r="AQ299" s="49"/>
      <c r="AR299" s="49"/>
      <c r="AS299" s="49"/>
      <c r="AT299" s="51"/>
    </row>
    <row r="300" spans="1:46" s="47" customFormat="1" ht="12.75" customHeight="1" x14ac:dyDescent="0.2">
      <c r="A300" s="49"/>
      <c r="B300" s="51"/>
      <c r="C300" s="49"/>
      <c r="E300" s="119"/>
      <c r="F300" s="49"/>
      <c r="G300" s="119"/>
      <c r="H300" s="49"/>
      <c r="I300" s="119"/>
      <c r="J300" s="49"/>
      <c r="K300" s="119"/>
      <c r="L300" s="49"/>
      <c r="M300" s="119"/>
      <c r="N300" s="49"/>
      <c r="O300" s="119"/>
      <c r="P300" s="49"/>
      <c r="Q300" s="119"/>
      <c r="R300" s="49"/>
      <c r="S300" s="119"/>
      <c r="T300" s="49"/>
      <c r="U300" s="119"/>
      <c r="V300" s="49"/>
      <c r="W300" s="49"/>
      <c r="X300" s="49"/>
      <c r="Z300" s="49"/>
      <c r="AA300" s="49"/>
      <c r="AB300" s="119"/>
      <c r="AC300" s="51"/>
      <c r="AD300" s="119"/>
      <c r="AE300" s="51"/>
      <c r="AF300" s="119"/>
      <c r="AG300" s="51"/>
      <c r="AH300" s="49"/>
      <c r="AI300" s="49"/>
      <c r="AJ300" s="49"/>
      <c r="AK300" s="49"/>
      <c r="AL300" s="119"/>
      <c r="AM300" s="49"/>
      <c r="AN300" s="119"/>
      <c r="AO300" s="49"/>
      <c r="AP300" s="119"/>
      <c r="AQ300" s="49"/>
      <c r="AR300" s="49"/>
      <c r="AS300" s="49"/>
      <c r="AT300" s="51"/>
    </row>
    <row r="301" spans="1:46" s="47" customFormat="1" ht="12.75" customHeight="1" x14ac:dyDescent="0.2">
      <c r="A301" s="49"/>
      <c r="B301" s="51"/>
      <c r="C301" s="49"/>
      <c r="E301" s="119"/>
      <c r="F301" s="49"/>
      <c r="G301" s="119"/>
      <c r="H301" s="49"/>
      <c r="I301" s="119"/>
      <c r="J301" s="49"/>
      <c r="K301" s="119"/>
      <c r="L301" s="49"/>
      <c r="M301" s="119"/>
      <c r="N301" s="49"/>
      <c r="O301" s="119"/>
      <c r="P301" s="49"/>
      <c r="Q301" s="119"/>
      <c r="R301" s="49"/>
      <c r="S301" s="119"/>
      <c r="T301" s="49"/>
      <c r="U301" s="119"/>
      <c r="V301" s="49"/>
      <c r="W301" s="49"/>
      <c r="X301" s="49"/>
      <c r="Z301" s="49"/>
      <c r="AA301" s="49"/>
      <c r="AB301" s="119"/>
      <c r="AC301" s="51"/>
      <c r="AD301" s="119"/>
      <c r="AE301" s="51"/>
      <c r="AF301" s="119"/>
      <c r="AG301" s="51"/>
      <c r="AH301" s="49"/>
      <c r="AI301" s="49"/>
      <c r="AJ301" s="49"/>
      <c r="AK301" s="49"/>
      <c r="AL301" s="119"/>
      <c r="AM301" s="49"/>
      <c r="AN301" s="119"/>
      <c r="AO301" s="49"/>
      <c r="AP301" s="119"/>
      <c r="AQ301" s="49"/>
      <c r="AR301" s="49"/>
      <c r="AS301" s="49"/>
      <c r="AT301" s="51"/>
    </row>
    <row r="302" spans="1:46" s="47" customFormat="1" ht="12.75" customHeight="1" x14ac:dyDescent="0.2">
      <c r="A302" s="49"/>
      <c r="B302" s="51"/>
      <c r="C302" s="49"/>
      <c r="E302" s="119"/>
      <c r="F302" s="49"/>
      <c r="G302" s="119"/>
      <c r="H302" s="49"/>
      <c r="I302" s="119"/>
      <c r="J302" s="49"/>
      <c r="K302" s="119"/>
      <c r="L302" s="49"/>
      <c r="M302" s="119"/>
      <c r="N302" s="49"/>
      <c r="O302" s="119"/>
      <c r="P302" s="49"/>
      <c r="Q302" s="119"/>
      <c r="R302" s="49"/>
      <c r="S302" s="119"/>
      <c r="T302" s="49"/>
      <c r="U302" s="119"/>
      <c r="V302" s="49"/>
      <c r="W302" s="49"/>
      <c r="X302" s="49"/>
      <c r="Z302" s="49"/>
      <c r="AA302" s="49"/>
      <c r="AB302" s="119"/>
      <c r="AC302" s="51"/>
      <c r="AD302" s="119"/>
      <c r="AE302" s="51"/>
      <c r="AF302" s="119"/>
      <c r="AG302" s="51"/>
      <c r="AH302" s="49"/>
      <c r="AI302" s="49"/>
      <c r="AJ302" s="49"/>
      <c r="AK302" s="49"/>
      <c r="AL302" s="119"/>
      <c r="AM302" s="49"/>
      <c r="AN302" s="119"/>
      <c r="AO302" s="49"/>
      <c r="AP302" s="119"/>
      <c r="AQ302" s="49"/>
      <c r="AR302" s="49"/>
      <c r="AS302" s="49"/>
      <c r="AT302" s="51"/>
    </row>
    <row r="303" spans="1:46" s="47" customFormat="1" ht="12.75" customHeight="1" x14ac:dyDescent="0.2">
      <c r="A303" s="49"/>
      <c r="B303" s="51"/>
      <c r="C303" s="49"/>
      <c r="E303" s="119"/>
      <c r="F303" s="49"/>
      <c r="G303" s="119"/>
      <c r="H303" s="49"/>
      <c r="I303" s="119"/>
      <c r="J303" s="49"/>
      <c r="K303" s="119"/>
      <c r="L303" s="49"/>
      <c r="M303" s="119"/>
      <c r="N303" s="49"/>
      <c r="O303" s="119"/>
      <c r="P303" s="49"/>
      <c r="Q303" s="119"/>
      <c r="R303" s="49"/>
      <c r="S303" s="119"/>
      <c r="T303" s="49"/>
      <c r="U303" s="119"/>
      <c r="V303" s="49"/>
      <c r="W303" s="49"/>
      <c r="X303" s="49"/>
      <c r="Z303" s="49"/>
      <c r="AA303" s="49"/>
      <c r="AB303" s="119"/>
      <c r="AC303" s="51"/>
      <c r="AD303" s="119"/>
      <c r="AE303" s="51"/>
      <c r="AF303" s="119"/>
      <c r="AG303" s="51"/>
      <c r="AH303" s="49"/>
      <c r="AI303" s="49"/>
      <c r="AJ303" s="49"/>
      <c r="AK303" s="49"/>
      <c r="AL303" s="119"/>
      <c r="AM303" s="49"/>
      <c r="AN303" s="119"/>
      <c r="AO303" s="49"/>
      <c r="AP303" s="119"/>
      <c r="AQ303" s="49"/>
      <c r="AR303" s="49"/>
      <c r="AS303" s="49"/>
      <c r="AT303" s="51"/>
    </row>
    <row r="304" spans="1:46" s="47" customFormat="1" ht="12.75" customHeight="1" x14ac:dyDescent="0.2">
      <c r="A304" s="49"/>
      <c r="B304" s="51"/>
      <c r="C304" s="49"/>
      <c r="E304" s="119"/>
      <c r="F304" s="49"/>
      <c r="G304" s="119"/>
      <c r="H304" s="49"/>
      <c r="I304" s="119"/>
      <c r="J304" s="49"/>
      <c r="K304" s="119"/>
      <c r="L304" s="49"/>
      <c r="M304" s="119"/>
      <c r="N304" s="49"/>
      <c r="O304" s="119"/>
      <c r="P304" s="49"/>
      <c r="Q304" s="119"/>
      <c r="R304" s="49"/>
      <c r="S304" s="119"/>
      <c r="T304" s="49"/>
      <c r="U304" s="119"/>
      <c r="V304" s="49"/>
      <c r="W304" s="49"/>
      <c r="X304" s="49"/>
      <c r="Z304" s="49"/>
      <c r="AA304" s="49"/>
      <c r="AB304" s="119"/>
      <c r="AC304" s="51"/>
      <c r="AD304" s="119"/>
      <c r="AE304" s="51"/>
      <c r="AF304" s="119"/>
      <c r="AG304" s="51"/>
      <c r="AH304" s="49"/>
      <c r="AI304" s="49"/>
      <c r="AJ304" s="49"/>
      <c r="AK304" s="49"/>
      <c r="AL304" s="119"/>
      <c r="AM304" s="49"/>
      <c r="AN304" s="119"/>
      <c r="AO304" s="49"/>
      <c r="AP304" s="119"/>
      <c r="AQ304" s="49"/>
      <c r="AR304" s="49"/>
      <c r="AS304" s="49"/>
      <c r="AT304" s="51"/>
    </row>
    <row r="305" spans="1:46" s="47" customFormat="1" ht="12.75" customHeight="1" x14ac:dyDescent="0.2">
      <c r="A305" s="49"/>
      <c r="B305" s="51"/>
      <c r="C305" s="49"/>
      <c r="E305" s="119"/>
      <c r="F305" s="49"/>
      <c r="G305" s="119"/>
      <c r="H305" s="49"/>
      <c r="I305" s="119"/>
      <c r="J305" s="49"/>
      <c r="K305" s="119"/>
      <c r="L305" s="49"/>
      <c r="M305" s="119"/>
      <c r="N305" s="49"/>
      <c r="O305" s="119"/>
      <c r="P305" s="49"/>
      <c r="Q305" s="119"/>
      <c r="R305" s="49"/>
      <c r="S305" s="119"/>
      <c r="T305" s="49"/>
      <c r="U305" s="119"/>
      <c r="V305" s="49"/>
      <c r="W305" s="49"/>
      <c r="X305" s="49"/>
      <c r="Z305" s="49"/>
      <c r="AA305" s="49"/>
      <c r="AB305" s="119"/>
      <c r="AC305" s="51"/>
      <c r="AD305" s="119"/>
      <c r="AE305" s="51"/>
      <c r="AF305" s="119"/>
      <c r="AG305" s="51"/>
      <c r="AH305" s="49"/>
      <c r="AI305" s="49"/>
      <c r="AJ305" s="49"/>
      <c r="AK305" s="49"/>
      <c r="AL305" s="119"/>
      <c r="AM305" s="49"/>
      <c r="AN305" s="119"/>
      <c r="AO305" s="49"/>
      <c r="AP305" s="119"/>
      <c r="AQ305" s="49"/>
      <c r="AR305" s="49"/>
      <c r="AS305" s="49"/>
      <c r="AT305" s="51"/>
    </row>
    <row r="306" spans="1:46" s="47" customFormat="1" ht="12.75" customHeight="1" x14ac:dyDescent="0.2">
      <c r="A306" s="49"/>
      <c r="B306" s="51"/>
      <c r="C306" s="49"/>
      <c r="E306" s="119"/>
      <c r="F306" s="49"/>
      <c r="G306" s="119"/>
      <c r="H306" s="49"/>
      <c r="I306" s="119"/>
      <c r="J306" s="49"/>
      <c r="K306" s="119"/>
      <c r="L306" s="49"/>
      <c r="M306" s="119"/>
      <c r="N306" s="49"/>
      <c r="O306" s="119"/>
      <c r="P306" s="49"/>
      <c r="Q306" s="119"/>
      <c r="R306" s="49"/>
      <c r="S306" s="119"/>
      <c r="T306" s="49"/>
      <c r="U306" s="119"/>
      <c r="V306" s="49"/>
      <c r="W306" s="49"/>
      <c r="X306" s="49"/>
      <c r="Z306" s="49"/>
      <c r="AA306" s="49"/>
      <c r="AB306" s="119"/>
      <c r="AC306" s="51"/>
      <c r="AD306" s="119"/>
      <c r="AE306" s="51"/>
      <c r="AF306" s="119"/>
      <c r="AG306" s="51"/>
      <c r="AH306" s="49"/>
      <c r="AI306" s="49"/>
      <c r="AJ306" s="49"/>
      <c r="AK306" s="49"/>
      <c r="AL306" s="119"/>
      <c r="AM306" s="49"/>
      <c r="AN306" s="119"/>
      <c r="AO306" s="49"/>
      <c r="AP306" s="119"/>
      <c r="AQ306" s="49"/>
      <c r="AR306" s="49"/>
      <c r="AS306" s="49"/>
      <c r="AT306" s="51"/>
    </row>
    <row r="307" spans="1:46" s="47" customFormat="1" ht="12.75" customHeight="1" x14ac:dyDescent="0.2">
      <c r="A307" s="49"/>
      <c r="B307" s="51"/>
      <c r="C307" s="49"/>
      <c r="E307" s="119"/>
      <c r="F307" s="49"/>
      <c r="G307" s="119"/>
      <c r="H307" s="49"/>
      <c r="I307" s="119"/>
      <c r="J307" s="49"/>
      <c r="K307" s="119"/>
      <c r="L307" s="49"/>
      <c r="M307" s="119"/>
      <c r="N307" s="49"/>
      <c r="O307" s="119"/>
      <c r="P307" s="49"/>
      <c r="Q307" s="119"/>
      <c r="R307" s="49"/>
      <c r="S307" s="119"/>
      <c r="T307" s="49"/>
      <c r="U307" s="119"/>
      <c r="V307" s="49"/>
      <c r="W307" s="49"/>
      <c r="X307" s="49"/>
      <c r="Z307" s="49"/>
      <c r="AA307" s="49"/>
      <c r="AB307" s="119"/>
      <c r="AC307" s="51"/>
      <c r="AD307" s="119"/>
      <c r="AE307" s="51"/>
      <c r="AF307" s="119"/>
      <c r="AG307" s="51"/>
      <c r="AH307" s="49"/>
      <c r="AI307" s="49"/>
      <c r="AJ307" s="49"/>
      <c r="AK307" s="49"/>
      <c r="AL307" s="119"/>
      <c r="AM307" s="49"/>
      <c r="AN307" s="119"/>
      <c r="AO307" s="49"/>
      <c r="AP307" s="119"/>
      <c r="AQ307" s="49"/>
      <c r="AR307" s="49"/>
      <c r="AS307" s="49"/>
      <c r="AT307" s="51"/>
    </row>
    <row r="308" spans="1:46" s="47" customFormat="1" ht="12.75" customHeight="1" x14ac:dyDescent="0.2">
      <c r="A308" s="49"/>
      <c r="B308" s="51"/>
      <c r="C308" s="49"/>
      <c r="E308" s="119"/>
      <c r="F308" s="49"/>
      <c r="G308" s="119"/>
      <c r="H308" s="49"/>
      <c r="I308" s="119"/>
      <c r="J308" s="49"/>
      <c r="K308" s="119"/>
      <c r="L308" s="49"/>
      <c r="M308" s="119"/>
      <c r="N308" s="49"/>
      <c r="O308" s="119"/>
      <c r="P308" s="49"/>
      <c r="Q308" s="119"/>
      <c r="R308" s="49"/>
      <c r="S308" s="119"/>
      <c r="T308" s="49"/>
      <c r="U308" s="119"/>
      <c r="V308" s="49"/>
      <c r="W308" s="49"/>
      <c r="X308" s="49"/>
      <c r="Z308" s="49"/>
      <c r="AA308" s="49"/>
      <c r="AB308" s="119"/>
      <c r="AC308" s="51"/>
      <c r="AD308" s="119"/>
      <c r="AE308" s="51"/>
      <c r="AF308" s="119"/>
      <c r="AG308" s="51"/>
      <c r="AH308" s="49"/>
      <c r="AI308" s="49"/>
      <c r="AJ308" s="49"/>
      <c r="AK308" s="49"/>
      <c r="AL308" s="119"/>
      <c r="AM308" s="49"/>
      <c r="AN308" s="119"/>
      <c r="AO308" s="49"/>
      <c r="AP308" s="119"/>
      <c r="AQ308" s="49"/>
      <c r="AR308" s="49"/>
      <c r="AS308" s="49"/>
      <c r="AT308" s="51"/>
    </row>
    <row r="309" spans="1:46" ht="12.75" customHeight="1" x14ac:dyDescent="0.2">
      <c r="E309" s="119"/>
      <c r="G309" s="119"/>
      <c r="I309" s="119"/>
      <c r="K309" s="119"/>
      <c r="M309" s="119"/>
      <c r="O309" s="119"/>
      <c r="Q309" s="119"/>
      <c r="S309" s="119"/>
      <c r="U309" s="119"/>
      <c r="AB309" s="119"/>
      <c r="AD309" s="119"/>
      <c r="AF309" s="119"/>
      <c r="AL309" s="119"/>
      <c r="AN309" s="119"/>
      <c r="AP309" s="119"/>
    </row>
  </sheetData>
  <mergeCells count="2">
    <mergeCell ref="AS125:AT125"/>
    <mergeCell ref="AS230:AT230"/>
  </mergeCells>
  <phoneticPr fontId="4" type="noConversion"/>
  <pageMargins left="0.75" right="0.75" top="0.5" bottom="0.5" header="0" footer="0.3"/>
  <pageSetup scale="75" firstPageNumber="82" pageOrder="overThenDown" orientation="portrait" useFirstPageNumber="1" r:id="rId1"/>
  <headerFooter alignWithMargins="0">
    <oddFooter>&amp;C&amp;"Times New Roman,Regular"&amp;12&amp;P</oddFooter>
  </headerFooter>
  <rowBreaks count="3" manualBreakCount="3">
    <brk id="73" max="37" man="1"/>
    <brk id="138" max="37" man="1"/>
    <brk id="200" max="37" man="1"/>
  </rowBreaks>
  <colBreaks count="1" manualBreakCount="1">
    <brk id="16" min="9" max="2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28</vt:i4>
      </vt:variant>
    </vt:vector>
  </HeadingPairs>
  <TitlesOfParts>
    <vt:vector size="42" baseType="lpstr">
      <vt:lpstr>Stmt net assets</vt:lpstr>
      <vt:lpstr>Stmt of activities-GA rev</vt:lpstr>
      <vt:lpstr>Stmt of activities-GAexp</vt:lpstr>
      <vt:lpstr>Gen Bal</vt:lpstr>
      <vt:lpstr>GV Fund BS</vt:lpstr>
      <vt:lpstr>Gen rev</vt:lpstr>
      <vt:lpstr>Gen exp</vt:lpstr>
      <vt:lpstr>GVFund Rev</vt:lpstr>
      <vt:lpstr>GVFund Exp</vt:lpstr>
      <vt:lpstr>Water</vt:lpstr>
      <vt:lpstr>Sewer</vt:lpstr>
      <vt:lpstr>Electric</vt:lpstr>
      <vt:lpstr>LT Lia GA</vt:lpstr>
      <vt:lpstr>Sanitation</vt:lpstr>
      <vt:lpstr>Electric!Print_Area</vt:lpstr>
      <vt:lpstr>'Gen Bal'!Print_Area</vt:lpstr>
      <vt:lpstr>'Gen exp'!Print_Area</vt:lpstr>
      <vt:lpstr>'Gen rev'!Print_Area</vt:lpstr>
      <vt:lpstr>'GV Fund BS'!Print_Area</vt:lpstr>
      <vt:lpstr>'GVFund Exp'!Print_Area</vt:lpstr>
      <vt:lpstr>'GVFund Rev'!Print_Area</vt:lpstr>
      <vt:lpstr>'LT Lia GA'!Print_Area</vt:lpstr>
      <vt:lpstr>Sanitation!Print_Area</vt:lpstr>
      <vt:lpstr>Sewer!Print_Area</vt:lpstr>
      <vt:lpstr>'Stmt net assets'!Print_Area</vt:lpstr>
      <vt:lpstr>'Stmt of activities-GA rev'!Print_Area</vt:lpstr>
      <vt:lpstr>'Stmt of activities-GAexp'!Print_Area</vt:lpstr>
      <vt:lpstr>Water!Print_Area</vt:lpstr>
      <vt:lpstr>Electric!Print_Titles</vt:lpstr>
      <vt:lpstr>'Gen Bal'!Print_Titles</vt:lpstr>
      <vt:lpstr>'Gen exp'!Print_Titles</vt:lpstr>
      <vt:lpstr>'Gen rev'!Print_Titles</vt:lpstr>
      <vt:lpstr>'GV Fund BS'!Print_Titles</vt:lpstr>
      <vt:lpstr>'GVFund Exp'!Print_Titles</vt:lpstr>
      <vt:lpstr>'GVFund Rev'!Print_Titles</vt:lpstr>
      <vt:lpstr>'LT Lia GA'!Print_Titles</vt:lpstr>
      <vt:lpstr>Sanitation!Print_Titles</vt:lpstr>
      <vt:lpstr>Sewer!Print_Titles</vt:lpstr>
      <vt:lpstr>'Stmt net assets'!Print_Titles</vt:lpstr>
      <vt:lpstr>'Stmt of activities-GA rev'!Print_Titles</vt:lpstr>
      <vt:lpstr>'Stmt of activities-GAexp'!Print_Titles</vt:lpstr>
      <vt:lpstr>Water!Print_Titles</vt:lpstr>
    </vt:vector>
  </TitlesOfParts>
  <Company>Auditor of State of Ohio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Bradley S. Paradis</cp:lastModifiedBy>
  <cp:lastPrinted>2013-01-23T17:54:45Z</cp:lastPrinted>
  <dcterms:created xsi:type="dcterms:W3CDTF">2004-05-27T13:05:31Z</dcterms:created>
  <dcterms:modified xsi:type="dcterms:W3CDTF">2013-01-23T17:55:24Z</dcterms:modified>
</cp:coreProperties>
</file>